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edericMorana\JCI\"/>
    </mc:Choice>
  </mc:AlternateContent>
  <bookViews>
    <workbookView xWindow="0" yWindow="0" windowWidth="19155" windowHeight="6450" firstSheet="4" activeTab="4"/>
  </bookViews>
  <sheets>
    <sheet name="Juin" sheetId="1" r:id="rId1"/>
    <sheet name="Juillet" sheetId="2" r:id="rId2"/>
    <sheet name="Août" sheetId="3" r:id="rId3"/>
    <sheet name="Septembre" sheetId="4" r:id="rId4"/>
    <sheet name="Octobre" sheetId="5" r:id="rId5"/>
    <sheet name="Novembre" sheetId="6" r:id="rId6"/>
    <sheet name="Décembre" sheetId="7" r:id="rId7"/>
    <sheet name="Janvier" sheetId="8" r:id="rId8"/>
    <sheet name="Février" sheetId="9" r:id="rId9"/>
    <sheet name="Mars" sheetId="10" r:id="rId10"/>
    <sheet name="Avril" sheetId="11" r:id="rId11"/>
    <sheet name="Mai" sheetId="12" r:id="rId12"/>
  </sheets>
  <externalReferences>
    <externalReference r:id="rId13"/>
  </externalReferences>
  <definedNames>
    <definedName name="AnnéeCalendrier">Janvier!$AH$2</definedName>
    <definedName name="CalendrierAnnée" localSheetId="2">Août!$AH$2</definedName>
    <definedName name="CalendrierAnnée" localSheetId="10">Avril!$AH$2</definedName>
    <definedName name="CalendrierAnnée" localSheetId="6">Décembre!$AH$2</definedName>
    <definedName name="CalendrierAnnée" localSheetId="8">Février!$AH$2</definedName>
    <definedName name="CalendrierAnnée" localSheetId="1">Juillet!$AH$2</definedName>
    <definedName name="CalendrierAnnée" localSheetId="0">Juin!$AH$2</definedName>
    <definedName name="CalendrierAnnée" localSheetId="11">Mai!$AH$2</definedName>
    <definedName name="CalendrierAnnée" localSheetId="9">Mars!$AH$2</definedName>
    <definedName name="CalendrierAnnée" localSheetId="5">Novembre!$AH$2</definedName>
    <definedName name="CalendrierAnnée" localSheetId="4">Octobre!$AH$2</definedName>
    <definedName name="CalendrierAnnée" localSheetId="3">Septembre!$AH$2</definedName>
    <definedName name="CalendrierAnnée">#REF!</definedName>
    <definedName name="CléCongés" localSheetId="2">Août!$H$127</definedName>
    <definedName name="CléCongés" localSheetId="10">Avril!$H$127</definedName>
    <definedName name="CléCongés" localSheetId="6">Décembre!$H$127</definedName>
    <definedName name="CléCongés" localSheetId="8">Février!$H$127</definedName>
    <definedName name="CléCongés" localSheetId="1">Juillet!$H$127</definedName>
    <definedName name="CléCongés" localSheetId="0">Juin!$H$127</definedName>
    <definedName name="CléCongés" localSheetId="11">Mai!$H$127</definedName>
    <definedName name="CléCongés" localSheetId="9">Mars!$H$127</definedName>
    <definedName name="CléCongés" localSheetId="5">Novembre!$H$127</definedName>
    <definedName name="CléCongés" localSheetId="4">Octobre!$H$127</definedName>
    <definedName name="CléCongés" localSheetId="3">Septembre!$H$127</definedName>
    <definedName name="CléCongés">#REF!</definedName>
    <definedName name="CléMaladie" localSheetId="2">Août!$P$127</definedName>
    <definedName name="CléMaladie" localSheetId="10">Avril!$P$127</definedName>
    <definedName name="CléMaladie" localSheetId="6">Décembre!$P$127</definedName>
    <definedName name="CléMaladie" localSheetId="8">Février!$P$127</definedName>
    <definedName name="CléMaladie" localSheetId="1">Juillet!$P$127</definedName>
    <definedName name="CléMaladie" localSheetId="0">Juin!$P$127</definedName>
    <definedName name="CléMaladie" localSheetId="11">Mai!$P$127</definedName>
    <definedName name="CléMaladie" localSheetId="9">Mars!$P$127</definedName>
    <definedName name="CléMaladie" localSheetId="5">Novembre!$P$127</definedName>
    <definedName name="CléMaladie" localSheetId="4">Octobre!$P$127</definedName>
    <definedName name="CléMaladie" localSheetId="3">Septembre!$P$127</definedName>
    <definedName name="CléMaladie">#REF!</definedName>
    <definedName name="CléPersonnalisée1" localSheetId="2">Août!$T$127</definedName>
    <definedName name="CléPersonnalisée1" localSheetId="10">Avril!$T$127</definedName>
    <definedName name="CléPersonnalisée1" localSheetId="6">Décembre!$T$127</definedName>
    <definedName name="CléPersonnalisée1" localSheetId="8">Février!$T$127</definedName>
    <definedName name="CléPersonnalisée1" localSheetId="1">Juillet!$T$127</definedName>
    <definedName name="CléPersonnalisée1" localSheetId="0">Juin!$T$127</definedName>
    <definedName name="CléPersonnalisée1" localSheetId="11">Mai!$T$127</definedName>
    <definedName name="CléPersonnalisée1" localSheetId="9">Mars!$T$127</definedName>
    <definedName name="CléPersonnalisée1" localSheetId="5">Novembre!$T$127</definedName>
    <definedName name="CléPersonnalisée1" localSheetId="4">Octobre!$T$127</definedName>
    <definedName name="CléPersonnalisée1" localSheetId="3">Septembre!$T$127</definedName>
    <definedName name="CléPersonnalisée1">#REF!</definedName>
    <definedName name="CléPersonnalisée2" localSheetId="2">Août!$Y$127</definedName>
    <definedName name="CléPersonnalisée2" localSheetId="10">Avril!$Y$127</definedName>
    <definedName name="CléPersonnalisée2" localSheetId="6">Décembre!$Y$127</definedName>
    <definedName name="CléPersonnalisée2" localSheetId="8">Février!$Y$127</definedName>
    <definedName name="CléPersonnalisée2" localSheetId="1">Juillet!$Y$127</definedName>
    <definedName name="CléPersonnalisée2" localSheetId="0">Juin!$Y$127</definedName>
    <definedName name="CléPersonnalisée2" localSheetId="11">Mai!$Y$127</definedName>
    <definedName name="CléPersonnalisée2" localSheetId="9">Mars!$Y$127</definedName>
    <definedName name="CléPersonnalisée2" localSheetId="5">Novembre!$Y$127</definedName>
    <definedName name="CléPersonnalisée2" localSheetId="4">Octobre!$Y$127</definedName>
    <definedName name="CléPersonnalisée2" localSheetId="3">Septembre!$Y$127</definedName>
    <definedName name="CléPersonnalisée2">#REF!</definedName>
    <definedName name="CléPersonnelle" localSheetId="2">Août!$L$127</definedName>
    <definedName name="CléPersonnelle" localSheetId="10">Avril!$L$127</definedName>
    <definedName name="CléPersonnelle" localSheetId="6">Décembre!$L$127</definedName>
    <definedName name="CléPersonnelle" localSheetId="8">Février!$L$127</definedName>
    <definedName name="CléPersonnelle" localSheetId="1">Juillet!$L$127</definedName>
    <definedName name="CléPersonnelle" localSheetId="0">Juin!$L$127</definedName>
    <definedName name="CléPersonnelle" localSheetId="11">Mai!$L$127</definedName>
    <definedName name="CléPersonnelle" localSheetId="9">Mars!$L$127</definedName>
    <definedName name="CléPersonnelle" localSheetId="5">Novembre!$L$127</definedName>
    <definedName name="CléPersonnelle" localSheetId="4">Octobre!$L$127</definedName>
    <definedName name="CléPersonnelle" localSheetId="3">Septembre!$L$127</definedName>
    <definedName name="CléPersonnelle">#REF!</definedName>
    <definedName name="ÉtiquetteCléCongés" localSheetId="2">Août!$I$127</definedName>
    <definedName name="ÉtiquetteCléCongés" localSheetId="10">Avril!$I$127</definedName>
    <definedName name="ÉtiquetteCléCongés" localSheetId="6">Décembre!$I$127</definedName>
    <definedName name="ÉtiquetteCléCongés" localSheetId="8">Février!$I$127</definedName>
    <definedName name="ÉtiquetteCléCongés" localSheetId="1">Juillet!$I$127</definedName>
    <definedName name="ÉtiquetteCléCongés" localSheetId="0">Juin!$I$127</definedName>
    <definedName name="ÉtiquetteCléCongés" localSheetId="11">Mai!$I$127</definedName>
    <definedName name="ÉtiquetteCléCongés" localSheetId="9">Mars!$I$127</definedName>
    <definedName name="ÉtiquetteCléCongés" localSheetId="5">Novembre!$I$127</definedName>
    <definedName name="ÉtiquetteCléCongés" localSheetId="4">Octobre!$I$127</definedName>
    <definedName name="ÉtiquetteCléCongés" localSheetId="3">Septembre!$I$127</definedName>
    <definedName name="ÉtiquetteCléCongés">#REF!</definedName>
    <definedName name="ÉtiquetteCléMaladie" localSheetId="2">Août!$Q$127</definedName>
    <definedName name="ÉtiquetteCléMaladie" localSheetId="10">Avril!$Q$127</definedName>
    <definedName name="ÉtiquetteCléMaladie" localSheetId="6">Décembre!$Q$127</definedName>
    <definedName name="ÉtiquetteCléMaladie" localSheetId="8">Février!$Q$127</definedName>
    <definedName name="ÉtiquetteCléMaladie" localSheetId="1">Juillet!$Q$127</definedName>
    <definedName name="ÉtiquetteCléMaladie" localSheetId="0">Juin!$Q$127</definedName>
    <definedName name="ÉtiquetteCléMaladie" localSheetId="11">Mai!$Q$127</definedName>
    <definedName name="ÉtiquetteCléMaladie" localSheetId="9">Mars!$Q$127</definedName>
    <definedName name="ÉtiquetteCléMaladie" localSheetId="5">Novembre!$Q$127</definedName>
    <definedName name="ÉtiquetteCléMaladie" localSheetId="4">Octobre!$Q$127</definedName>
    <definedName name="ÉtiquetteCléMaladie" localSheetId="3">Septembre!$Q$127</definedName>
    <definedName name="ÉtiquetteCléMaladie">#REF!</definedName>
    <definedName name="ÉtiquetteCléPersonnalisée1" localSheetId="2">Août!$U$127</definedName>
    <definedName name="ÉtiquetteCléPersonnalisée1" localSheetId="10">Avril!$U$127</definedName>
    <definedName name="ÉtiquetteCléPersonnalisée1" localSheetId="6">Décembre!$U$127</definedName>
    <definedName name="ÉtiquetteCléPersonnalisée1" localSheetId="8">Février!$U$127</definedName>
    <definedName name="ÉtiquetteCléPersonnalisée1" localSheetId="1">Juillet!$U$127</definedName>
    <definedName name="ÉtiquetteCléPersonnalisée1" localSheetId="0">Juin!$U$127</definedName>
    <definedName name="ÉtiquetteCléPersonnalisée1" localSheetId="11">Mai!$U$127</definedName>
    <definedName name="ÉtiquetteCléPersonnalisée1" localSheetId="9">Mars!$U$127</definedName>
    <definedName name="ÉtiquetteCléPersonnalisée1" localSheetId="5">Novembre!$U$127</definedName>
    <definedName name="ÉtiquetteCléPersonnalisée1" localSheetId="4">Octobre!$U$127</definedName>
    <definedName name="ÉtiquetteCléPersonnalisée1" localSheetId="3">Septembre!$U$127</definedName>
    <definedName name="ÉtiquetteCléPersonnalisée1">#REF!</definedName>
    <definedName name="ÉtiquetteCléPersonnalisée2" localSheetId="2">Août!$Z$127</definedName>
    <definedName name="ÉtiquetteCléPersonnalisée2" localSheetId="10">Avril!$Z$127</definedName>
    <definedName name="ÉtiquetteCléPersonnalisée2" localSheetId="6">Décembre!$Z$127</definedName>
    <definedName name="ÉtiquetteCléPersonnalisée2" localSheetId="8">Février!$Z$127</definedName>
    <definedName name="ÉtiquetteCléPersonnalisée2" localSheetId="1">Juillet!$Z$127</definedName>
    <definedName name="ÉtiquetteCléPersonnalisée2" localSheetId="0">Juin!$Z$127</definedName>
    <definedName name="ÉtiquetteCléPersonnalisée2" localSheetId="11">Mai!$Z$127</definedName>
    <definedName name="ÉtiquetteCléPersonnalisée2" localSheetId="9">Mars!$Z$127</definedName>
    <definedName name="ÉtiquetteCléPersonnalisée2" localSheetId="5">Novembre!$Z$127</definedName>
    <definedName name="ÉtiquetteCléPersonnalisée2" localSheetId="4">Octobre!$Z$127</definedName>
    <definedName name="ÉtiquetteCléPersonnalisée2" localSheetId="3">Septembre!$Z$127</definedName>
    <definedName name="ÉtiquetteCléPersonnalisée2">#REF!</definedName>
    <definedName name="ÉtiquetteCléPersonnelle" localSheetId="2">Août!$M$127</definedName>
    <definedName name="ÉtiquetteCléPersonnelle" localSheetId="10">Avril!$M$127</definedName>
    <definedName name="ÉtiquetteCléPersonnelle" localSheetId="6">Décembre!$M$127</definedName>
    <definedName name="ÉtiquetteCléPersonnelle" localSheetId="8">Février!$M$127</definedName>
    <definedName name="ÉtiquetteCléPersonnelle" localSheetId="1">Juillet!$M$127</definedName>
    <definedName name="ÉtiquetteCléPersonnelle" localSheetId="0">Juin!$M$127</definedName>
    <definedName name="ÉtiquetteCléPersonnelle" localSheetId="11">Mai!$M$127</definedName>
    <definedName name="ÉtiquetteCléPersonnelle" localSheetId="9">Mars!$M$127</definedName>
    <definedName name="ÉtiquetteCléPersonnelle" localSheetId="5">Novembre!$M$127</definedName>
    <definedName name="ÉtiquetteCléPersonnelle" localSheetId="4">Octobre!$M$127</definedName>
    <definedName name="ÉtiquetteCléPersonnelle" localSheetId="3">Septembre!$M$127</definedName>
    <definedName name="ÉtiquetteCléPersonnelle">#REF!</definedName>
    <definedName name="NomMois" localSheetId="2">Août!$A$2</definedName>
    <definedName name="NomMois" localSheetId="10">Avril!$A$2</definedName>
    <definedName name="NomMois" localSheetId="6">Décembre!$A$2</definedName>
    <definedName name="NomMois" localSheetId="8">Février!$A$2</definedName>
    <definedName name="NomMois" localSheetId="7">Janvier!$A$2</definedName>
    <definedName name="NomMois" localSheetId="1">Juillet!$A$2</definedName>
    <definedName name="NomMois" localSheetId="0">Juin!$A$2</definedName>
    <definedName name="NomMois" localSheetId="11">Mai!$A$2</definedName>
    <definedName name="NomMois" localSheetId="9">Mars!$A$2</definedName>
    <definedName name="NomMois" localSheetId="5">Novembre!$A$2</definedName>
    <definedName name="NomMois" localSheetId="4">Octobre!$A$2</definedName>
    <definedName name="NomMois" localSheetId="3">Septembre!$A$2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N15" i="5" l="1"/>
  <c r="AS123" i="3"/>
  <c r="AS119" i="3"/>
  <c r="AS115" i="3"/>
  <c r="AS111" i="3"/>
  <c r="AS107" i="3"/>
  <c r="AS103" i="3"/>
  <c r="AS99" i="3"/>
  <c r="AS95" i="3"/>
  <c r="AS91" i="3"/>
  <c r="AS87" i="3"/>
  <c r="AS83" i="3"/>
  <c r="AS79" i="3"/>
  <c r="AS75" i="3"/>
  <c r="AS71" i="3"/>
  <c r="AS67" i="3"/>
  <c r="AS63" i="3"/>
  <c r="AS59" i="3"/>
  <c r="AS55" i="3"/>
  <c r="AS51" i="3"/>
  <c r="AS47" i="3"/>
  <c r="AS43" i="3"/>
  <c r="AS39" i="3"/>
  <c r="AS35" i="3"/>
  <c r="AS31" i="3"/>
  <c r="AS27" i="3"/>
  <c r="AS23" i="3"/>
  <c r="AS19" i="3"/>
  <c r="AS15" i="3"/>
  <c r="AS11" i="3"/>
  <c r="AS7" i="3"/>
  <c r="AS123" i="4"/>
  <c r="AS119" i="4"/>
  <c r="AS115" i="4"/>
  <c r="AS111" i="4"/>
  <c r="AS107" i="4"/>
  <c r="AS103" i="4"/>
  <c r="AS99" i="4"/>
  <c r="AS95" i="4"/>
  <c r="AS91" i="4"/>
  <c r="AS87" i="4"/>
  <c r="AS83" i="4"/>
  <c r="AS79" i="4"/>
  <c r="AS75" i="4"/>
  <c r="AS71" i="4"/>
  <c r="AS67" i="4"/>
  <c r="AS63" i="4"/>
  <c r="AS59" i="4"/>
  <c r="AS55" i="4"/>
  <c r="AS51" i="4"/>
  <c r="AS47" i="4"/>
  <c r="AS43" i="4"/>
  <c r="AS39" i="4"/>
  <c r="AS35" i="4"/>
  <c r="AS31" i="4"/>
  <c r="AS27" i="4"/>
  <c r="AS23" i="4"/>
  <c r="AS19" i="4"/>
  <c r="AS15" i="4"/>
  <c r="AS11" i="4"/>
  <c r="AS7" i="4"/>
  <c r="AS123" i="6"/>
  <c r="AS119" i="6"/>
  <c r="AS115" i="6"/>
  <c r="AS111" i="6"/>
  <c r="AS107" i="6"/>
  <c r="AS103" i="6"/>
  <c r="AS99" i="6"/>
  <c r="AS95" i="6"/>
  <c r="AS91" i="6"/>
  <c r="AS87" i="6"/>
  <c r="AS83" i="6"/>
  <c r="AS79" i="6"/>
  <c r="AS75" i="6"/>
  <c r="AS71" i="6"/>
  <c r="AS67" i="6"/>
  <c r="AS63" i="6"/>
  <c r="AS59" i="6"/>
  <c r="AS55" i="6"/>
  <c r="AS51" i="6"/>
  <c r="AS47" i="6"/>
  <c r="AS43" i="6"/>
  <c r="AS39" i="6"/>
  <c r="AS35" i="6"/>
  <c r="AS31" i="6"/>
  <c r="AS27" i="6"/>
  <c r="AS23" i="6"/>
  <c r="AS19" i="6"/>
  <c r="AS15" i="6"/>
  <c r="AS11" i="6"/>
  <c r="AS7" i="6"/>
  <c r="AS123" i="7"/>
  <c r="AS119" i="7"/>
  <c r="AS115" i="7"/>
  <c r="AS111" i="7"/>
  <c r="AS107" i="7"/>
  <c r="AS103" i="7"/>
  <c r="AS99" i="7"/>
  <c r="AS95" i="7"/>
  <c r="AS91" i="7"/>
  <c r="AS87" i="7"/>
  <c r="AS83" i="7"/>
  <c r="AS79" i="7"/>
  <c r="AS75" i="7"/>
  <c r="AS71" i="7"/>
  <c r="AS67" i="7"/>
  <c r="AS63" i="7"/>
  <c r="AS59" i="7"/>
  <c r="AS55" i="7"/>
  <c r="AS51" i="7"/>
  <c r="AS47" i="7"/>
  <c r="AS43" i="7"/>
  <c r="AS39" i="7"/>
  <c r="AS35" i="7"/>
  <c r="AS31" i="7"/>
  <c r="AS27" i="7"/>
  <c r="AS23" i="7"/>
  <c r="AS19" i="7"/>
  <c r="AS15" i="7"/>
  <c r="AS11" i="7"/>
  <c r="AS7" i="7"/>
  <c r="AS123" i="8"/>
  <c r="AS119" i="8"/>
  <c r="AS115" i="8"/>
  <c r="AS111" i="8"/>
  <c r="AS107" i="8"/>
  <c r="AS103" i="8"/>
  <c r="AS99" i="8"/>
  <c r="AS95" i="8"/>
  <c r="AS91" i="8"/>
  <c r="AS87" i="8"/>
  <c r="AS83" i="8"/>
  <c r="AS79" i="8"/>
  <c r="AS75" i="8"/>
  <c r="AS71" i="8"/>
  <c r="AS67" i="8"/>
  <c r="AS63" i="8"/>
  <c r="AS59" i="8"/>
  <c r="AS55" i="8"/>
  <c r="AS51" i="8"/>
  <c r="AS47" i="8"/>
  <c r="AS43" i="8"/>
  <c r="AS39" i="8"/>
  <c r="AS35" i="8"/>
  <c r="AS31" i="8"/>
  <c r="AS27" i="8"/>
  <c r="AS23" i="8"/>
  <c r="AS19" i="8"/>
  <c r="AS15" i="8"/>
  <c r="AS11" i="8"/>
  <c r="AS7" i="8"/>
  <c r="AS123" i="9"/>
  <c r="AS119" i="9"/>
  <c r="AS115" i="9"/>
  <c r="AS111" i="9"/>
  <c r="AS107" i="9"/>
  <c r="AS103" i="9"/>
  <c r="AS99" i="9"/>
  <c r="AS95" i="9"/>
  <c r="AS91" i="9"/>
  <c r="AS87" i="9"/>
  <c r="AS83" i="9"/>
  <c r="AS79" i="9"/>
  <c r="AS75" i="9"/>
  <c r="AS71" i="9"/>
  <c r="AS67" i="9"/>
  <c r="AS63" i="9"/>
  <c r="AS59" i="9"/>
  <c r="AS55" i="9"/>
  <c r="AS51" i="9"/>
  <c r="AS47" i="9"/>
  <c r="AS43" i="9"/>
  <c r="AS39" i="9"/>
  <c r="AS35" i="9"/>
  <c r="AS31" i="9"/>
  <c r="AS27" i="9"/>
  <c r="AS23" i="9"/>
  <c r="AS19" i="9"/>
  <c r="AS15" i="9"/>
  <c r="AS11" i="9"/>
  <c r="AS7" i="9"/>
  <c r="AS123" i="10"/>
  <c r="AS119" i="10"/>
  <c r="AS115" i="10"/>
  <c r="AS111" i="10"/>
  <c r="AS107" i="10"/>
  <c r="AS103" i="10"/>
  <c r="AS99" i="10"/>
  <c r="AS95" i="10"/>
  <c r="AS91" i="10"/>
  <c r="AS87" i="10"/>
  <c r="AS83" i="10"/>
  <c r="AS79" i="10"/>
  <c r="AS75" i="10"/>
  <c r="AS71" i="10"/>
  <c r="AS67" i="10"/>
  <c r="AS63" i="10"/>
  <c r="AS59" i="10"/>
  <c r="AS55" i="10"/>
  <c r="AS51" i="10"/>
  <c r="AS47" i="10"/>
  <c r="AS43" i="10"/>
  <c r="AS39" i="10"/>
  <c r="AS35" i="10"/>
  <c r="AS31" i="10"/>
  <c r="AS27" i="10"/>
  <c r="AS23" i="10"/>
  <c r="AS19" i="10"/>
  <c r="AS15" i="10"/>
  <c r="AS11" i="10"/>
  <c r="AS7" i="10"/>
  <c r="AS123" i="11"/>
  <c r="AS119" i="11"/>
  <c r="AS115" i="11"/>
  <c r="AS111" i="11"/>
  <c r="AS107" i="11"/>
  <c r="AS103" i="11"/>
  <c r="AS99" i="11"/>
  <c r="AS95" i="11"/>
  <c r="AS91" i="11"/>
  <c r="AS87" i="11"/>
  <c r="AS83" i="11"/>
  <c r="AS79" i="11"/>
  <c r="AS75" i="11"/>
  <c r="AS71" i="11"/>
  <c r="AS67" i="11"/>
  <c r="AS63" i="11"/>
  <c r="AS59" i="11"/>
  <c r="AS55" i="11"/>
  <c r="AS51" i="11"/>
  <c r="AS47" i="11"/>
  <c r="AS43" i="11"/>
  <c r="AS39" i="11"/>
  <c r="AS35" i="11"/>
  <c r="AS31" i="11"/>
  <c r="AS27" i="11"/>
  <c r="AS23" i="11"/>
  <c r="AS19" i="11"/>
  <c r="AS15" i="11"/>
  <c r="AS11" i="11"/>
  <c r="AS7" i="11"/>
  <c r="AS123" i="12"/>
  <c r="AS119" i="12"/>
  <c r="AS115" i="12"/>
  <c r="AS111" i="12"/>
  <c r="AS107" i="12"/>
  <c r="AS103" i="12"/>
  <c r="AS99" i="12"/>
  <c r="AS95" i="12"/>
  <c r="AS91" i="12"/>
  <c r="AS87" i="12"/>
  <c r="AS83" i="12"/>
  <c r="AS79" i="12"/>
  <c r="AS75" i="12"/>
  <c r="AS71" i="12"/>
  <c r="AS67" i="12"/>
  <c r="AS63" i="12"/>
  <c r="AS59" i="12"/>
  <c r="AS55" i="12"/>
  <c r="AS51" i="12"/>
  <c r="AS47" i="12"/>
  <c r="AS43" i="12"/>
  <c r="AS39" i="12"/>
  <c r="AS35" i="12"/>
  <c r="AS31" i="12"/>
  <c r="AS27" i="12"/>
  <c r="AS23" i="12"/>
  <c r="AS19" i="12"/>
  <c r="AS15" i="12"/>
  <c r="AS11" i="12"/>
  <c r="AS7" i="12"/>
  <c r="AS123" i="2"/>
  <c r="AS119" i="2"/>
  <c r="AS115" i="2"/>
  <c r="AS111" i="2"/>
  <c r="AS107" i="2"/>
  <c r="AS103" i="2"/>
  <c r="AS99" i="2"/>
  <c r="AS95" i="2"/>
  <c r="AS91" i="2"/>
  <c r="AS87" i="2"/>
  <c r="AS83" i="2"/>
  <c r="AS79" i="2"/>
  <c r="AS75" i="2"/>
  <c r="AS71" i="2"/>
  <c r="AS67" i="2"/>
  <c r="AS63" i="2"/>
  <c r="AS59" i="2"/>
  <c r="AS55" i="2"/>
  <c r="AS51" i="2"/>
  <c r="AS47" i="2"/>
  <c r="AS43" i="2"/>
  <c r="AS39" i="2"/>
  <c r="AS35" i="2"/>
  <c r="AS31" i="2"/>
  <c r="AS27" i="2"/>
  <c r="AS23" i="2"/>
  <c r="AS19" i="2"/>
  <c r="AS15" i="2"/>
  <c r="AS11" i="2"/>
  <c r="AS7" i="2"/>
  <c r="AS123" i="1"/>
  <c r="AS119" i="1"/>
  <c r="AS115" i="1"/>
  <c r="AS111" i="1"/>
  <c r="AS107" i="1"/>
  <c r="AS103" i="1"/>
  <c r="AS99" i="1"/>
  <c r="AS95" i="1"/>
  <c r="AS91" i="1"/>
  <c r="AS87" i="1"/>
  <c r="AS83" i="1"/>
  <c r="AS79" i="1"/>
  <c r="AS75" i="1"/>
  <c r="AS71" i="1"/>
  <c r="AS67" i="1"/>
  <c r="AS63" i="1"/>
  <c r="AS59" i="1"/>
  <c r="AS55" i="1"/>
  <c r="AS51" i="1"/>
  <c r="AS47" i="1"/>
  <c r="AS43" i="1"/>
  <c r="AS39" i="1"/>
  <c r="AS35" i="1"/>
  <c r="AS31" i="1"/>
  <c r="AS27" i="1"/>
  <c r="AS23" i="1"/>
  <c r="AS19" i="1"/>
  <c r="AS15" i="1"/>
  <c r="AS11" i="1"/>
  <c r="AS7" i="1"/>
  <c r="AR123" i="12"/>
  <c r="AO123" i="12"/>
  <c r="AN123" i="12"/>
  <c r="AG123" i="12"/>
  <c r="AF123" i="12"/>
  <c r="AE123" i="12"/>
  <c r="AD123" i="12"/>
  <c r="AC123" i="12"/>
  <c r="AB123" i="12"/>
  <c r="AA123" i="12"/>
  <c r="Z123" i="12"/>
  <c r="Y123" i="12"/>
  <c r="X123" i="12"/>
  <c r="W123" i="12"/>
  <c r="V123" i="12"/>
  <c r="U123" i="12"/>
  <c r="T123" i="12"/>
  <c r="S123" i="12"/>
  <c r="R123" i="12"/>
  <c r="Q123" i="12"/>
  <c r="P123" i="12"/>
  <c r="O123" i="12"/>
  <c r="N123" i="12"/>
  <c r="M123" i="12"/>
  <c r="L123" i="12"/>
  <c r="K123" i="12"/>
  <c r="J123" i="12"/>
  <c r="I123" i="12"/>
  <c r="H123" i="12"/>
  <c r="G123" i="12"/>
  <c r="F123" i="12"/>
  <c r="E123" i="12"/>
  <c r="D123" i="12"/>
  <c r="C123" i="12"/>
  <c r="AH122" i="12"/>
  <c r="AH121" i="12"/>
  <c r="AH123" i="12" s="1"/>
  <c r="AR119" i="12"/>
  <c r="AN119" i="12"/>
  <c r="AO119" i="12" s="1"/>
  <c r="AG119" i="12"/>
  <c r="AF119" i="12"/>
  <c r="AE119" i="12"/>
  <c r="AD119" i="12"/>
  <c r="AC119" i="12"/>
  <c r="AB119" i="12"/>
  <c r="AA119" i="12"/>
  <c r="Z119" i="12"/>
  <c r="Y119" i="12"/>
  <c r="X119" i="12"/>
  <c r="W119" i="12"/>
  <c r="V119" i="12"/>
  <c r="U119" i="12"/>
  <c r="T119" i="12"/>
  <c r="S119" i="12"/>
  <c r="R119" i="12"/>
  <c r="Q119" i="12"/>
  <c r="P119" i="12"/>
  <c r="O119" i="12"/>
  <c r="N119" i="12"/>
  <c r="M119" i="12"/>
  <c r="L119" i="12"/>
  <c r="K119" i="12"/>
  <c r="J119" i="12"/>
  <c r="I119" i="12"/>
  <c r="H119" i="12"/>
  <c r="G119" i="12"/>
  <c r="F119" i="12"/>
  <c r="E119" i="12"/>
  <c r="D119" i="12"/>
  <c r="C119" i="12"/>
  <c r="AH118" i="12"/>
  <c r="AH119" i="12" s="1"/>
  <c r="AH117" i="12"/>
  <c r="AR115" i="12"/>
  <c r="AN115" i="12"/>
  <c r="AG115" i="12"/>
  <c r="AF115" i="12"/>
  <c r="AE115" i="12"/>
  <c r="AD115" i="12"/>
  <c r="AC115" i="12"/>
  <c r="AB115" i="12"/>
  <c r="AA115" i="12"/>
  <c r="Z115" i="12"/>
  <c r="Y115" i="12"/>
  <c r="X115" i="12"/>
  <c r="W115" i="12"/>
  <c r="V115" i="12"/>
  <c r="U115" i="12"/>
  <c r="T115" i="12"/>
  <c r="S115" i="12"/>
  <c r="R115" i="12"/>
  <c r="Q115" i="12"/>
  <c r="P115" i="12"/>
  <c r="O115" i="12"/>
  <c r="N115" i="12"/>
  <c r="M115" i="12"/>
  <c r="L115" i="12"/>
  <c r="K115" i="12"/>
  <c r="J115" i="12"/>
  <c r="I115" i="12"/>
  <c r="H115" i="12"/>
  <c r="G115" i="12"/>
  <c r="F115" i="12"/>
  <c r="E115" i="12"/>
  <c r="D115" i="12"/>
  <c r="C115" i="12"/>
  <c r="AH114" i="12"/>
  <c r="AH113" i="12"/>
  <c r="AH115" i="12" s="1"/>
  <c r="AR111" i="12"/>
  <c r="AN111" i="12"/>
  <c r="AG111" i="12"/>
  <c r="AF111" i="12"/>
  <c r="AE111" i="12"/>
  <c r="AD111" i="12"/>
  <c r="AC111" i="12"/>
  <c r="AB111" i="12"/>
  <c r="AA111" i="12"/>
  <c r="Z111" i="12"/>
  <c r="Y111" i="12"/>
  <c r="X111" i="12"/>
  <c r="W111" i="12"/>
  <c r="V111" i="12"/>
  <c r="U111" i="12"/>
  <c r="T111" i="12"/>
  <c r="S111" i="12"/>
  <c r="R111" i="12"/>
  <c r="Q111" i="12"/>
  <c r="P111" i="12"/>
  <c r="O111" i="12"/>
  <c r="N111" i="12"/>
  <c r="M111" i="12"/>
  <c r="L111" i="12"/>
  <c r="K111" i="12"/>
  <c r="J111" i="12"/>
  <c r="I111" i="12"/>
  <c r="H111" i="12"/>
  <c r="G111" i="12"/>
  <c r="F111" i="12"/>
  <c r="E111" i="12"/>
  <c r="D111" i="12"/>
  <c r="C111" i="12"/>
  <c r="AH110" i="12"/>
  <c r="AH111" i="12" s="1"/>
  <c r="AH109" i="12"/>
  <c r="AR107" i="12"/>
  <c r="AN107" i="12"/>
  <c r="AG107" i="12"/>
  <c r="AF107" i="12"/>
  <c r="AE107" i="12"/>
  <c r="AD107" i="12"/>
  <c r="AC107" i="12"/>
  <c r="AB107" i="12"/>
  <c r="AA107" i="12"/>
  <c r="Z107" i="12"/>
  <c r="Y107" i="12"/>
  <c r="X107" i="12"/>
  <c r="W107" i="12"/>
  <c r="V107" i="12"/>
  <c r="U107" i="12"/>
  <c r="T107" i="12"/>
  <c r="S107" i="12"/>
  <c r="R107" i="12"/>
  <c r="Q107" i="12"/>
  <c r="P107" i="12"/>
  <c r="O107" i="12"/>
  <c r="N107" i="12"/>
  <c r="M107" i="12"/>
  <c r="L107" i="12"/>
  <c r="K107" i="12"/>
  <c r="J107" i="12"/>
  <c r="I107" i="12"/>
  <c r="H107" i="12"/>
  <c r="G107" i="12"/>
  <c r="F107" i="12"/>
  <c r="E107" i="12"/>
  <c r="D107" i="12"/>
  <c r="C107" i="12"/>
  <c r="AH106" i="12"/>
  <c r="AH105" i="12"/>
  <c r="AH107" i="12" s="1"/>
  <c r="AR103" i="12"/>
  <c r="AN103" i="12"/>
  <c r="AM103" i="12"/>
  <c r="AG103" i="12"/>
  <c r="AF103" i="12"/>
  <c r="AE103" i="12"/>
  <c r="AD103" i="12"/>
  <c r="AC103" i="12"/>
  <c r="AB103" i="12"/>
  <c r="AA103" i="12"/>
  <c r="Z103" i="12"/>
  <c r="Y103" i="12"/>
  <c r="X103" i="12"/>
  <c r="W103" i="12"/>
  <c r="V103" i="12"/>
  <c r="U103" i="12"/>
  <c r="T103" i="12"/>
  <c r="S103" i="12"/>
  <c r="R103" i="12"/>
  <c r="Q103" i="12"/>
  <c r="P103" i="12"/>
  <c r="O103" i="12"/>
  <c r="N103" i="12"/>
  <c r="M103" i="12"/>
  <c r="L103" i="12"/>
  <c r="K103" i="12"/>
  <c r="J103" i="12"/>
  <c r="I103" i="12"/>
  <c r="H103" i="12"/>
  <c r="G103" i="12"/>
  <c r="F103" i="12"/>
  <c r="E103" i="12"/>
  <c r="D103" i="12"/>
  <c r="C103" i="12"/>
  <c r="AH102" i="12"/>
  <c r="AH101" i="12"/>
  <c r="AH103" i="12" s="1"/>
  <c r="AR99" i="12"/>
  <c r="AN99" i="12"/>
  <c r="AM99" i="12"/>
  <c r="AH99" i="12"/>
  <c r="AG99" i="12"/>
  <c r="AF99" i="12"/>
  <c r="AE99" i="12"/>
  <c r="AD99" i="12"/>
  <c r="AC99" i="12"/>
  <c r="AB99" i="12"/>
  <c r="AA99" i="12"/>
  <c r="Z99" i="12"/>
  <c r="Y99" i="12"/>
  <c r="X99" i="12"/>
  <c r="W99" i="12"/>
  <c r="V99" i="12"/>
  <c r="U99" i="12"/>
  <c r="T99" i="12"/>
  <c r="S99" i="12"/>
  <c r="R99" i="12"/>
  <c r="Q99" i="12"/>
  <c r="P99" i="12"/>
  <c r="O99" i="12"/>
  <c r="N99" i="12"/>
  <c r="M99" i="12"/>
  <c r="L99" i="12"/>
  <c r="K99" i="12"/>
  <c r="J99" i="12"/>
  <c r="I99" i="12"/>
  <c r="H99" i="12"/>
  <c r="G99" i="12"/>
  <c r="F99" i="12"/>
  <c r="E99" i="12"/>
  <c r="D99" i="12"/>
  <c r="C99" i="12"/>
  <c r="AH98" i="12"/>
  <c r="AH97" i="12"/>
  <c r="AR95" i="12"/>
  <c r="AN95" i="12"/>
  <c r="AM95" i="12"/>
  <c r="AG95" i="12"/>
  <c r="AF95" i="12"/>
  <c r="AE95" i="12"/>
  <c r="AD95" i="12"/>
  <c r="AC95" i="12"/>
  <c r="AB95" i="12"/>
  <c r="AA95" i="12"/>
  <c r="Z95" i="12"/>
  <c r="Y95" i="12"/>
  <c r="X95" i="12"/>
  <c r="W95" i="12"/>
  <c r="V95" i="12"/>
  <c r="U95" i="12"/>
  <c r="T95" i="12"/>
  <c r="S95" i="12"/>
  <c r="R95" i="12"/>
  <c r="Q95" i="12"/>
  <c r="P95" i="12"/>
  <c r="O95" i="12"/>
  <c r="N95" i="12"/>
  <c r="M95" i="12"/>
  <c r="L95" i="12"/>
  <c r="K95" i="12"/>
  <c r="J95" i="12"/>
  <c r="I95" i="12"/>
  <c r="H95" i="12"/>
  <c r="G95" i="12"/>
  <c r="F95" i="12"/>
  <c r="E95" i="12"/>
  <c r="D95" i="12"/>
  <c r="C95" i="12"/>
  <c r="AH94" i="12"/>
  <c r="AH93" i="12"/>
  <c r="AH95" i="12" s="1"/>
  <c r="AR91" i="12"/>
  <c r="AN91" i="12"/>
  <c r="AM91" i="12"/>
  <c r="AG91" i="12"/>
  <c r="AF91" i="12"/>
  <c r="AE91" i="12"/>
  <c r="AD91" i="12"/>
  <c r="AC91" i="12"/>
  <c r="AB91" i="12"/>
  <c r="AA91" i="12"/>
  <c r="Z91" i="12"/>
  <c r="Y91" i="12"/>
  <c r="X91" i="12"/>
  <c r="W91" i="12"/>
  <c r="V91" i="12"/>
  <c r="U91" i="12"/>
  <c r="T91" i="12"/>
  <c r="S91" i="12"/>
  <c r="R91" i="12"/>
  <c r="Q91" i="12"/>
  <c r="P91" i="12"/>
  <c r="O91" i="12"/>
  <c r="N91" i="12"/>
  <c r="M91" i="12"/>
  <c r="L91" i="12"/>
  <c r="K91" i="12"/>
  <c r="J91" i="12"/>
  <c r="I91" i="12"/>
  <c r="H91" i="12"/>
  <c r="G91" i="12"/>
  <c r="F91" i="12"/>
  <c r="E91" i="12"/>
  <c r="D91" i="12"/>
  <c r="C91" i="12"/>
  <c r="AH90" i="12"/>
  <c r="AH89" i="12"/>
  <c r="AH91" i="12" s="1"/>
  <c r="AR87" i="12"/>
  <c r="AN87" i="12"/>
  <c r="AM87" i="12"/>
  <c r="AG87" i="12"/>
  <c r="AF87" i="12"/>
  <c r="AE87" i="12"/>
  <c r="AD87" i="12"/>
  <c r="AC87" i="12"/>
  <c r="AB87" i="12"/>
  <c r="AA87" i="12"/>
  <c r="Z87" i="12"/>
  <c r="Y87" i="12"/>
  <c r="X87" i="12"/>
  <c r="W87" i="12"/>
  <c r="V87" i="12"/>
  <c r="U87" i="12"/>
  <c r="T87" i="12"/>
  <c r="S87" i="12"/>
  <c r="R87" i="12"/>
  <c r="Q87" i="12"/>
  <c r="P87" i="12"/>
  <c r="O87" i="12"/>
  <c r="N87" i="12"/>
  <c r="M87" i="12"/>
  <c r="L87" i="12"/>
  <c r="K87" i="12"/>
  <c r="J87" i="12"/>
  <c r="I87" i="12"/>
  <c r="H87" i="12"/>
  <c r="G87" i="12"/>
  <c r="F87" i="12"/>
  <c r="E87" i="12"/>
  <c r="D87" i="12"/>
  <c r="C87" i="12"/>
  <c r="AH86" i="12"/>
  <c r="AH85" i="12"/>
  <c r="AH87" i="12" s="1"/>
  <c r="AR83" i="12"/>
  <c r="AN83" i="12"/>
  <c r="AM83" i="12"/>
  <c r="AH83" i="12"/>
  <c r="AG83" i="12"/>
  <c r="AF83" i="12"/>
  <c r="AE83" i="12"/>
  <c r="AD83" i="12"/>
  <c r="AC83" i="12"/>
  <c r="AB83" i="12"/>
  <c r="AA83" i="12"/>
  <c r="Z83" i="12"/>
  <c r="Y83" i="12"/>
  <c r="X83" i="12"/>
  <c r="W83" i="12"/>
  <c r="V83" i="12"/>
  <c r="U83" i="12"/>
  <c r="T83" i="12"/>
  <c r="S83" i="12"/>
  <c r="R83" i="12"/>
  <c r="Q83" i="12"/>
  <c r="P83" i="12"/>
  <c r="O83" i="12"/>
  <c r="N83" i="12"/>
  <c r="M83" i="12"/>
  <c r="L83" i="12"/>
  <c r="K83" i="12"/>
  <c r="J83" i="12"/>
  <c r="I83" i="12"/>
  <c r="H83" i="12"/>
  <c r="G83" i="12"/>
  <c r="F83" i="12"/>
  <c r="E83" i="12"/>
  <c r="D83" i="12"/>
  <c r="C83" i="12"/>
  <c r="AH82" i="12"/>
  <c r="AH81" i="12"/>
  <c r="AN79" i="12"/>
  <c r="AM79" i="12"/>
  <c r="AH79" i="12"/>
  <c r="AG79" i="12"/>
  <c r="AF79" i="12"/>
  <c r="AE79" i="12"/>
  <c r="AD79" i="12"/>
  <c r="AC79" i="12"/>
  <c r="AB79" i="12"/>
  <c r="AA79" i="12"/>
  <c r="Z79" i="12"/>
  <c r="Y79" i="12"/>
  <c r="X79" i="12"/>
  <c r="W79" i="12"/>
  <c r="V79" i="12"/>
  <c r="U79" i="12"/>
  <c r="T79" i="12"/>
  <c r="S79" i="12"/>
  <c r="R79" i="12"/>
  <c r="Q79" i="12"/>
  <c r="P79" i="12"/>
  <c r="O79" i="12"/>
  <c r="N79" i="12"/>
  <c r="M79" i="12"/>
  <c r="L79" i="12"/>
  <c r="K79" i="12"/>
  <c r="J79" i="12"/>
  <c r="I79" i="12"/>
  <c r="H79" i="12"/>
  <c r="G79" i="12"/>
  <c r="F79" i="12"/>
  <c r="E79" i="12"/>
  <c r="D79" i="12"/>
  <c r="C79" i="12"/>
  <c r="AH78" i="12"/>
  <c r="AH77" i="12"/>
  <c r="AL76" i="12"/>
  <c r="AK76" i="12"/>
  <c r="AJ76" i="12"/>
  <c r="AI76" i="12"/>
  <c r="AN75" i="12"/>
  <c r="AM75" i="12"/>
  <c r="AH75" i="12"/>
  <c r="AG75" i="12"/>
  <c r="AF75" i="12"/>
  <c r="AE75" i="12"/>
  <c r="AD75" i="12"/>
  <c r="AC75" i="12"/>
  <c r="AB75" i="12"/>
  <c r="AA75" i="12"/>
  <c r="Z75" i="12"/>
  <c r="Y75" i="12"/>
  <c r="X75" i="12"/>
  <c r="W75" i="12"/>
  <c r="V75" i="12"/>
  <c r="U75" i="12"/>
  <c r="T75" i="12"/>
  <c r="S75" i="12"/>
  <c r="R75" i="12"/>
  <c r="Q75" i="12"/>
  <c r="P75" i="12"/>
  <c r="O75" i="12"/>
  <c r="N75" i="12"/>
  <c r="M75" i="12"/>
  <c r="L75" i="12"/>
  <c r="K75" i="12"/>
  <c r="J75" i="12"/>
  <c r="I75" i="12"/>
  <c r="H75" i="12"/>
  <c r="G75" i="12"/>
  <c r="F75" i="12"/>
  <c r="E75" i="12"/>
  <c r="D75" i="12"/>
  <c r="C75" i="12"/>
  <c r="AH74" i="12"/>
  <c r="AH73" i="12"/>
  <c r="AN71" i="12"/>
  <c r="AM71" i="12"/>
  <c r="AH71" i="12"/>
  <c r="AG71" i="12"/>
  <c r="AF71" i="12"/>
  <c r="AE71" i="12"/>
  <c r="AD71" i="12"/>
  <c r="AC71" i="12"/>
  <c r="AB71" i="12"/>
  <c r="AA71" i="12"/>
  <c r="Z71" i="12"/>
  <c r="Y71" i="12"/>
  <c r="X71" i="12"/>
  <c r="W71" i="12"/>
  <c r="V71" i="12"/>
  <c r="U71" i="12"/>
  <c r="T71" i="12"/>
  <c r="S71" i="12"/>
  <c r="R71" i="12"/>
  <c r="Q71" i="12"/>
  <c r="P71" i="12"/>
  <c r="O71" i="12"/>
  <c r="N71" i="12"/>
  <c r="M71" i="12"/>
  <c r="L71" i="12"/>
  <c r="K71" i="12"/>
  <c r="J71" i="12"/>
  <c r="I71" i="12"/>
  <c r="H71" i="12"/>
  <c r="G71" i="12"/>
  <c r="F71" i="12"/>
  <c r="E71" i="12"/>
  <c r="D71" i="12"/>
  <c r="C71" i="12"/>
  <c r="AH70" i="12"/>
  <c r="AH69" i="12"/>
  <c r="AN67" i="12"/>
  <c r="AM67" i="12"/>
  <c r="AH67" i="12"/>
  <c r="AG67" i="12"/>
  <c r="AF67" i="12"/>
  <c r="AE67" i="12"/>
  <c r="AD67" i="12"/>
  <c r="AC67" i="12"/>
  <c r="AB67" i="12"/>
  <c r="AA67" i="12"/>
  <c r="Z67" i="12"/>
  <c r="Y67" i="12"/>
  <c r="X67" i="12"/>
  <c r="W67" i="12"/>
  <c r="V67" i="12"/>
  <c r="U67" i="12"/>
  <c r="T67" i="12"/>
  <c r="S67" i="12"/>
  <c r="R67" i="12"/>
  <c r="Q67" i="12"/>
  <c r="P67" i="12"/>
  <c r="O67" i="12"/>
  <c r="N67" i="12"/>
  <c r="M67" i="12"/>
  <c r="L67" i="12"/>
  <c r="K67" i="12"/>
  <c r="J67" i="12"/>
  <c r="I67" i="12"/>
  <c r="H67" i="12"/>
  <c r="G67" i="12"/>
  <c r="F67" i="12"/>
  <c r="E67" i="12"/>
  <c r="D67" i="12"/>
  <c r="C67" i="12"/>
  <c r="AH66" i="12"/>
  <c r="AH65" i="12"/>
  <c r="AN63" i="12"/>
  <c r="AM63" i="12"/>
  <c r="AH63" i="12"/>
  <c r="AG63" i="12"/>
  <c r="AF63" i="12"/>
  <c r="AE63" i="12"/>
  <c r="AD63" i="12"/>
  <c r="AC63" i="12"/>
  <c r="AB63" i="12"/>
  <c r="AA63" i="12"/>
  <c r="Z63" i="12"/>
  <c r="Y63" i="12"/>
  <c r="X63" i="12"/>
  <c r="W63" i="12"/>
  <c r="V63" i="12"/>
  <c r="U63" i="12"/>
  <c r="T63" i="12"/>
  <c r="S63" i="12"/>
  <c r="R63" i="12"/>
  <c r="Q63" i="12"/>
  <c r="P63" i="12"/>
  <c r="O63" i="12"/>
  <c r="N63" i="12"/>
  <c r="M63" i="12"/>
  <c r="L63" i="12"/>
  <c r="K63" i="12"/>
  <c r="J63" i="12"/>
  <c r="I63" i="12"/>
  <c r="H63" i="12"/>
  <c r="G63" i="12"/>
  <c r="F63" i="12"/>
  <c r="E63" i="12"/>
  <c r="D63" i="12"/>
  <c r="C63" i="12"/>
  <c r="AH62" i="12"/>
  <c r="AH61" i="12"/>
  <c r="AN59" i="12"/>
  <c r="AG59" i="12"/>
  <c r="AF59" i="12"/>
  <c r="AE59" i="12"/>
  <c r="AD59" i="12"/>
  <c r="AC59" i="12"/>
  <c r="AB59" i="12"/>
  <c r="AA59" i="12"/>
  <c r="Z59" i="12"/>
  <c r="Y59" i="12"/>
  <c r="X59" i="12"/>
  <c r="W59" i="12"/>
  <c r="V59" i="12"/>
  <c r="U59" i="12"/>
  <c r="T59" i="12"/>
  <c r="S59" i="12"/>
  <c r="R59" i="12"/>
  <c r="Q59" i="12"/>
  <c r="P59" i="12"/>
  <c r="O59" i="12"/>
  <c r="N59" i="12"/>
  <c r="M59" i="12"/>
  <c r="L59" i="12"/>
  <c r="K59" i="12"/>
  <c r="J59" i="12"/>
  <c r="I59" i="12"/>
  <c r="H59" i="12"/>
  <c r="G59" i="12"/>
  <c r="F59" i="12"/>
  <c r="E59" i="12"/>
  <c r="D59" i="12"/>
  <c r="C59" i="12"/>
  <c r="AH58" i="12"/>
  <c r="AH59" i="12" s="1"/>
  <c r="AH57" i="12"/>
  <c r="AN55" i="12"/>
  <c r="AM55" i="12"/>
  <c r="AG55" i="12"/>
  <c r="AF55" i="12"/>
  <c r="AE55" i="12"/>
  <c r="AD55" i="12"/>
  <c r="AC55" i="12"/>
  <c r="AB55" i="12"/>
  <c r="AA55" i="12"/>
  <c r="Z55" i="12"/>
  <c r="Y55" i="12"/>
  <c r="X55" i="12"/>
  <c r="W55" i="12"/>
  <c r="V55" i="12"/>
  <c r="U55" i="12"/>
  <c r="T55" i="12"/>
  <c r="S55" i="12"/>
  <c r="R55" i="12"/>
  <c r="Q55" i="12"/>
  <c r="P55" i="12"/>
  <c r="O55" i="12"/>
  <c r="N55" i="12"/>
  <c r="M55" i="12"/>
  <c r="L55" i="12"/>
  <c r="K55" i="12"/>
  <c r="J55" i="12"/>
  <c r="I55" i="12"/>
  <c r="H55" i="12"/>
  <c r="G55" i="12"/>
  <c r="F55" i="12"/>
  <c r="E55" i="12"/>
  <c r="D55" i="12"/>
  <c r="C55" i="12"/>
  <c r="AH54" i="12"/>
  <c r="AH55" i="12" s="1"/>
  <c r="AH53" i="12"/>
  <c r="AN51" i="12"/>
  <c r="AM51" i="12"/>
  <c r="AG51" i="12"/>
  <c r="AF51" i="12"/>
  <c r="AE51" i="12"/>
  <c r="AD51" i="12"/>
  <c r="AC51" i="12"/>
  <c r="AB51" i="12"/>
  <c r="AA51" i="12"/>
  <c r="Z51" i="12"/>
  <c r="Y51" i="12"/>
  <c r="X51" i="12"/>
  <c r="W51" i="12"/>
  <c r="V51" i="12"/>
  <c r="U51" i="12"/>
  <c r="T51" i="12"/>
  <c r="S51" i="12"/>
  <c r="R51" i="12"/>
  <c r="Q51" i="12"/>
  <c r="P51" i="12"/>
  <c r="O51" i="12"/>
  <c r="N51" i="12"/>
  <c r="M51" i="12"/>
  <c r="L51" i="12"/>
  <c r="K51" i="12"/>
  <c r="J51" i="12"/>
  <c r="I51" i="12"/>
  <c r="H51" i="12"/>
  <c r="G51" i="12"/>
  <c r="F51" i="12"/>
  <c r="E51" i="12"/>
  <c r="D51" i="12"/>
  <c r="C51" i="12"/>
  <c r="AH50" i="12"/>
  <c r="AH51" i="12" s="1"/>
  <c r="AH49" i="12"/>
  <c r="AN47" i="12"/>
  <c r="AM47" i="12"/>
  <c r="AH47" i="12"/>
  <c r="AG47" i="12"/>
  <c r="AF47" i="12"/>
  <c r="AE47" i="12"/>
  <c r="AD47" i="12"/>
  <c r="AC47" i="12"/>
  <c r="AB47" i="12"/>
  <c r="AA47" i="12"/>
  <c r="Z47" i="12"/>
  <c r="Y47" i="12"/>
  <c r="X47" i="12"/>
  <c r="W47" i="12"/>
  <c r="V47" i="12"/>
  <c r="U47" i="12"/>
  <c r="T47" i="12"/>
  <c r="S47" i="12"/>
  <c r="R47" i="12"/>
  <c r="Q47" i="12"/>
  <c r="P47" i="12"/>
  <c r="O47" i="12"/>
  <c r="N47" i="12"/>
  <c r="M47" i="12"/>
  <c r="L47" i="12"/>
  <c r="K47" i="12"/>
  <c r="J47" i="12"/>
  <c r="I47" i="12"/>
  <c r="H47" i="12"/>
  <c r="G47" i="12"/>
  <c r="F47" i="12"/>
  <c r="E47" i="12"/>
  <c r="D47" i="12"/>
  <c r="C47" i="12"/>
  <c r="AH46" i="12"/>
  <c r="AH45" i="12"/>
  <c r="AN43" i="12"/>
  <c r="AM43" i="12"/>
  <c r="AH43" i="12"/>
  <c r="AG43" i="12"/>
  <c r="AF43" i="12"/>
  <c r="AE43" i="12"/>
  <c r="AD43" i="12"/>
  <c r="AC43" i="12"/>
  <c r="AB43" i="12"/>
  <c r="AA43" i="12"/>
  <c r="Z43" i="12"/>
  <c r="Y43" i="12"/>
  <c r="X43" i="12"/>
  <c r="W43" i="12"/>
  <c r="V43" i="12"/>
  <c r="U43" i="12"/>
  <c r="T43" i="12"/>
  <c r="S43" i="12"/>
  <c r="R43" i="12"/>
  <c r="Q43" i="12"/>
  <c r="P43" i="12"/>
  <c r="O43" i="12"/>
  <c r="N43" i="12"/>
  <c r="M43" i="12"/>
  <c r="L43" i="12"/>
  <c r="K43" i="12"/>
  <c r="J43" i="12"/>
  <c r="I43" i="12"/>
  <c r="H43" i="12"/>
  <c r="G43" i="12"/>
  <c r="F43" i="12"/>
  <c r="E43" i="12"/>
  <c r="D43" i="12"/>
  <c r="C43" i="12"/>
  <c r="AH42" i="12"/>
  <c r="AH41" i="12"/>
  <c r="AN39" i="12"/>
  <c r="AM39" i="12"/>
  <c r="AG39" i="12"/>
  <c r="AF39" i="12"/>
  <c r="AE39" i="12"/>
  <c r="AD39" i="12"/>
  <c r="AC39" i="12"/>
  <c r="AB39" i="12"/>
  <c r="AA39" i="12"/>
  <c r="Z39" i="12"/>
  <c r="Y39" i="12"/>
  <c r="X39" i="12"/>
  <c r="W39" i="12"/>
  <c r="V39" i="12"/>
  <c r="U39" i="12"/>
  <c r="T39" i="12"/>
  <c r="S39" i="12"/>
  <c r="R39" i="12"/>
  <c r="Q39" i="12"/>
  <c r="P39" i="12"/>
  <c r="O39" i="12"/>
  <c r="N39" i="12"/>
  <c r="M39" i="12"/>
  <c r="L39" i="12"/>
  <c r="K39" i="12"/>
  <c r="J39" i="12"/>
  <c r="I39" i="12"/>
  <c r="H39" i="12"/>
  <c r="G39" i="12"/>
  <c r="F39" i="12"/>
  <c r="E39" i="12"/>
  <c r="D39" i="12"/>
  <c r="C39" i="12"/>
  <c r="AH38" i="12"/>
  <c r="AH37" i="12"/>
  <c r="AH39" i="12" s="1"/>
  <c r="AN35" i="12"/>
  <c r="AM35" i="12"/>
  <c r="AG35" i="12"/>
  <c r="AF35" i="12"/>
  <c r="AE35" i="12"/>
  <c r="AD35" i="12"/>
  <c r="AC35" i="12"/>
  <c r="AB35" i="12"/>
  <c r="AA35" i="12"/>
  <c r="Z35" i="12"/>
  <c r="Y35" i="12"/>
  <c r="X35" i="12"/>
  <c r="W35" i="12"/>
  <c r="V35" i="12"/>
  <c r="U35" i="12"/>
  <c r="T35" i="12"/>
  <c r="S35" i="12"/>
  <c r="R35" i="12"/>
  <c r="Q35" i="12"/>
  <c r="P35" i="12"/>
  <c r="O35" i="12"/>
  <c r="N35" i="12"/>
  <c r="M35" i="12"/>
  <c r="L35" i="12"/>
  <c r="K35" i="12"/>
  <c r="J35" i="12"/>
  <c r="I35" i="12"/>
  <c r="H35" i="12"/>
  <c r="G35" i="12"/>
  <c r="F35" i="12"/>
  <c r="E35" i="12"/>
  <c r="D35" i="12"/>
  <c r="C35" i="12"/>
  <c r="AH34" i="12"/>
  <c r="AH33" i="12"/>
  <c r="AH35" i="12" s="1"/>
  <c r="AN31" i="12"/>
  <c r="AM31" i="12"/>
  <c r="AG31" i="12"/>
  <c r="AF31" i="12"/>
  <c r="AE31" i="12"/>
  <c r="AD31" i="12"/>
  <c r="AC31" i="12"/>
  <c r="AB31" i="12"/>
  <c r="AA31" i="12"/>
  <c r="Z31" i="12"/>
  <c r="Y31" i="12"/>
  <c r="X31" i="12"/>
  <c r="W31" i="12"/>
  <c r="V31" i="12"/>
  <c r="U31" i="12"/>
  <c r="T31" i="12"/>
  <c r="S31" i="12"/>
  <c r="R31" i="12"/>
  <c r="Q31" i="12"/>
  <c r="P31" i="12"/>
  <c r="O31" i="12"/>
  <c r="N31" i="12"/>
  <c r="M31" i="12"/>
  <c r="L31" i="12"/>
  <c r="K31" i="12"/>
  <c r="J31" i="12"/>
  <c r="I31" i="12"/>
  <c r="H31" i="12"/>
  <c r="G31" i="12"/>
  <c r="F31" i="12"/>
  <c r="E31" i="12"/>
  <c r="D31" i="12"/>
  <c r="C31" i="12"/>
  <c r="AH30" i="12"/>
  <c r="AH29" i="12"/>
  <c r="AH31" i="12" s="1"/>
  <c r="AN27" i="12"/>
  <c r="AM27" i="12"/>
  <c r="AG27" i="12"/>
  <c r="AF27" i="12"/>
  <c r="AE27" i="12"/>
  <c r="AD27" i="12"/>
  <c r="AC27" i="12"/>
  <c r="AB27" i="12"/>
  <c r="AA27" i="12"/>
  <c r="Z27" i="12"/>
  <c r="Y27" i="12"/>
  <c r="X27" i="12"/>
  <c r="W27" i="12"/>
  <c r="V27" i="12"/>
  <c r="U27" i="12"/>
  <c r="T27" i="12"/>
  <c r="S27" i="12"/>
  <c r="R27" i="12"/>
  <c r="Q27" i="12"/>
  <c r="P27" i="12"/>
  <c r="O27" i="12"/>
  <c r="N27" i="12"/>
  <c r="M27" i="12"/>
  <c r="L27" i="12"/>
  <c r="K27" i="12"/>
  <c r="J27" i="12"/>
  <c r="I27" i="12"/>
  <c r="H27" i="12"/>
  <c r="G27" i="12"/>
  <c r="F27" i="12"/>
  <c r="E27" i="12"/>
  <c r="D27" i="12"/>
  <c r="C27" i="12"/>
  <c r="AH26" i="12"/>
  <c r="AH25" i="12"/>
  <c r="AH27" i="12" s="1"/>
  <c r="AN23" i="12"/>
  <c r="AM23" i="12"/>
  <c r="AG23" i="12"/>
  <c r="AF23" i="12"/>
  <c r="AE23" i="12"/>
  <c r="AD23" i="12"/>
  <c r="AC23" i="12"/>
  <c r="AB23" i="12"/>
  <c r="AA23" i="12"/>
  <c r="Z23" i="12"/>
  <c r="Y23" i="12"/>
  <c r="X23" i="12"/>
  <c r="W23" i="12"/>
  <c r="V23" i="12"/>
  <c r="U23" i="12"/>
  <c r="T23" i="12"/>
  <c r="S23" i="12"/>
  <c r="R23" i="12"/>
  <c r="Q23" i="12"/>
  <c r="P23" i="12"/>
  <c r="O23" i="12"/>
  <c r="N23" i="12"/>
  <c r="M23" i="12"/>
  <c r="L23" i="12"/>
  <c r="K23" i="12"/>
  <c r="J23" i="12"/>
  <c r="I23" i="12"/>
  <c r="H23" i="12"/>
  <c r="G23" i="12"/>
  <c r="F23" i="12"/>
  <c r="E23" i="12"/>
  <c r="D23" i="12"/>
  <c r="C23" i="12"/>
  <c r="AH22" i="12"/>
  <c r="AH21" i="12"/>
  <c r="AH23" i="12" s="1"/>
  <c r="AN19" i="12"/>
  <c r="AM19" i="12"/>
  <c r="AG19" i="12"/>
  <c r="AF19" i="12"/>
  <c r="AE19" i="12"/>
  <c r="AD19" i="12"/>
  <c r="AC19" i="12"/>
  <c r="AB19" i="12"/>
  <c r="AA19" i="12"/>
  <c r="Z19" i="12"/>
  <c r="Y19" i="12"/>
  <c r="X19" i="12"/>
  <c r="W19" i="12"/>
  <c r="V19" i="12"/>
  <c r="U19" i="12"/>
  <c r="T19" i="12"/>
  <c r="S19" i="12"/>
  <c r="R19" i="12"/>
  <c r="Q19" i="12"/>
  <c r="P19" i="12"/>
  <c r="O19" i="12"/>
  <c r="N19" i="12"/>
  <c r="M19" i="12"/>
  <c r="L19" i="12"/>
  <c r="K19" i="12"/>
  <c r="J19" i="12"/>
  <c r="I19" i="12"/>
  <c r="H19" i="12"/>
  <c r="G19" i="12"/>
  <c r="F19" i="12"/>
  <c r="E19" i="12"/>
  <c r="D19" i="12"/>
  <c r="C19" i="12"/>
  <c r="AH18" i="12"/>
  <c r="AH17" i="12"/>
  <c r="AH19" i="12" s="1"/>
  <c r="AO15" i="12"/>
  <c r="AN15" i="12"/>
  <c r="AM15" i="12"/>
  <c r="AG15" i="12"/>
  <c r="AF15" i="12"/>
  <c r="AE15" i="12"/>
  <c r="AD15" i="12"/>
  <c r="AC15" i="12"/>
  <c r="AB15" i="12"/>
  <c r="AA15" i="12"/>
  <c r="Z15" i="12"/>
  <c r="Y15" i="12"/>
  <c r="X15" i="12"/>
  <c r="W15" i="12"/>
  <c r="V15" i="12"/>
  <c r="U15" i="12"/>
  <c r="T15" i="12"/>
  <c r="S15" i="12"/>
  <c r="R15" i="12"/>
  <c r="Q15" i="12"/>
  <c r="P15" i="12"/>
  <c r="O15" i="12"/>
  <c r="N15" i="12"/>
  <c r="M15" i="12"/>
  <c r="L15" i="12"/>
  <c r="K15" i="12"/>
  <c r="J15" i="12"/>
  <c r="I15" i="12"/>
  <c r="H15" i="12"/>
  <c r="G15" i="12"/>
  <c r="F15" i="12"/>
  <c r="E15" i="12"/>
  <c r="D15" i="12"/>
  <c r="C15" i="12"/>
  <c r="AH14" i="12"/>
  <c r="AH13" i="12"/>
  <c r="AH15" i="12" s="1"/>
  <c r="AN11" i="12"/>
  <c r="AM11" i="12"/>
  <c r="AG11" i="12"/>
  <c r="AF11" i="12"/>
  <c r="AE11" i="12"/>
  <c r="AD11" i="12"/>
  <c r="AC11" i="12"/>
  <c r="AB11" i="12"/>
  <c r="AA11" i="12"/>
  <c r="Z11" i="12"/>
  <c r="Y11" i="12"/>
  <c r="X11" i="12"/>
  <c r="W11" i="12"/>
  <c r="V11" i="12"/>
  <c r="U11" i="12"/>
  <c r="T11" i="12"/>
  <c r="S11" i="12"/>
  <c r="R11" i="12"/>
  <c r="Q11" i="12"/>
  <c r="P11" i="12"/>
  <c r="O11" i="12"/>
  <c r="N11" i="12"/>
  <c r="M11" i="12"/>
  <c r="L11" i="12"/>
  <c r="K11" i="12"/>
  <c r="J11" i="12"/>
  <c r="I11" i="12"/>
  <c r="H11" i="12"/>
  <c r="G11" i="12"/>
  <c r="F11" i="12"/>
  <c r="E11" i="12"/>
  <c r="D11" i="12"/>
  <c r="C11" i="12"/>
  <c r="AH10" i="12"/>
  <c r="AH9" i="12"/>
  <c r="AH11" i="12" s="1"/>
  <c r="AN7" i="12"/>
  <c r="AM7" i="12"/>
  <c r="AG7" i="12"/>
  <c r="AF7" i="12"/>
  <c r="AE7" i="12"/>
  <c r="AD7" i="12"/>
  <c r="AC7" i="12"/>
  <c r="AB7" i="12"/>
  <c r="AA7" i="12"/>
  <c r="Z7" i="12"/>
  <c r="Y7" i="12"/>
  <c r="X7" i="12"/>
  <c r="W7" i="12"/>
  <c r="V7" i="12"/>
  <c r="U7" i="12"/>
  <c r="T7" i="12"/>
  <c r="S7" i="12"/>
  <c r="R7" i="12"/>
  <c r="Q7" i="12"/>
  <c r="P7" i="12"/>
  <c r="O7" i="12"/>
  <c r="N7" i="12"/>
  <c r="M7" i="12"/>
  <c r="L7" i="12"/>
  <c r="K7" i="12"/>
  <c r="J7" i="12"/>
  <c r="I7" i="12"/>
  <c r="H7" i="12"/>
  <c r="G7" i="12"/>
  <c r="F7" i="12"/>
  <c r="E7" i="12"/>
  <c r="D7" i="12"/>
  <c r="C7" i="12"/>
  <c r="AH6" i="12"/>
  <c r="AH5" i="12"/>
  <c r="AH7" i="12" s="1"/>
  <c r="AG3" i="12"/>
  <c r="AF3" i="12"/>
  <c r="AE3" i="12"/>
  <c r="AD3" i="12"/>
  <c r="AC3" i="12"/>
  <c r="AB3" i="12"/>
  <c r="AA3" i="12"/>
  <c r="Z3" i="12"/>
  <c r="Y3" i="12"/>
  <c r="X3" i="12"/>
  <c r="W3" i="12"/>
  <c r="V3" i="12"/>
  <c r="U3" i="12"/>
  <c r="T3" i="12"/>
  <c r="S3" i="12"/>
  <c r="R3" i="12"/>
  <c r="Q3" i="12"/>
  <c r="P3" i="12"/>
  <c r="O3" i="12"/>
  <c r="N3" i="12"/>
  <c r="M3" i="12"/>
  <c r="L3" i="12"/>
  <c r="K3" i="12"/>
  <c r="J3" i="12"/>
  <c r="I3" i="12"/>
  <c r="H3" i="12"/>
  <c r="G3" i="12"/>
  <c r="F3" i="12"/>
  <c r="E3" i="12"/>
  <c r="D3" i="12"/>
  <c r="C3" i="12"/>
  <c r="AR123" i="11"/>
  <c r="AO123" i="11"/>
  <c r="AN123" i="11"/>
  <c r="AG123" i="11"/>
  <c r="AF123" i="11"/>
  <c r="AE123" i="11"/>
  <c r="AD123" i="11"/>
  <c r="AC123" i="11"/>
  <c r="AB123" i="11"/>
  <c r="AA123" i="11"/>
  <c r="Z123" i="11"/>
  <c r="Y123" i="11"/>
  <c r="X123" i="11"/>
  <c r="W123" i="11"/>
  <c r="V123" i="11"/>
  <c r="U123" i="11"/>
  <c r="T123" i="11"/>
  <c r="S123" i="11"/>
  <c r="R123" i="11"/>
  <c r="Q123" i="11"/>
  <c r="P123" i="11"/>
  <c r="O123" i="11"/>
  <c r="N123" i="11"/>
  <c r="M123" i="11"/>
  <c r="L123" i="11"/>
  <c r="K123" i="11"/>
  <c r="J123" i="11"/>
  <c r="I123" i="11"/>
  <c r="H123" i="11"/>
  <c r="G123" i="11"/>
  <c r="F123" i="11"/>
  <c r="E123" i="11"/>
  <c r="D123" i="11"/>
  <c r="C123" i="11"/>
  <c r="AH122" i="11"/>
  <c r="AH121" i="11"/>
  <c r="AR119" i="11"/>
  <c r="AO119" i="11"/>
  <c r="AN119" i="11"/>
  <c r="AG119" i="11"/>
  <c r="AF119" i="11"/>
  <c r="AE119" i="11"/>
  <c r="AD119" i="11"/>
  <c r="AC119" i="11"/>
  <c r="AB119" i="11"/>
  <c r="AA119" i="11"/>
  <c r="Z119" i="11"/>
  <c r="Y119" i="11"/>
  <c r="X119" i="11"/>
  <c r="W119" i="11"/>
  <c r="V119" i="11"/>
  <c r="U119" i="11"/>
  <c r="T119" i="11"/>
  <c r="S119" i="11"/>
  <c r="R119" i="11"/>
  <c r="Q119" i="11"/>
  <c r="P119" i="11"/>
  <c r="O119" i="11"/>
  <c r="N119" i="11"/>
  <c r="M119" i="11"/>
  <c r="L119" i="11"/>
  <c r="K119" i="11"/>
  <c r="J119" i="11"/>
  <c r="I119" i="11"/>
  <c r="H119" i="11"/>
  <c r="G119" i="11"/>
  <c r="F119" i="11"/>
  <c r="E119" i="11"/>
  <c r="D119" i="11"/>
  <c r="C119" i="11"/>
  <c r="AH118" i="11"/>
  <c r="AH119" i="11" s="1"/>
  <c r="AH117" i="11"/>
  <c r="AR115" i="11"/>
  <c r="AN115" i="11"/>
  <c r="AG115" i="11"/>
  <c r="AF115" i="11"/>
  <c r="AE115" i="11"/>
  <c r="AD115" i="11"/>
  <c r="AC115" i="11"/>
  <c r="AB115" i="11"/>
  <c r="AA115" i="11"/>
  <c r="Z115" i="11"/>
  <c r="Y115" i="11"/>
  <c r="X115" i="11"/>
  <c r="W115" i="11"/>
  <c r="V115" i="11"/>
  <c r="U115" i="11"/>
  <c r="T115" i="11"/>
  <c r="S115" i="11"/>
  <c r="R115" i="11"/>
  <c r="Q115" i="11"/>
  <c r="P115" i="11"/>
  <c r="O115" i="11"/>
  <c r="N115" i="11"/>
  <c r="M115" i="11"/>
  <c r="L115" i="11"/>
  <c r="K115" i="11"/>
  <c r="J115" i="11"/>
  <c r="I115" i="11"/>
  <c r="H115" i="11"/>
  <c r="G115" i="11"/>
  <c r="F115" i="11"/>
  <c r="E115" i="11"/>
  <c r="D115" i="11"/>
  <c r="C115" i="11"/>
  <c r="AH114" i="11"/>
  <c r="AH113" i="11"/>
  <c r="AH115" i="11" s="1"/>
  <c r="AR111" i="11"/>
  <c r="AN111" i="11"/>
  <c r="AG111" i="11"/>
  <c r="AF111" i="11"/>
  <c r="AE111" i="11"/>
  <c r="AD111" i="11"/>
  <c r="AC111" i="11"/>
  <c r="AB111" i="11"/>
  <c r="AA111" i="11"/>
  <c r="Z111" i="11"/>
  <c r="Y111" i="11"/>
  <c r="X111" i="11"/>
  <c r="W111" i="11"/>
  <c r="V111" i="11"/>
  <c r="U111" i="11"/>
  <c r="T111" i="11"/>
  <c r="S111" i="11"/>
  <c r="R111" i="11"/>
  <c r="Q111" i="11"/>
  <c r="P111" i="11"/>
  <c r="O111" i="11"/>
  <c r="N111" i="11"/>
  <c r="M111" i="11"/>
  <c r="L111" i="11"/>
  <c r="K111" i="11"/>
  <c r="J111" i="11"/>
  <c r="I111" i="11"/>
  <c r="H111" i="11"/>
  <c r="G111" i="11"/>
  <c r="F111" i="11"/>
  <c r="E111" i="11"/>
  <c r="D111" i="11"/>
  <c r="C111" i="11"/>
  <c r="AH110" i="11"/>
  <c r="AH109" i="11"/>
  <c r="AH111" i="11" s="1"/>
  <c r="AR107" i="11"/>
  <c r="AN107" i="11"/>
  <c r="AG107" i="11"/>
  <c r="AF107" i="11"/>
  <c r="AE107" i="11"/>
  <c r="AD107" i="11"/>
  <c r="AC107" i="11"/>
  <c r="AB107" i="11"/>
  <c r="AA107" i="11"/>
  <c r="Z107" i="11"/>
  <c r="Y107" i="11"/>
  <c r="X107" i="11"/>
  <c r="W107" i="11"/>
  <c r="V107" i="11"/>
  <c r="U107" i="11"/>
  <c r="T107" i="11"/>
  <c r="S107" i="11"/>
  <c r="R107" i="11"/>
  <c r="Q107" i="11"/>
  <c r="P107" i="11"/>
  <c r="O107" i="11"/>
  <c r="N107" i="11"/>
  <c r="M107" i="11"/>
  <c r="L107" i="11"/>
  <c r="K107" i="11"/>
  <c r="J107" i="11"/>
  <c r="I107" i="11"/>
  <c r="H107" i="11"/>
  <c r="G107" i="11"/>
  <c r="F107" i="11"/>
  <c r="E107" i="11"/>
  <c r="D107" i="11"/>
  <c r="C107" i="11"/>
  <c r="AH106" i="11"/>
  <c r="AH105" i="11"/>
  <c r="AH107" i="11" s="1"/>
  <c r="AR103" i="11"/>
  <c r="AN103" i="11"/>
  <c r="AM103" i="11"/>
  <c r="AG103" i="11"/>
  <c r="AF103" i="11"/>
  <c r="AE103" i="11"/>
  <c r="AD103" i="11"/>
  <c r="AC103" i="11"/>
  <c r="AB103" i="11"/>
  <c r="AA103" i="11"/>
  <c r="Z103" i="11"/>
  <c r="Y103" i="11"/>
  <c r="X103" i="11"/>
  <c r="W103" i="11"/>
  <c r="V103" i="11"/>
  <c r="U103" i="11"/>
  <c r="T103" i="11"/>
  <c r="S103" i="11"/>
  <c r="R103" i="11"/>
  <c r="Q103" i="11"/>
  <c r="P103" i="11"/>
  <c r="O103" i="11"/>
  <c r="N103" i="11"/>
  <c r="M103" i="11"/>
  <c r="L103" i="11"/>
  <c r="K103" i="11"/>
  <c r="J103" i="11"/>
  <c r="I103" i="11"/>
  <c r="H103" i="11"/>
  <c r="G103" i="11"/>
  <c r="F103" i="11"/>
  <c r="E103" i="11"/>
  <c r="D103" i="11"/>
  <c r="C103" i="11"/>
  <c r="AH102" i="11"/>
  <c r="AH103" i="11" s="1"/>
  <c r="AH101" i="11"/>
  <c r="AR99" i="11"/>
  <c r="AN99" i="11"/>
  <c r="AM99" i="11"/>
  <c r="AG99" i="11"/>
  <c r="AF99" i="11"/>
  <c r="AE99" i="11"/>
  <c r="AD99" i="11"/>
  <c r="AC99" i="11"/>
  <c r="AB99" i="11"/>
  <c r="AA99" i="11"/>
  <c r="Z99" i="11"/>
  <c r="Y99" i="11"/>
  <c r="X99" i="11"/>
  <c r="W99" i="11"/>
  <c r="V99" i="11"/>
  <c r="U99" i="11"/>
  <c r="T99" i="11"/>
  <c r="S99" i="11"/>
  <c r="R99" i="11"/>
  <c r="Q99" i="11"/>
  <c r="P99" i="11"/>
  <c r="O99" i="11"/>
  <c r="N99" i="11"/>
  <c r="M99" i="11"/>
  <c r="L99" i="11"/>
  <c r="K99" i="11"/>
  <c r="J99" i="11"/>
  <c r="I99" i="11"/>
  <c r="H99" i="11"/>
  <c r="G99" i="11"/>
  <c r="F99" i="11"/>
  <c r="E99" i="11"/>
  <c r="D99" i="11"/>
  <c r="C99" i="11"/>
  <c r="AH98" i="11"/>
  <c r="AH97" i="11"/>
  <c r="AH99" i="11" s="1"/>
  <c r="AR95" i="11"/>
  <c r="AN95" i="11"/>
  <c r="AM95" i="11"/>
  <c r="AG95" i="11"/>
  <c r="AF95" i="11"/>
  <c r="AE95" i="11"/>
  <c r="AD95" i="11"/>
  <c r="AC95" i="11"/>
  <c r="AB95" i="11"/>
  <c r="AA95" i="11"/>
  <c r="Z95" i="11"/>
  <c r="Y95" i="11"/>
  <c r="X95" i="11"/>
  <c r="W95" i="11"/>
  <c r="V95" i="11"/>
  <c r="U95" i="11"/>
  <c r="T95" i="11"/>
  <c r="S95" i="11"/>
  <c r="R95" i="11"/>
  <c r="Q95" i="11"/>
  <c r="P95" i="11"/>
  <c r="O95" i="11"/>
  <c r="N95" i="11"/>
  <c r="M95" i="11"/>
  <c r="L95" i="11"/>
  <c r="K95" i="11"/>
  <c r="J95" i="11"/>
  <c r="I95" i="11"/>
  <c r="H95" i="11"/>
  <c r="G95" i="11"/>
  <c r="F95" i="11"/>
  <c r="E95" i="11"/>
  <c r="D95" i="11"/>
  <c r="C95" i="11"/>
  <c r="AH94" i="11"/>
  <c r="AH95" i="11" s="1"/>
  <c r="AH93" i="11"/>
  <c r="AR91" i="11"/>
  <c r="AN91" i="11"/>
  <c r="AM91" i="11"/>
  <c r="AG91" i="11"/>
  <c r="AF91" i="11"/>
  <c r="AE91" i="11"/>
  <c r="AD91" i="11"/>
  <c r="AC91" i="11"/>
  <c r="AB91" i="11"/>
  <c r="AA91" i="11"/>
  <c r="Z91" i="11"/>
  <c r="Y91" i="11"/>
  <c r="X91" i="11"/>
  <c r="W91" i="11"/>
  <c r="V91" i="11"/>
  <c r="U91" i="11"/>
  <c r="T91" i="11"/>
  <c r="S91" i="11"/>
  <c r="R91" i="11"/>
  <c r="Q91" i="11"/>
  <c r="P91" i="11"/>
  <c r="O91" i="11"/>
  <c r="N91" i="11"/>
  <c r="M91" i="11"/>
  <c r="L91" i="11"/>
  <c r="K91" i="11"/>
  <c r="J91" i="11"/>
  <c r="I91" i="11"/>
  <c r="H91" i="11"/>
  <c r="G91" i="11"/>
  <c r="F91" i="11"/>
  <c r="E91" i="11"/>
  <c r="D91" i="11"/>
  <c r="C91" i="11"/>
  <c r="AH90" i="11"/>
  <c r="AH89" i="11"/>
  <c r="AH91" i="11" s="1"/>
  <c r="AR87" i="11"/>
  <c r="AN87" i="11"/>
  <c r="AM87" i="11"/>
  <c r="AH87" i="11"/>
  <c r="AG87" i="11"/>
  <c r="AF87" i="11"/>
  <c r="AE87" i="11"/>
  <c r="AD87" i="11"/>
  <c r="AC87" i="11"/>
  <c r="AB87" i="11"/>
  <c r="AA87" i="11"/>
  <c r="Z87" i="11"/>
  <c r="Y87" i="11"/>
  <c r="X87" i="11"/>
  <c r="W87" i="11"/>
  <c r="V87" i="11"/>
  <c r="U87" i="11"/>
  <c r="T87" i="11"/>
  <c r="S87" i="11"/>
  <c r="R87" i="11"/>
  <c r="Q87" i="11"/>
  <c r="P87" i="11"/>
  <c r="O87" i="11"/>
  <c r="N87" i="11"/>
  <c r="M87" i="11"/>
  <c r="L87" i="11"/>
  <c r="K87" i="11"/>
  <c r="J87" i="11"/>
  <c r="I87" i="11"/>
  <c r="H87" i="11"/>
  <c r="G87" i="11"/>
  <c r="F87" i="11"/>
  <c r="E87" i="11"/>
  <c r="D87" i="11"/>
  <c r="C87" i="11"/>
  <c r="AH86" i="11"/>
  <c r="AH85" i="11"/>
  <c r="AR83" i="11"/>
  <c r="AN83" i="11"/>
  <c r="AM83" i="11"/>
  <c r="AG83" i="11"/>
  <c r="AF83" i="11"/>
  <c r="AE83" i="11"/>
  <c r="AD83" i="11"/>
  <c r="AC83" i="11"/>
  <c r="AB83" i="11"/>
  <c r="AA83" i="11"/>
  <c r="Z83" i="11"/>
  <c r="Y83" i="11"/>
  <c r="X83" i="11"/>
  <c r="W83" i="11"/>
  <c r="V83" i="11"/>
  <c r="U83" i="11"/>
  <c r="T83" i="11"/>
  <c r="S83" i="11"/>
  <c r="R83" i="11"/>
  <c r="Q83" i="11"/>
  <c r="P83" i="11"/>
  <c r="O83" i="11"/>
  <c r="N83" i="11"/>
  <c r="M83" i="11"/>
  <c r="L83" i="11"/>
  <c r="K83" i="11"/>
  <c r="J83" i="11"/>
  <c r="I83" i="11"/>
  <c r="H83" i="11"/>
  <c r="G83" i="11"/>
  <c r="F83" i="11"/>
  <c r="E83" i="11"/>
  <c r="D83" i="11"/>
  <c r="C83" i="11"/>
  <c r="AH82" i="11"/>
  <c r="AH81" i="11"/>
  <c r="AH83" i="11" s="1"/>
  <c r="AN79" i="11"/>
  <c r="AM79" i="11"/>
  <c r="AG79" i="11"/>
  <c r="AF79" i="11"/>
  <c r="AE79" i="11"/>
  <c r="AD79" i="11"/>
  <c r="AC79" i="11"/>
  <c r="AB79" i="11"/>
  <c r="AA79" i="11"/>
  <c r="Z79" i="11"/>
  <c r="Y79" i="11"/>
  <c r="X79" i="11"/>
  <c r="W79" i="11"/>
  <c r="V79" i="11"/>
  <c r="U79" i="11"/>
  <c r="T79" i="11"/>
  <c r="S79" i="11"/>
  <c r="R79" i="11"/>
  <c r="Q79" i="11"/>
  <c r="P79" i="11"/>
  <c r="O79" i="11"/>
  <c r="N79" i="11"/>
  <c r="M79" i="11"/>
  <c r="L79" i="11"/>
  <c r="K79" i="11"/>
  <c r="J79" i="11"/>
  <c r="I79" i="11"/>
  <c r="H79" i="11"/>
  <c r="G79" i="11"/>
  <c r="F79" i="11"/>
  <c r="E79" i="11"/>
  <c r="D79" i="11"/>
  <c r="C79" i="11"/>
  <c r="AH78" i="11"/>
  <c r="AH77" i="11"/>
  <c r="AH79" i="11" s="1"/>
  <c r="AN75" i="11"/>
  <c r="AM75" i="11"/>
  <c r="AG75" i="11"/>
  <c r="AF75" i="11"/>
  <c r="AE75" i="11"/>
  <c r="AD75" i="11"/>
  <c r="AC75" i="11"/>
  <c r="AB75" i="11"/>
  <c r="AA75" i="11"/>
  <c r="Z75" i="11"/>
  <c r="Y75" i="11"/>
  <c r="X75" i="11"/>
  <c r="W75" i="11"/>
  <c r="V75" i="11"/>
  <c r="U75" i="11"/>
  <c r="T75" i="11"/>
  <c r="S75" i="11"/>
  <c r="R75" i="11"/>
  <c r="Q75" i="11"/>
  <c r="P75" i="11"/>
  <c r="O75" i="11"/>
  <c r="N75" i="11"/>
  <c r="M75" i="11"/>
  <c r="L75" i="11"/>
  <c r="K75" i="11"/>
  <c r="J75" i="11"/>
  <c r="I75" i="11"/>
  <c r="H75" i="11"/>
  <c r="G75" i="11"/>
  <c r="F75" i="11"/>
  <c r="E75" i="11"/>
  <c r="D75" i="11"/>
  <c r="C75" i="11"/>
  <c r="AH74" i="11"/>
  <c r="AH73" i="11"/>
  <c r="AH75" i="11" s="1"/>
  <c r="AN71" i="11"/>
  <c r="AM71" i="11"/>
  <c r="AG71" i="11"/>
  <c r="AF71" i="11"/>
  <c r="AE71" i="11"/>
  <c r="AD71" i="11"/>
  <c r="AC71" i="11"/>
  <c r="AB71" i="11"/>
  <c r="AA71" i="11"/>
  <c r="Z71" i="11"/>
  <c r="Y71" i="11"/>
  <c r="X71" i="11"/>
  <c r="W71" i="11"/>
  <c r="V71" i="11"/>
  <c r="U71" i="11"/>
  <c r="T71" i="11"/>
  <c r="S71" i="11"/>
  <c r="R71" i="11"/>
  <c r="Q71" i="11"/>
  <c r="P71" i="11"/>
  <c r="O71" i="11"/>
  <c r="N71" i="11"/>
  <c r="M71" i="11"/>
  <c r="L71" i="11"/>
  <c r="K71" i="11"/>
  <c r="J71" i="11"/>
  <c r="I71" i="11"/>
  <c r="H71" i="11"/>
  <c r="G71" i="11"/>
  <c r="F71" i="11"/>
  <c r="E71" i="11"/>
  <c r="D71" i="11"/>
  <c r="C71" i="11"/>
  <c r="AH70" i="11"/>
  <c r="AH69" i="11"/>
  <c r="AH71" i="11" s="1"/>
  <c r="AN67" i="11"/>
  <c r="AM67" i="11"/>
  <c r="AG67" i="11"/>
  <c r="AF67" i="11"/>
  <c r="AE67" i="11"/>
  <c r="AD67" i="11"/>
  <c r="AC67" i="11"/>
  <c r="AB67" i="11"/>
  <c r="AA67" i="11"/>
  <c r="Z67" i="11"/>
  <c r="Y67" i="11"/>
  <c r="X67" i="11"/>
  <c r="W67" i="11"/>
  <c r="V67" i="11"/>
  <c r="U67" i="11"/>
  <c r="T67" i="11"/>
  <c r="S67" i="11"/>
  <c r="R67" i="11"/>
  <c r="Q67" i="11"/>
  <c r="P67" i="11"/>
  <c r="O67" i="11"/>
  <c r="N67" i="11"/>
  <c r="M67" i="11"/>
  <c r="L67" i="11"/>
  <c r="K67" i="11"/>
  <c r="J67" i="11"/>
  <c r="I67" i="11"/>
  <c r="H67" i="11"/>
  <c r="G67" i="11"/>
  <c r="F67" i="11"/>
  <c r="E67" i="11"/>
  <c r="D67" i="11"/>
  <c r="C67" i="11"/>
  <c r="AH66" i="11"/>
  <c r="AH65" i="11"/>
  <c r="AH67" i="11" s="1"/>
  <c r="AN63" i="11"/>
  <c r="AM63" i="11"/>
  <c r="AG63" i="11"/>
  <c r="AF63" i="11"/>
  <c r="AE63" i="11"/>
  <c r="AD63" i="11"/>
  <c r="AC63" i="11"/>
  <c r="AB63" i="11"/>
  <c r="AA63" i="11"/>
  <c r="Z63" i="11"/>
  <c r="Y63" i="11"/>
  <c r="X63" i="11"/>
  <c r="W63" i="11"/>
  <c r="V63" i="11"/>
  <c r="U63" i="11"/>
  <c r="T63" i="11"/>
  <c r="S63" i="11"/>
  <c r="R63" i="11"/>
  <c r="Q63" i="11"/>
  <c r="P63" i="11"/>
  <c r="O63" i="11"/>
  <c r="N63" i="11"/>
  <c r="M63" i="11"/>
  <c r="L63" i="11"/>
  <c r="K63" i="11"/>
  <c r="J63" i="11"/>
  <c r="I63" i="11"/>
  <c r="H63" i="11"/>
  <c r="G63" i="11"/>
  <c r="F63" i="11"/>
  <c r="E63" i="11"/>
  <c r="D63" i="11"/>
  <c r="C63" i="11"/>
  <c r="AH62" i="11"/>
  <c r="AH61" i="11"/>
  <c r="AH63" i="11" s="1"/>
  <c r="AN59" i="11"/>
  <c r="AG59" i="11"/>
  <c r="AF59" i="11"/>
  <c r="AE59" i="11"/>
  <c r="AD59" i="11"/>
  <c r="AC59" i="11"/>
  <c r="AB59" i="11"/>
  <c r="AA59" i="11"/>
  <c r="Z59" i="11"/>
  <c r="Y59" i="11"/>
  <c r="X59" i="11"/>
  <c r="W59" i="11"/>
  <c r="V59" i="11"/>
  <c r="U59" i="11"/>
  <c r="T59" i="11"/>
  <c r="S59" i="11"/>
  <c r="R59" i="11"/>
  <c r="Q59" i="11"/>
  <c r="P59" i="11"/>
  <c r="O59" i="11"/>
  <c r="N59" i="11"/>
  <c r="M59" i="11"/>
  <c r="L59" i="11"/>
  <c r="K59" i="11"/>
  <c r="J59" i="11"/>
  <c r="I59" i="11"/>
  <c r="H59" i="11"/>
  <c r="G59" i="11"/>
  <c r="F59" i="11"/>
  <c r="E59" i="11"/>
  <c r="D59" i="11"/>
  <c r="C59" i="11"/>
  <c r="AH58" i="11"/>
  <c r="AH59" i="11" s="1"/>
  <c r="AH57" i="11"/>
  <c r="AN55" i="11"/>
  <c r="AM55" i="11"/>
  <c r="AG55" i="11"/>
  <c r="AF55" i="11"/>
  <c r="AE55" i="11"/>
  <c r="AD55" i="11"/>
  <c r="AC55" i="11"/>
  <c r="AB55" i="11"/>
  <c r="AA55" i="11"/>
  <c r="Z55" i="11"/>
  <c r="Y55" i="11"/>
  <c r="X55" i="11"/>
  <c r="W55" i="11"/>
  <c r="V55" i="11"/>
  <c r="U55" i="11"/>
  <c r="T55" i="11"/>
  <c r="S55" i="11"/>
  <c r="R55" i="11"/>
  <c r="Q55" i="11"/>
  <c r="P55" i="11"/>
  <c r="O55" i="11"/>
  <c r="N55" i="11"/>
  <c r="M55" i="11"/>
  <c r="L55" i="11"/>
  <c r="K55" i="11"/>
  <c r="J55" i="11"/>
  <c r="I55" i="11"/>
  <c r="H55" i="11"/>
  <c r="G55" i="11"/>
  <c r="F55" i="11"/>
  <c r="E55" i="11"/>
  <c r="D55" i="11"/>
  <c r="C55" i="11"/>
  <c r="AH54" i="11"/>
  <c r="AH55" i="11" s="1"/>
  <c r="AH53" i="11"/>
  <c r="AN51" i="11"/>
  <c r="AM51" i="11"/>
  <c r="AG51" i="11"/>
  <c r="AF51" i="11"/>
  <c r="AE51" i="11"/>
  <c r="AD51" i="11"/>
  <c r="AC51" i="11"/>
  <c r="AB51" i="11"/>
  <c r="AA51" i="11"/>
  <c r="Z51" i="11"/>
  <c r="Y51" i="11"/>
  <c r="X51" i="11"/>
  <c r="W51" i="11"/>
  <c r="V51" i="11"/>
  <c r="U51" i="11"/>
  <c r="T51" i="11"/>
  <c r="S51" i="11"/>
  <c r="R51" i="11"/>
  <c r="Q51" i="11"/>
  <c r="P51" i="11"/>
  <c r="O51" i="11"/>
  <c r="N51" i="11"/>
  <c r="M51" i="11"/>
  <c r="L51" i="11"/>
  <c r="K51" i="11"/>
  <c r="J51" i="11"/>
  <c r="I51" i="11"/>
  <c r="H51" i="11"/>
  <c r="G51" i="11"/>
  <c r="F51" i="11"/>
  <c r="E51" i="11"/>
  <c r="D51" i="11"/>
  <c r="C51" i="11"/>
  <c r="AH50" i="11"/>
  <c r="AH51" i="11" s="1"/>
  <c r="AH49" i="11"/>
  <c r="AN47" i="11"/>
  <c r="AM47" i="11"/>
  <c r="AG47" i="11"/>
  <c r="AF47" i="11"/>
  <c r="AE47" i="11"/>
  <c r="AD47" i="11"/>
  <c r="AC47" i="11"/>
  <c r="AB47" i="11"/>
  <c r="AA47" i="11"/>
  <c r="Z47" i="11"/>
  <c r="Y47" i="11"/>
  <c r="X47" i="11"/>
  <c r="W47" i="11"/>
  <c r="V47" i="11"/>
  <c r="U47" i="11"/>
  <c r="T47" i="11"/>
  <c r="S47" i="11"/>
  <c r="R47" i="11"/>
  <c r="Q47" i="11"/>
  <c r="P47" i="11"/>
  <c r="O47" i="11"/>
  <c r="N47" i="11"/>
  <c r="M47" i="11"/>
  <c r="L47" i="11"/>
  <c r="K47" i="11"/>
  <c r="J47" i="11"/>
  <c r="I47" i="11"/>
  <c r="H47" i="11"/>
  <c r="G47" i="11"/>
  <c r="F47" i="11"/>
  <c r="E47" i="11"/>
  <c r="D47" i="11"/>
  <c r="C47" i="11"/>
  <c r="AH46" i="11"/>
  <c r="AH47" i="11" s="1"/>
  <c r="AH45" i="11"/>
  <c r="AN43" i="11"/>
  <c r="AM43" i="11"/>
  <c r="AG43" i="11"/>
  <c r="AF43" i="11"/>
  <c r="AE43" i="11"/>
  <c r="AD43" i="11"/>
  <c r="AC43" i="11"/>
  <c r="AB43" i="11"/>
  <c r="AA43" i="11"/>
  <c r="Z43" i="11"/>
  <c r="Y43" i="11"/>
  <c r="X43" i="11"/>
  <c r="W43" i="11"/>
  <c r="V43" i="11"/>
  <c r="U43" i="11"/>
  <c r="T43" i="11"/>
  <c r="S43" i="11"/>
  <c r="R43" i="11"/>
  <c r="Q43" i="11"/>
  <c r="P43" i="11"/>
  <c r="O43" i="11"/>
  <c r="N43" i="11"/>
  <c r="M43" i="11"/>
  <c r="L43" i="11"/>
  <c r="K43" i="11"/>
  <c r="J43" i="11"/>
  <c r="I43" i="11"/>
  <c r="H43" i="11"/>
  <c r="G43" i="11"/>
  <c r="F43" i="11"/>
  <c r="E43" i="11"/>
  <c r="D43" i="11"/>
  <c r="C43" i="11"/>
  <c r="AH42" i="11"/>
  <c r="AH43" i="11" s="1"/>
  <c r="AH41" i="11"/>
  <c r="AN39" i="11"/>
  <c r="AM39" i="11"/>
  <c r="AG39" i="11"/>
  <c r="AF39" i="11"/>
  <c r="AE39" i="11"/>
  <c r="AD39" i="11"/>
  <c r="AC39" i="11"/>
  <c r="AB39" i="11"/>
  <c r="AA39" i="11"/>
  <c r="Z39" i="11"/>
  <c r="Y39" i="11"/>
  <c r="X39" i="11"/>
  <c r="W39" i="11"/>
  <c r="V39" i="11"/>
  <c r="U39" i="11"/>
  <c r="T39" i="11"/>
  <c r="S39" i="11"/>
  <c r="R39" i="11"/>
  <c r="Q39" i="11"/>
  <c r="P39" i="11"/>
  <c r="O39" i="11"/>
  <c r="N39" i="11"/>
  <c r="M39" i="11"/>
  <c r="L39" i="11"/>
  <c r="K39" i="11"/>
  <c r="J39" i="11"/>
  <c r="I39" i="11"/>
  <c r="H39" i="11"/>
  <c r="G39" i="11"/>
  <c r="F39" i="11"/>
  <c r="E39" i="11"/>
  <c r="D39" i="11"/>
  <c r="C39" i="11"/>
  <c r="AH38" i="11"/>
  <c r="AH39" i="11" s="1"/>
  <c r="AH37" i="11"/>
  <c r="AN35" i="11"/>
  <c r="AM35" i="11"/>
  <c r="AG35" i="11"/>
  <c r="AF35" i="11"/>
  <c r="AE35" i="11"/>
  <c r="AD35" i="11"/>
  <c r="AC35" i="11"/>
  <c r="AB35" i="11"/>
  <c r="AA35" i="11"/>
  <c r="Z35" i="11"/>
  <c r="Y35" i="11"/>
  <c r="X35" i="11"/>
  <c r="W35" i="11"/>
  <c r="V35" i="11"/>
  <c r="U35" i="11"/>
  <c r="T35" i="11"/>
  <c r="S35" i="11"/>
  <c r="R35" i="11"/>
  <c r="Q35" i="11"/>
  <c r="P35" i="11"/>
  <c r="O35" i="11"/>
  <c r="N35" i="11"/>
  <c r="M35" i="11"/>
  <c r="L35" i="11"/>
  <c r="K35" i="11"/>
  <c r="J35" i="11"/>
  <c r="I35" i="11"/>
  <c r="H35" i="11"/>
  <c r="G35" i="11"/>
  <c r="F35" i="11"/>
  <c r="E35" i="11"/>
  <c r="D35" i="11"/>
  <c r="C35" i="11"/>
  <c r="AH34" i="11"/>
  <c r="AH35" i="11" s="1"/>
  <c r="AH33" i="11"/>
  <c r="AN31" i="11"/>
  <c r="AM31" i="11"/>
  <c r="AG31" i="11"/>
  <c r="AF31" i="11"/>
  <c r="AE31" i="11"/>
  <c r="AD31" i="11"/>
  <c r="AC31" i="11"/>
  <c r="AB31" i="11"/>
  <c r="AA31" i="11"/>
  <c r="Z31" i="11"/>
  <c r="Y31" i="11"/>
  <c r="X31" i="11"/>
  <c r="W31" i="11"/>
  <c r="V31" i="11"/>
  <c r="U31" i="11"/>
  <c r="T31" i="11"/>
  <c r="S31" i="11"/>
  <c r="R31" i="11"/>
  <c r="Q31" i="11"/>
  <c r="P31" i="11"/>
  <c r="O31" i="11"/>
  <c r="N31" i="11"/>
  <c r="M31" i="11"/>
  <c r="L31" i="11"/>
  <c r="K31" i="11"/>
  <c r="J31" i="11"/>
  <c r="I31" i="11"/>
  <c r="H31" i="11"/>
  <c r="G31" i="11"/>
  <c r="F31" i="11"/>
  <c r="E31" i="11"/>
  <c r="D31" i="11"/>
  <c r="C31" i="11"/>
  <c r="AH30" i="11"/>
  <c r="AH31" i="11" s="1"/>
  <c r="AH29" i="11"/>
  <c r="AN27" i="11"/>
  <c r="AM27" i="11"/>
  <c r="AG27" i="11"/>
  <c r="AF27" i="11"/>
  <c r="AE27" i="11"/>
  <c r="AD27" i="11"/>
  <c r="AC27" i="11"/>
  <c r="AB27" i="11"/>
  <c r="AA27" i="11"/>
  <c r="Z27" i="11"/>
  <c r="Y27" i="11"/>
  <c r="X27" i="11"/>
  <c r="W27" i="11"/>
  <c r="V27" i="11"/>
  <c r="U27" i="11"/>
  <c r="T27" i="11"/>
  <c r="S27" i="11"/>
  <c r="R27" i="11"/>
  <c r="Q27" i="11"/>
  <c r="P27" i="11"/>
  <c r="O27" i="11"/>
  <c r="N27" i="11"/>
  <c r="M27" i="11"/>
  <c r="L27" i="11"/>
  <c r="K27" i="11"/>
  <c r="J27" i="11"/>
  <c r="I27" i="11"/>
  <c r="H27" i="11"/>
  <c r="G27" i="11"/>
  <c r="F27" i="11"/>
  <c r="E27" i="11"/>
  <c r="D27" i="11"/>
  <c r="C27" i="11"/>
  <c r="AH26" i="11"/>
  <c r="AH27" i="11" s="1"/>
  <c r="AH25" i="11"/>
  <c r="AN23" i="11"/>
  <c r="AM23" i="11"/>
  <c r="AG23" i="11"/>
  <c r="AF23" i="11"/>
  <c r="AE23" i="11"/>
  <c r="AD23" i="11"/>
  <c r="AC23" i="11"/>
  <c r="AB23" i="11"/>
  <c r="AA23" i="11"/>
  <c r="Z23" i="11"/>
  <c r="Y23" i="11"/>
  <c r="X23" i="11"/>
  <c r="W23" i="11"/>
  <c r="V23" i="11"/>
  <c r="U23" i="11"/>
  <c r="T23" i="11"/>
  <c r="S23" i="11"/>
  <c r="R23" i="11"/>
  <c r="Q23" i="11"/>
  <c r="P23" i="11"/>
  <c r="O23" i="11"/>
  <c r="N23" i="11"/>
  <c r="M23" i="11"/>
  <c r="L23" i="11"/>
  <c r="K23" i="11"/>
  <c r="J23" i="11"/>
  <c r="I23" i="11"/>
  <c r="H23" i="11"/>
  <c r="G23" i="11"/>
  <c r="F23" i="11"/>
  <c r="E23" i="11"/>
  <c r="D23" i="11"/>
  <c r="C23" i="11"/>
  <c r="AH22" i="11"/>
  <c r="AH23" i="11" s="1"/>
  <c r="AH21" i="11"/>
  <c r="AN19" i="11"/>
  <c r="AM19" i="11"/>
  <c r="AH19" i="11"/>
  <c r="AG19" i="11"/>
  <c r="AF19" i="11"/>
  <c r="AE19" i="11"/>
  <c r="AD19" i="11"/>
  <c r="AC19" i="11"/>
  <c r="AB19" i="11"/>
  <c r="AA19" i="11"/>
  <c r="Z19" i="11"/>
  <c r="Y19" i="11"/>
  <c r="X19" i="11"/>
  <c r="W19" i="11"/>
  <c r="V19" i="11"/>
  <c r="U19" i="11"/>
  <c r="T19" i="11"/>
  <c r="S19" i="11"/>
  <c r="R19" i="11"/>
  <c r="Q19" i="11"/>
  <c r="P19" i="11"/>
  <c r="O19" i="11"/>
  <c r="N19" i="11"/>
  <c r="M19" i="11"/>
  <c r="L19" i="11"/>
  <c r="K19" i="11"/>
  <c r="J19" i="11"/>
  <c r="I19" i="11"/>
  <c r="H19" i="11"/>
  <c r="G19" i="11"/>
  <c r="F19" i="11"/>
  <c r="E19" i="11"/>
  <c r="D19" i="11"/>
  <c r="C19" i="11"/>
  <c r="AH18" i="11"/>
  <c r="AH17" i="11"/>
  <c r="AN15" i="11"/>
  <c r="AO15" i="11" s="1"/>
  <c r="AM15" i="11"/>
  <c r="AG15" i="11"/>
  <c r="AF15" i="11"/>
  <c r="AE15" i="11"/>
  <c r="AD15" i="11"/>
  <c r="AC15" i="11"/>
  <c r="AB15" i="11"/>
  <c r="AA15" i="11"/>
  <c r="Z15" i="11"/>
  <c r="Y15" i="11"/>
  <c r="X15" i="11"/>
  <c r="W15" i="11"/>
  <c r="V15" i="11"/>
  <c r="U15" i="11"/>
  <c r="T15" i="11"/>
  <c r="S15" i="11"/>
  <c r="R15" i="11"/>
  <c r="Q15" i="11"/>
  <c r="P15" i="11"/>
  <c r="O15" i="11"/>
  <c r="N15" i="11"/>
  <c r="M15" i="11"/>
  <c r="L15" i="11"/>
  <c r="K15" i="11"/>
  <c r="J15" i="11"/>
  <c r="I15" i="11"/>
  <c r="H15" i="11"/>
  <c r="G15" i="11"/>
  <c r="F15" i="11"/>
  <c r="E15" i="11"/>
  <c r="D15" i="11"/>
  <c r="C15" i="11"/>
  <c r="AH14" i="11"/>
  <c r="AH15" i="11" s="1"/>
  <c r="AH13" i="11"/>
  <c r="AN11" i="11"/>
  <c r="AM11" i="11"/>
  <c r="AH11" i="11"/>
  <c r="AG11" i="11"/>
  <c r="AF11" i="11"/>
  <c r="AE11" i="11"/>
  <c r="AD11" i="11"/>
  <c r="AC11" i="11"/>
  <c r="AB11" i="11"/>
  <c r="AA11" i="11"/>
  <c r="Z11" i="11"/>
  <c r="Y11" i="11"/>
  <c r="X11" i="11"/>
  <c r="W11" i="11"/>
  <c r="V11" i="11"/>
  <c r="U11" i="11"/>
  <c r="T11" i="11"/>
  <c r="S11" i="11"/>
  <c r="R11" i="11"/>
  <c r="Q11" i="11"/>
  <c r="P11" i="11"/>
  <c r="O11" i="11"/>
  <c r="N11" i="11"/>
  <c r="M11" i="11"/>
  <c r="L11" i="11"/>
  <c r="K11" i="11"/>
  <c r="J11" i="11"/>
  <c r="I11" i="11"/>
  <c r="H11" i="11"/>
  <c r="G11" i="11"/>
  <c r="F11" i="11"/>
  <c r="E11" i="11"/>
  <c r="D11" i="11"/>
  <c r="C11" i="11"/>
  <c r="AH10" i="11"/>
  <c r="AH9" i="11"/>
  <c r="AN7" i="11"/>
  <c r="AM7" i="11"/>
  <c r="AG7" i="11"/>
  <c r="AF7" i="11"/>
  <c r="AE7" i="11"/>
  <c r="AD7" i="11"/>
  <c r="AC7" i="11"/>
  <c r="AB7" i="11"/>
  <c r="AA7" i="11"/>
  <c r="Z7" i="11"/>
  <c r="Y7" i="11"/>
  <c r="X7" i="11"/>
  <c r="W7" i="11"/>
  <c r="V7" i="11"/>
  <c r="U7" i="11"/>
  <c r="T7" i="11"/>
  <c r="S7" i="11"/>
  <c r="R7" i="11"/>
  <c r="Q7" i="11"/>
  <c r="P7" i="11"/>
  <c r="O7" i="11"/>
  <c r="N7" i="11"/>
  <c r="M7" i="11"/>
  <c r="L7" i="11"/>
  <c r="K7" i="11"/>
  <c r="J7" i="11"/>
  <c r="I7" i="11"/>
  <c r="H7" i="11"/>
  <c r="G7" i="11"/>
  <c r="F7" i="11"/>
  <c r="E7" i="11"/>
  <c r="D7" i="11"/>
  <c r="C7" i="11"/>
  <c r="AH6" i="11"/>
  <c r="AH7" i="11" s="1"/>
  <c r="AH5" i="11"/>
  <c r="AF3" i="11"/>
  <c r="AE3" i="11"/>
  <c r="AD3" i="11"/>
  <c r="AC3" i="11"/>
  <c r="AB3" i="11"/>
  <c r="AA3" i="11"/>
  <c r="Z3" i="11"/>
  <c r="Y3" i="11"/>
  <c r="X3" i="11"/>
  <c r="W3" i="11"/>
  <c r="V3" i="11"/>
  <c r="U3" i="11"/>
  <c r="T3" i="11"/>
  <c r="S3" i="11"/>
  <c r="R3" i="11"/>
  <c r="Q3" i="11"/>
  <c r="P3" i="11"/>
  <c r="O3" i="11"/>
  <c r="N3" i="11"/>
  <c r="M3" i="11"/>
  <c r="L3" i="11"/>
  <c r="K3" i="11"/>
  <c r="J3" i="11"/>
  <c r="I3" i="11"/>
  <c r="H3" i="11"/>
  <c r="G3" i="11"/>
  <c r="F3" i="11"/>
  <c r="E3" i="11"/>
  <c r="D3" i="11"/>
  <c r="C3" i="11"/>
  <c r="AR123" i="10"/>
  <c r="AO123" i="10"/>
  <c r="AN123" i="10"/>
  <c r="AG123" i="10"/>
  <c r="AF123" i="10"/>
  <c r="AE123" i="10"/>
  <c r="AD123" i="10"/>
  <c r="AC123" i="10"/>
  <c r="AB123" i="10"/>
  <c r="AA123" i="10"/>
  <c r="Z123" i="10"/>
  <c r="Y123" i="10"/>
  <c r="X123" i="10"/>
  <c r="W123" i="10"/>
  <c r="V123" i="10"/>
  <c r="U123" i="10"/>
  <c r="T123" i="10"/>
  <c r="S123" i="10"/>
  <c r="R123" i="10"/>
  <c r="Q123" i="10"/>
  <c r="P123" i="10"/>
  <c r="O123" i="10"/>
  <c r="N123" i="10"/>
  <c r="M123" i="10"/>
  <c r="L123" i="10"/>
  <c r="K123" i="10"/>
  <c r="J123" i="10"/>
  <c r="I123" i="10"/>
  <c r="H123" i="10"/>
  <c r="G123" i="10"/>
  <c r="F123" i="10"/>
  <c r="E123" i="10"/>
  <c r="D123" i="10"/>
  <c r="C123" i="10"/>
  <c r="AH122" i="10"/>
  <c r="AH121" i="10"/>
  <c r="AH123" i="10" s="1"/>
  <c r="AR119" i="10"/>
  <c r="AO119" i="10"/>
  <c r="AN119" i="10"/>
  <c r="AG119" i="10"/>
  <c r="AF119" i="10"/>
  <c r="AE119" i="10"/>
  <c r="AD119" i="10"/>
  <c r="AC119" i="10"/>
  <c r="AB119" i="10"/>
  <c r="AA119" i="10"/>
  <c r="Z119" i="10"/>
  <c r="Y119" i="10"/>
  <c r="X119" i="10"/>
  <c r="W119" i="10"/>
  <c r="V119" i="10"/>
  <c r="U119" i="10"/>
  <c r="T119" i="10"/>
  <c r="S119" i="10"/>
  <c r="R119" i="10"/>
  <c r="Q119" i="10"/>
  <c r="P119" i="10"/>
  <c r="O119" i="10"/>
  <c r="N119" i="10"/>
  <c r="M119" i="10"/>
  <c r="L119" i="10"/>
  <c r="K119" i="10"/>
  <c r="J119" i="10"/>
  <c r="I119" i="10"/>
  <c r="H119" i="10"/>
  <c r="G119" i="10"/>
  <c r="F119" i="10"/>
  <c r="E119" i="10"/>
  <c r="D119" i="10"/>
  <c r="C119" i="10"/>
  <c r="AH118" i="10"/>
  <c r="AH119" i="10" s="1"/>
  <c r="AH117" i="10"/>
  <c r="AR115" i="10"/>
  <c r="AN115" i="10"/>
  <c r="AH115" i="10"/>
  <c r="AG115" i="10"/>
  <c r="AF115" i="10"/>
  <c r="AE115" i="10"/>
  <c r="AD115" i="10"/>
  <c r="AC115" i="10"/>
  <c r="AB115" i="10"/>
  <c r="AA115" i="10"/>
  <c r="Z115" i="10"/>
  <c r="Y115" i="10"/>
  <c r="X115" i="10"/>
  <c r="W115" i="10"/>
  <c r="V115" i="10"/>
  <c r="U115" i="10"/>
  <c r="T115" i="10"/>
  <c r="S115" i="10"/>
  <c r="R115" i="10"/>
  <c r="Q115" i="10"/>
  <c r="P115" i="10"/>
  <c r="O115" i="10"/>
  <c r="N115" i="10"/>
  <c r="M115" i="10"/>
  <c r="L115" i="10"/>
  <c r="K115" i="10"/>
  <c r="J115" i="10"/>
  <c r="I115" i="10"/>
  <c r="H115" i="10"/>
  <c r="G115" i="10"/>
  <c r="F115" i="10"/>
  <c r="E115" i="10"/>
  <c r="D115" i="10"/>
  <c r="C115" i="10"/>
  <c r="AH114" i="10"/>
  <c r="AH113" i="10"/>
  <c r="AR111" i="10"/>
  <c r="AN111" i="10"/>
  <c r="AH111" i="10"/>
  <c r="AG111" i="10"/>
  <c r="AF111" i="10"/>
  <c r="AE111" i="10"/>
  <c r="AD111" i="10"/>
  <c r="AC111" i="10"/>
  <c r="AB111" i="10"/>
  <c r="AA111" i="10"/>
  <c r="Z111" i="10"/>
  <c r="Y111" i="10"/>
  <c r="X111" i="10"/>
  <c r="W111" i="10"/>
  <c r="V111" i="10"/>
  <c r="U111" i="10"/>
  <c r="T111" i="10"/>
  <c r="S111" i="10"/>
  <c r="R111" i="10"/>
  <c r="Q111" i="10"/>
  <c r="P111" i="10"/>
  <c r="O111" i="10"/>
  <c r="N111" i="10"/>
  <c r="M111" i="10"/>
  <c r="L111" i="10"/>
  <c r="K111" i="10"/>
  <c r="J111" i="10"/>
  <c r="I111" i="10"/>
  <c r="H111" i="10"/>
  <c r="G111" i="10"/>
  <c r="F111" i="10"/>
  <c r="E111" i="10"/>
  <c r="D111" i="10"/>
  <c r="C111" i="10"/>
  <c r="AH110" i="10"/>
  <c r="AH109" i="10"/>
  <c r="AR107" i="10"/>
  <c r="AN107" i="10"/>
  <c r="AG107" i="10"/>
  <c r="AF107" i="10"/>
  <c r="AE107" i="10"/>
  <c r="AD107" i="10"/>
  <c r="AC107" i="10"/>
  <c r="AB107" i="10"/>
  <c r="AA107" i="10"/>
  <c r="Z107" i="10"/>
  <c r="Y107" i="10"/>
  <c r="X107" i="10"/>
  <c r="W107" i="10"/>
  <c r="V107" i="10"/>
  <c r="U107" i="10"/>
  <c r="T107" i="10"/>
  <c r="S107" i="10"/>
  <c r="R107" i="10"/>
  <c r="Q107" i="10"/>
  <c r="P107" i="10"/>
  <c r="O107" i="10"/>
  <c r="N107" i="10"/>
  <c r="M107" i="10"/>
  <c r="L107" i="10"/>
  <c r="K107" i="10"/>
  <c r="J107" i="10"/>
  <c r="I107" i="10"/>
  <c r="H107" i="10"/>
  <c r="G107" i="10"/>
  <c r="F107" i="10"/>
  <c r="E107" i="10"/>
  <c r="D107" i="10"/>
  <c r="C107" i="10"/>
  <c r="AH106" i="10"/>
  <c r="AH105" i="10"/>
  <c r="AH107" i="10" s="1"/>
  <c r="AR103" i="10"/>
  <c r="AN103" i="10"/>
  <c r="AM103" i="10"/>
  <c r="AG103" i="10"/>
  <c r="AF103" i="10"/>
  <c r="AE103" i="10"/>
  <c r="AD103" i="10"/>
  <c r="AC103" i="10"/>
  <c r="AB103" i="10"/>
  <c r="AA103" i="10"/>
  <c r="Z103" i="10"/>
  <c r="Y103" i="10"/>
  <c r="X103" i="10"/>
  <c r="W103" i="10"/>
  <c r="V103" i="10"/>
  <c r="U103" i="10"/>
  <c r="T103" i="10"/>
  <c r="S103" i="10"/>
  <c r="R103" i="10"/>
  <c r="Q103" i="10"/>
  <c r="P103" i="10"/>
  <c r="O103" i="10"/>
  <c r="N103" i="10"/>
  <c r="M103" i="10"/>
  <c r="L103" i="10"/>
  <c r="K103" i="10"/>
  <c r="J103" i="10"/>
  <c r="I103" i="10"/>
  <c r="H103" i="10"/>
  <c r="G103" i="10"/>
  <c r="F103" i="10"/>
  <c r="E103" i="10"/>
  <c r="D103" i="10"/>
  <c r="C103" i="10"/>
  <c r="AH102" i="10"/>
  <c r="AH101" i="10"/>
  <c r="AH103" i="10" s="1"/>
  <c r="AR99" i="10"/>
  <c r="AN99" i="10"/>
  <c r="AM99" i="10"/>
  <c r="AG99" i="10"/>
  <c r="AF99" i="10"/>
  <c r="AE99" i="10"/>
  <c r="AD99" i="10"/>
  <c r="AC99" i="10"/>
  <c r="AB99" i="10"/>
  <c r="AA99" i="10"/>
  <c r="Z99" i="10"/>
  <c r="Y99" i="10"/>
  <c r="X99" i="10"/>
  <c r="W99" i="10"/>
  <c r="V99" i="10"/>
  <c r="U99" i="10"/>
  <c r="T99" i="10"/>
  <c r="S99" i="10"/>
  <c r="R99" i="10"/>
  <c r="Q99" i="10"/>
  <c r="P99" i="10"/>
  <c r="O99" i="10"/>
  <c r="N99" i="10"/>
  <c r="M99" i="10"/>
  <c r="L99" i="10"/>
  <c r="K99" i="10"/>
  <c r="J99" i="10"/>
  <c r="I99" i="10"/>
  <c r="H99" i="10"/>
  <c r="G99" i="10"/>
  <c r="F99" i="10"/>
  <c r="E99" i="10"/>
  <c r="D99" i="10"/>
  <c r="C99" i="10"/>
  <c r="AH98" i="10"/>
  <c r="AH99" i="10" s="1"/>
  <c r="AH97" i="10"/>
  <c r="AR95" i="10"/>
  <c r="AN95" i="10"/>
  <c r="AM95" i="10"/>
  <c r="AG95" i="10"/>
  <c r="AF95" i="10"/>
  <c r="AE95" i="10"/>
  <c r="AD95" i="10"/>
  <c r="AC95" i="10"/>
  <c r="AB95" i="10"/>
  <c r="AA95" i="10"/>
  <c r="Z95" i="10"/>
  <c r="Y95" i="10"/>
  <c r="X95" i="10"/>
  <c r="W95" i="10"/>
  <c r="V95" i="10"/>
  <c r="U95" i="10"/>
  <c r="T95" i="10"/>
  <c r="S95" i="10"/>
  <c r="R95" i="10"/>
  <c r="Q95" i="10"/>
  <c r="P95" i="10"/>
  <c r="O95" i="10"/>
  <c r="N95" i="10"/>
  <c r="M95" i="10"/>
  <c r="L95" i="10"/>
  <c r="K95" i="10"/>
  <c r="J95" i="10"/>
  <c r="I95" i="10"/>
  <c r="H95" i="10"/>
  <c r="G95" i="10"/>
  <c r="F95" i="10"/>
  <c r="E95" i="10"/>
  <c r="D95" i="10"/>
  <c r="C95" i="10"/>
  <c r="AH94" i="10"/>
  <c r="AH93" i="10"/>
  <c r="AH95" i="10" s="1"/>
  <c r="AR91" i="10"/>
  <c r="AN91" i="10"/>
  <c r="AM91" i="10"/>
  <c r="AH91" i="10"/>
  <c r="AG91" i="10"/>
  <c r="AF91" i="10"/>
  <c r="AE91" i="10"/>
  <c r="AD91" i="10"/>
  <c r="AC91" i="10"/>
  <c r="AB91" i="10"/>
  <c r="AA91" i="10"/>
  <c r="Z91" i="10"/>
  <c r="Y91" i="10"/>
  <c r="X91" i="10"/>
  <c r="W91" i="10"/>
  <c r="V91" i="10"/>
  <c r="U91" i="10"/>
  <c r="T91" i="10"/>
  <c r="S91" i="10"/>
  <c r="R91" i="10"/>
  <c r="Q91" i="10"/>
  <c r="P91" i="10"/>
  <c r="O91" i="10"/>
  <c r="N91" i="10"/>
  <c r="M91" i="10"/>
  <c r="L91" i="10"/>
  <c r="K91" i="10"/>
  <c r="J91" i="10"/>
  <c r="I91" i="10"/>
  <c r="H91" i="10"/>
  <c r="G91" i="10"/>
  <c r="F91" i="10"/>
  <c r="E91" i="10"/>
  <c r="D91" i="10"/>
  <c r="C91" i="10"/>
  <c r="AH90" i="10"/>
  <c r="AH89" i="10"/>
  <c r="AR87" i="10"/>
  <c r="AN87" i="10"/>
  <c r="AM87" i="10"/>
  <c r="AG87" i="10"/>
  <c r="AF87" i="10"/>
  <c r="AE87" i="10"/>
  <c r="AD87" i="10"/>
  <c r="AC87" i="10"/>
  <c r="AB87" i="10"/>
  <c r="AA87" i="10"/>
  <c r="Z87" i="10"/>
  <c r="Y87" i="10"/>
  <c r="X87" i="10"/>
  <c r="W87" i="10"/>
  <c r="V87" i="10"/>
  <c r="U87" i="10"/>
  <c r="T87" i="10"/>
  <c r="S87" i="10"/>
  <c r="R87" i="10"/>
  <c r="Q87" i="10"/>
  <c r="P87" i="10"/>
  <c r="O87" i="10"/>
  <c r="N87" i="10"/>
  <c r="M87" i="10"/>
  <c r="L87" i="10"/>
  <c r="K87" i="10"/>
  <c r="J87" i="10"/>
  <c r="I87" i="10"/>
  <c r="H87" i="10"/>
  <c r="G87" i="10"/>
  <c r="F87" i="10"/>
  <c r="E87" i="10"/>
  <c r="D87" i="10"/>
  <c r="C87" i="10"/>
  <c r="AH86" i="10"/>
  <c r="AH85" i="10"/>
  <c r="AH87" i="10" s="1"/>
  <c r="AR83" i="10"/>
  <c r="AN83" i="10"/>
  <c r="AM83" i="10"/>
  <c r="AH83" i="10"/>
  <c r="AG83" i="10"/>
  <c r="AF83" i="10"/>
  <c r="AE83" i="10"/>
  <c r="AD83" i="10"/>
  <c r="AC83" i="10"/>
  <c r="AB83" i="10"/>
  <c r="AA83" i="10"/>
  <c r="Z83" i="10"/>
  <c r="Y83" i="10"/>
  <c r="X83" i="10"/>
  <c r="W83" i="10"/>
  <c r="V83" i="10"/>
  <c r="U83" i="10"/>
  <c r="T83" i="10"/>
  <c r="S83" i="10"/>
  <c r="R83" i="10"/>
  <c r="Q83" i="10"/>
  <c r="P83" i="10"/>
  <c r="O83" i="10"/>
  <c r="N83" i="10"/>
  <c r="M83" i="10"/>
  <c r="L83" i="10"/>
  <c r="K83" i="10"/>
  <c r="J83" i="10"/>
  <c r="I83" i="10"/>
  <c r="H83" i="10"/>
  <c r="G83" i="10"/>
  <c r="F83" i="10"/>
  <c r="E83" i="10"/>
  <c r="D83" i="10"/>
  <c r="C83" i="10"/>
  <c r="AH82" i="10"/>
  <c r="AH81" i="10"/>
  <c r="AN79" i="10"/>
  <c r="AM79" i="10"/>
  <c r="AH79" i="10"/>
  <c r="AG79" i="10"/>
  <c r="AF79" i="10"/>
  <c r="AE79" i="10"/>
  <c r="AD79" i="10"/>
  <c r="AC79" i="10"/>
  <c r="AB79" i="10"/>
  <c r="AA79" i="10"/>
  <c r="Z79" i="10"/>
  <c r="Y79" i="10"/>
  <c r="X79" i="10"/>
  <c r="W79" i="10"/>
  <c r="V79" i="10"/>
  <c r="U79" i="10"/>
  <c r="T79" i="10"/>
  <c r="S79" i="10"/>
  <c r="R79" i="10"/>
  <c r="Q79" i="10"/>
  <c r="P79" i="10"/>
  <c r="O79" i="10"/>
  <c r="N79" i="10"/>
  <c r="M79" i="10"/>
  <c r="L79" i="10"/>
  <c r="K79" i="10"/>
  <c r="J79" i="10"/>
  <c r="I79" i="10"/>
  <c r="H79" i="10"/>
  <c r="G79" i="10"/>
  <c r="F79" i="10"/>
  <c r="E79" i="10"/>
  <c r="D79" i="10"/>
  <c r="C79" i="10"/>
  <c r="AH78" i="10"/>
  <c r="AH77" i="10"/>
  <c r="AN75" i="10"/>
  <c r="AM75" i="10"/>
  <c r="AH75" i="10"/>
  <c r="AG75" i="10"/>
  <c r="AF75" i="10"/>
  <c r="AE75" i="10"/>
  <c r="AD75" i="10"/>
  <c r="AC75" i="10"/>
  <c r="AB75" i="10"/>
  <c r="AA75" i="10"/>
  <c r="Z75" i="10"/>
  <c r="Y75" i="10"/>
  <c r="X75" i="10"/>
  <c r="W75" i="10"/>
  <c r="V75" i="10"/>
  <c r="U75" i="10"/>
  <c r="T75" i="10"/>
  <c r="S75" i="10"/>
  <c r="R75" i="10"/>
  <c r="Q75" i="10"/>
  <c r="P75" i="10"/>
  <c r="O75" i="10"/>
  <c r="N75" i="10"/>
  <c r="M75" i="10"/>
  <c r="L75" i="10"/>
  <c r="K75" i="10"/>
  <c r="J75" i="10"/>
  <c r="I75" i="10"/>
  <c r="H75" i="10"/>
  <c r="G75" i="10"/>
  <c r="F75" i="10"/>
  <c r="E75" i="10"/>
  <c r="D75" i="10"/>
  <c r="C75" i="10"/>
  <c r="AH74" i="10"/>
  <c r="AH73" i="10"/>
  <c r="AN71" i="10"/>
  <c r="AM71" i="10"/>
  <c r="AH71" i="10"/>
  <c r="AG71" i="10"/>
  <c r="AF71" i="10"/>
  <c r="AE71" i="10"/>
  <c r="AD71" i="10"/>
  <c r="AC71" i="10"/>
  <c r="AB71" i="10"/>
  <c r="AA71" i="10"/>
  <c r="Z71" i="10"/>
  <c r="Y71" i="10"/>
  <c r="X71" i="10"/>
  <c r="W71" i="10"/>
  <c r="V71" i="10"/>
  <c r="U71" i="10"/>
  <c r="T71" i="10"/>
  <c r="S71" i="10"/>
  <c r="R71" i="10"/>
  <c r="Q71" i="10"/>
  <c r="P71" i="10"/>
  <c r="O71" i="10"/>
  <c r="N71" i="10"/>
  <c r="M71" i="10"/>
  <c r="L71" i="10"/>
  <c r="K71" i="10"/>
  <c r="J71" i="10"/>
  <c r="I71" i="10"/>
  <c r="H71" i="10"/>
  <c r="G71" i="10"/>
  <c r="F71" i="10"/>
  <c r="E71" i="10"/>
  <c r="D71" i="10"/>
  <c r="C71" i="10"/>
  <c r="AH70" i="10"/>
  <c r="AH69" i="10"/>
  <c r="AN67" i="10"/>
  <c r="AM67" i="10"/>
  <c r="AH67" i="10"/>
  <c r="AG67" i="10"/>
  <c r="AF67" i="10"/>
  <c r="AE67" i="10"/>
  <c r="AD67" i="10"/>
  <c r="AC67" i="10"/>
  <c r="AB67" i="10"/>
  <c r="AA67" i="10"/>
  <c r="Z67" i="10"/>
  <c r="Y67" i="10"/>
  <c r="X67" i="10"/>
  <c r="W67" i="10"/>
  <c r="V67" i="10"/>
  <c r="U67" i="10"/>
  <c r="T67" i="10"/>
  <c r="S67" i="10"/>
  <c r="R67" i="10"/>
  <c r="Q67" i="10"/>
  <c r="P67" i="10"/>
  <c r="O67" i="10"/>
  <c r="N67" i="10"/>
  <c r="M67" i="10"/>
  <c r="L67" i="10"/>
  <c r="K67" i="10"/>
  <c r="J67" i="10"/>
  <c r="I67" i="10"/>
  <c r="H67" i="10"/>
  <c r="G67" i="10"/>
  <c r="F67" i="10"/>
  <c r="E67" i="10"/>
  <c r="D67" i="10"/>
  <c r="C67" i="10"/>
  <c r="AH66" i="10"/>
  <c r="AH65" i="10"/>
  <c r="AN63" i="10"/>
  <c r="AM63" i="10"/>
  <c r="AH63" i="10"/>
  <c r="AG63" i="10"/>
  <c r="AF63" i="10"/>
  <c r="AE63" i="10"/>
  <c r="AD63" i="10"/>
  <c r="AC63" i="10"/>
  <c r="AB63" i="10"/>
  <c r="AA63" i="10"/>
  <c r="Z63" i="10"/>
  <c r="Y63" i="10"/>
  <c r="X63" i="10"/>
  <c r="W63" i="10"/>
  <c r="V63" i="10"/>
  <c r="U63" i="10"/>
  <c r="T63" i="10"/>
  <c r="S63" i="10"/>
  <c r="R63" i="10"/>
  <c r="Q63" i="10"/>
  <c r="P63" i="10"/>
  <c r="O63" i="10"/>
  <c r="N63" i="10"/>
  <c r="M63" i="10"/>
  <c r="L63" i="10"/>
  <c r="K63" i="10"/>
  <c r="J63" i="10"/>
  <c r="I63" i="10"/>
  <c r="H63" i="10"/>
  <c r="G63" i="10"/>
  <c r="F63" i="10"/>
  <c r="E63" i="10"/>
  <c r="D63" i="10"/>
  <c r="C63" i="10"/>
  <c r="AH62" i="10"/>
  <c r="AH61" i="10"/>
  <c r="AN59" i="10"/>
  <c r="AG59" i="10"/>
  <c r="AF59" i="10"/>
  <c r="AE59" i="10"/>
  <c r="AD59" i="10"/>
  <c r="AC59" i="10"/>
  <c r="AB59" i="10"/>
  <c r="AA59" i="10"/>
  <c r="Z59" i="10"/>
  <c r="Y59" i="10"/>
  <c r="X59" i="10"/>
  <c r="W59" i="10"/>
  <c r="V59" i="10"/>
  <c r="U59" i="10"/>
  <c r="T59" i="10"/>
  <c r="S59" i="10"/>
  <c r="R59" i="10"/>
  <c r="Q59" i="10"/>
  <c r="P59" i="10"/>
  <c r="O59" i="10"/>
  <c r="N59" i="10"/>
  <c r="M59" i="10"/>
  <c r="L59" i="10"/>
  <c r="K59" i="10"/>
  <c r="J59" i="10"/>
  <c r="I59" i="10"/>
  <c r="H59" i="10"/>
  <c r="G59" i="10"/>
  <c r="F59" i="10"/>
  <c r="E59" i="10"/>
  <c r="D59" i="10"/>
  <c r="C59" i="10"/>
  <c r="AH58" i="10"/>
  <c r="AH57" i="10"/>
  <c r="AH59" i="10" s="1"/>
  <c r="AN55" i="10"/>
  <c r="AM55" i="10"/>
  <c r="AG55" i="10"/>
  <c r="AF55" i="10"/>
  <c r="AE55" i="10"/>
  <c r="AD55" i="10"/>
  <c r="AC55" i="10"/>
  <c r="AB55" i="10"/>
  <c r="AA55" i="10"/>
  <c r="Z55" i="10"/>
  <c r="Y55" i="10"/>
  <c r="X55" i="10"/>
  <c r="W55" i="10"/>
  <c r="V55" i="10"/>
  <c r="U55" i="10"/>
  <c r="T55" i="10"/>
  <c r="S55" i="10"/>
  <c r="R55" i="10"/>
  <c r="Q55" i="10"/>
  <c r="P55" i="10"/>
  <c r="O55" i="10"/>
  <c r="N55" i="10"/>
  <c r="M55" i="10"/>
  <c r="L55" i="10"/>
  <c r="K55" i="10"/>
  <c r="J55" i="10"/>
  <c r="I55" i="10"/>
  <c r="H55" i="10"/>
  <c r="G55" i="10"/>
  <c r="F55" i="10"/>
  <c r="E55" i="10"/>
  <c r="D55" i="10"/>
  <c r="C55" i="10"/>
  <c r="AH54" i="10"/>
  <c r="AH53" i="10"/>
  <c r="AH55" i="10" s="1"/>
  <c r="AN51" i="10"/>
  <c r="AM51" i="10"/>
  <c r="AG51" i="10"/>
  <c r="AF51" i="10"/>
  <c r="AE51" i="10"/>
  <c r="AD51" i="10"/>
  <c r="AC51" i="10"/>
  <c r="AB51" i="10"/>
  <c r="AA51" i="10"/>
  <c r="Z51" i="10"/>
  <c r="Y51" i="10"/>
  <c r="X51" i="10"/>
  <c r="W51" i="10"/>
  <c r="V51" i="10"/>
  <c r="U51" i="10"/>
  <c r="T51" i="10"/>
  <c r="S51" i="10"/>
  <c r="R51" i="10"/>
  <c r="Q51" i="10"/>
  <c r="P51" i="10"/>
  <c r="O51" i="10"/>
  <c r="N51" i="10"/>
  <c r="M51" i="10"/>
  <c r="L51" i="10"/>
  <c r="K51" i="10"/>
  <c r="J51" i="10"/>
  <c r="I51" i="10"/>
  <c r="H51" i="10"/>
  <c r="G51" i="10"/>
  <c r="F51" i="10"/>
  <c r="E51" i="10"/>
  <c r="D51" i="10"/>
  <c r="C51" i="10"/>
  <c r="AH50" i="10"/>
  <c r="AH49" i="10"/>
  <c r="AH51" i="10" s="1"/>
  <c r="AN47" i="10"/>
  <c r="AM47" i="10"/>
  <c r="AG47" i="10"/>
  <c r="AF47" i="10"/>
  <c r="AE47" i="10"/>
  <c r="AD47" i="10"/>
  <c r="AC47" i="10"/>
  <c r="AB47" i="10"/>
  <c r="AA47" i="10"/>
  <c r="Z47" i="10"/>
  <c r="Y47" i="10"/>
  <c r="X47" i="10"/>
  <c r="W47" i="10"/>
  <c r="V47" i="10"/>
  <c r="U47" i="10"/>
  <c r="T47" i="10"/>
  <c r="S47" i="10"/>
  <c r="R47" i="10"/>
  <c r="Q47" i="10"/>
  <c r="P47" i="10"/>
  <c r="O47" i="10"/>
  <c r="N47" i="10"/>
  <c r="M47" i="10"/>
  <c r="L47" i="10"/>
  <c r="K47" i="10"/>
  <c r="J47" i="10"/>
  <c r="I47" i="10"/>
  <c r="H47" i="10"/>
  <c r="G47" i="10"/>
  <c r="F47" i="10"/>
  <c r="E47" i="10"/>
  <c r="D47" i="10"/>
  <c r="C47" i="10"/>
  <c r="AH46" i="10"/>
  <c r="AH45" i="10"/>
  <c r="AH47" i="10" s="1"/>
  <c r="AN43" i="10"/>
  <c r="AM43" i="10"/>
  <c r="AG43" i="10"/>
  <c r="AF43" i="10"/>
  <c r="AE43" i="10"/>
  <c r="AD43" i="10"/>
  <c r="AC43" i="10"/>
  <c r="AB43" i="10"/>
  <c r="AA43" i="10"/>
  <c r="Z43" i="10"/>
  <c r="Y43" i="10"/>
  <c r="X43" i="10"/>
  <c r="W43" i="10"/>
  <c r="V43" i="10"/>
  <c r="U43" i="10"/>
  <c r="T43" i="10"/>
  <c r="S43" i="10"/>
  <c r="R43" i="10"/>
  <c r="Q43" i="10"/>
  <c r="P43" i="10"/>
  <c r="O43" i="10"/>
  <c r="N43" i="10"/>
  <c r="M43" i="10"/>
  <c r="L43" i="10"/>
  <c r="K43" i="10"/>
  <c r="J43" i="10"/>
  <c r="I43" i="10"/>
  <c r="H43" i="10"/>
  <c r="G43" i="10"/>
  <c r="F43" i="10"/>
  <c r="E43" i="10"/>
  <c r="D43" i="10"/>
  <c r="C43" i="10"/>
  <c r="AH42" i="10"/>
  <c r="AH41" i="10"/>
  <c r="AH43" i="10" s="1"/>
  <c r="AN39" i="10"/>
  <c r="AM39" i="10"/>
  <c r="AG39" i="10"/>
  <c r="AF39" i="10"/>
  <c r="AE39" i="10"/>
  <c r="AD39" i="10"/>
  <c r="AC39" i="10"/>
  <c r="AB39" i="10"/>
  <c r="AA39" i="10"/>
  <c r="Z39" i="10"/>
  <c r="Y39" i="10"/>
  <c r="X39" i="10"/>
  <c r="W39" i="10"/>
  <c r="V39" i="10"/>
  <c r="U39" i="10"/>
  <c r="T39" i="10"/>
  <c r="S39" i="10"/>
  <c r="R39" i="10"/>
  <c r="Q39" i="10"/>
  <c r="P39" i="10"/>
  <c r="O39" i="10"/>
  <c r="N39" i="10"/>
  <c r="M39" i="10"/>
  <c r="L39" i="10"/>
  <c r="K39" i="10"/>
  <c r="J39" i="10"/>
  <c r="I39" i="10"/>
  <c r="H39" i="10"/>
  <c r="G39" i="10"/>
  <c r="F39" i="10"/>
  <c r="E39" i="10"/>
  <c r="D39" i="10"/>
  <c r="C39" i="10"/>
  <c r="AH38" i="10"/>
  <c r="AH37" i="10"/>
  <c r="AH39" i="10" s="1"/>
  <c r="AN35" i="10"/>
  <c r="AM35" i="10"/>
  <c r="AG35" i="10"/>
  <c r="AF35" i="10"/>
  <c r="AE35" i="10"/>
  <c r="AD35" i="10"/>
  <c r="AC35" i="10"/>
  <c r="AB35" i="10"/>
  <c r="AA35" i="10"/>
  <c r="Z35" i="10"/>
  <c r="Y35" i="10"/>
  <c r="X35" i="10"/>
  <c r="W35" i="10"/>
  <c r="V35" i="10"/>
  <c r="U35" i="10"/>
  <c r="T35" i="10"/>
  <c r="S35" i="10"/>
  <c r="R35" i="10"/>
  <c r="Q35" i="10"/>
  <c r="P35" i="10"/>
  <c r="O35" i="10"/>
  <c r="N35" i="10"/>
  <c r="M35" i="10"/>
  <c r="L35" i="10"/>
  <c r="K35" i="10"/>
  <c r="J35" i="10"/>
  <c r="I35" i="10"/>
  <c r="H35" i="10"/>
  <c r="G35" i="10"/>
  <c r="F35" i="10"/>
  <c r="E35" i="10"/>
  <c r="D35" i="10"/>
  <c r="C35" i="10"/>
  <c r="AH34" i="10"/>
  <c r="AH33" i="10"/>
  <c r="AH35" i="10" s="1"/>
  <c r="AN31" i="10"/>
  <c r="AM31" i="10"/>
  <c r="AG31" i="10"/>
  <c r="AF31" i="10"/>
  <c r="AE31" i="10"/>
  <c r="AD31" i="10"/>
  <c r="AC31" i="10"/>
  <c r="AB31" i="10"/>
  <c r="AA31" i="10"/>
  <c r="Z31" i="10"/>
  <c r="Y31" i="10"/>
  <c r="X31" i="10"/>
  <c r="W31" i="10"/>
  <c r="V31" i="10"/>
  <c r="U31" i="10"/>
  <c r="T31" i="10"/>
  <c r="S31" i="10"/>
  <c r="R31" i="10"/>
  <c r="Q31" i="10"/>
  <c r="P31" i="10"/>
  <c r="O31" i="10"/>
  <c r="N31" i="10"/>
  <c r="M31" i="10"/>
  <c r="L31" i="10"/>
  <c r="K31" i="10"/>
  <c r="J31" i="10"/>
  <c r="I31" i="10"/>
  <c r="H31" i="10"/>
  <c r="G31" i="10"/>
  <c r="F31" i="10"/>
  <c r="E31" i="10"/>
  <c r="D31" i="10"/>
  <c r="C31" i="10"/>
  <c r="AH30" i="10"/>
  <c r="AH29" i="10"/>
  <c r="AH31" i="10" s="1"/>
  <c r="AN27" i="10"/>
  <c r="AM27" i="10"/>
  <c r="AG27" i="10"/>
  <c r="AF27" i="10"/>
  <c r="AE27" i="10"/>
  <c r="AD27" i="10"/>
  <c r="AC27" i="10"/>
  <c r="AB27" i="10"/>
  <c r="AA27" i="10"/>
  <c r="Z27" i="10"/>
  <c r="Y27" i="10"/>
  <c r="X27" i="10"/>
  <c r="W27" i="10"/>
  <c r="V27" i="10"/>
  <c r="U27" i="10"/>
  <c r="T27" i="10"/>
  <c r="S27" i="10"/>
  <c r="R27" i="10"/>
  <c r="Q27" i="10"/>
  <c r="P27" i="10"/>
  <c r="O27" i="10"/>
  <c r="N27" i="10"/>
  <c r="M27" i="10"/>
  <c r="L27" i="10"/>
  <c r="K27" i="10"/>
  <c r="J27" i="10"/>
  <c r="I27" i="10"/>
  <c r="H27" i="10"/>
  <c r="G27" i="10"/>
  <c r="F27" i="10"/>
  <c r="E27" i="10"/>
  <c r="D27" i="10"/>
  <c r="C27" i="10"/>
  <c r="AH26" i="10"/>
  <c r="AH25" i="10"/>
  <c r="AH27" i="10" s="1"/>
  <c r="AN23" i="10"/>
  <c r="AM23" i="10"/>
  <c r="AG23" i="10"/>
  <c r="AF23" i="10"/>
  <c r="AE23" i="10"/>
  <c r="AD23" i="10"/>
  <c r="AC23" i="10"/>
  <c r="AB23" i="10"/>
  <c r="AA23" i="10"/>
  <c r="Z23" i="10"/>
  <c r="Y23" i="10"/>
  <c r="X23" i="10"/>
  <c r="W23" i="10"/>
  <c r="V23" i="10"/>
  <c r="U23" i="10"/>
  <c r="T23" i="10"/>
  <c r="S23" i="10"/>
  <c r="R23" i="10"/>
  <c r="Q23" i="10"/>
  <c r="P23" i="10"/>
  <c r="O23" i="10"/>
  <c r="N23" i="10"/>
  <c r="M23" i="10"/>
  <c r="L23" i="10"/>
  <c r="K23" i="10"/>
  <c r="J23" i="10"/>
  <c r="I23" i="10"/>
  <c r="H23" i="10"/>
  <c r="G23" i="10"/>
  <c r="F23" i="10"/>
  <c r="E23" i="10"/>
  <c r="D23" i="10"/>
  <c r="C23" i="10"/>
  <c r="AH22" i="10"/>
  <c r="AH21" i="10"/>
  <c r="AH23" i="10" s="1"/>
  <c r="AN19" i="10"/>
  <c r="AM19" i="10"/>
  <c r="AG19" i="10"/>
  <c r="AF19" i="10"/>
  <c r="AE19" i="10"/>
  <c r="AD19" i="10"/>
  <c r="AC19" i="10"/>
  <c r="AB19" i="10"/>
  <c r="AA19" i="10"/>
  <c r="Z19" i="10"/>
  <c r="Y19" i="10"/>
  <c r="X19" i="10"/>
  <c r="W19" i="10"/>
  <c r="V19" i="10"/>
  <c r="U19" i="10"/>
  <c r="T19" i="10"/>
  <c r="S19" i="10"/>
  <c r="R19" i="10"/>
  <c r="Q19" i="10"/>
  <c r="P19" i="10"/>
  <c r="O19" i="10"/>
  <c r="N19" i="10"/>
  <c r="M19" i="10"/>
  <c r="L19" i="10"/>
  <c r="K19" i="10"/>
  <c r="J19" i="10"/>
  <c r="I19" i="10"/>
  <c r="H19" i="10"/>
  <c r="G19" i="10"/>
  <c r="F19" i="10"/>
  <c r="E19" i="10"/>
  <c r="D19" i="10"/>
  <c r="C19" i="10"/>
  <c r="AH18" i="10"/>
  <c r="AH17" i="10"/>
  <c r="AH19" i="10" s="1"/>
  <c r="AO15" i="10"/>
  <c r="AN15" i="10"/>
  <c r="AM15" i="10"/>
  <c r="AG15" i="10"/>
  <c r="AF15" i="10"/>
  <c r="AE15" i="10"/>
  <c r="AD15" i="10"/>
  <c r="AC15" i="10"/>
  <c r="AB15" i="10"/>
  <c r="AA15" i="10"/>
  <c r="Z15" i="10"/>
  <c r="Y15" i="10"/>
  <c r="X15" i="10"/>
  <c r="W15" i="10"/>
  <c r="V15" i="10"/>
  <c r="U15" i="10"/>
  <c r="T15" i="10"/>
  <c r="S15" i="10"/>
  <c r="R15" i="10"/>
  <c r="Q15" i="10"/>
  <c r="P15" i="10"/>
  <c r="O15" i="10"/>
  <c r="N15" i="10"/>
  <c r="M15" i="10"/>
  <c r="L15" i="10"/>
  <c r="K15" i="10"/>
  <c r="J15" i="10"/>
  <c r="I15" i="10"/>
  <c r="H15" i="10"/>
  <c r="G15" i="10"/>
  <c r="F15" i="10"/>
  <c r="E15" i="10"/>
  <c r="D15" i="10"/>
  <c r="C15" i="10"/>
  <c r="AH14" i="10"/>
  <c r="AH13" i="10"/>
  <c r="AH15" i="10" s="1"/>
  <c r="AN11" i="10"/>
  <c r="AM11" i="10"/>
  <c r="AG11" i="10"/>
  <c r="AF11" i="10"/>
  <c r="AE11" i="10"/>
  <c r="AD11" i="10"/>
  <c r="AC11" i="10"/>
  <c r="AB11" i="10"/>
  <c r="AA11" i="10"/>
  <c r="Z11" i="10"/>
  <c r="Y11" i="10"/>
  <c r="X11" i="10"/>
  <c r="W11" i="10"/>
  <c r="V11" i="10"/>
  <c r="U11" i="10"/>
  <c r="T11" i="10"/>
  <c r="S11" i="10"/>
  <c r="R11" i="10"/>
  <c r="Q11" i="10"/>
  <c r="P11" i="10"/>
  <c r="O11" i="10"/>
  <c r="N11" i="10"/>
  <c r="M11" i="10"/>
  <c r="L11" i="10"/>
  <c r="K11" i="10"/>
  <c r="J11" i="10"/>
  <c r="I11" i="10"/>
  <c r="H11" i="10"/>
  <c r="G11" i="10"/>
  <c r="F11" i="10"/>
  <c r="E11" i="10"/>
  <c r="D11" i="10"/>
  <c r="C11" i="10"/>
  <c r="AH10" i="10"/>
  <c r="AH9" i="10"/>
  <c r="AH11" i="10" s="1"/>
  <c r="AN7" i="10"/>
  <c r="AM7" i="10"/>
  <c r="AG7" i="10"/>
  <c r="AF7" i="10"/>
  <c r="AE7" i="10"/>
  <c r="AD7" i="10"/>
  <c r="AC7" i="10"/>
  <c r="AB7" i="10"/>
  <c r="AA7" i="10"/>
  <c r="Z7" i="10"/>
  <c r="Y7" i="10"/>
  <c r="X7" i="10"/>
  <c r="W7" i="10"/>
  <c r="V7" i="10"/>
  <c r="U7" i="10"/>
  <c r="T7" i="10"/>
  <c r="S7" i="10"/>
  <c r="R7" i="10"/>
  <c r="Q7" i="10"/>
  <c r="P7" i="10"/>
  <c r="O7" i="10"/>
  <c r="N7" i="10"/>
  <c r="M7" i="10"/>
  <c r="L7" i="10"/>
  <c r="K7" i="10"/>
  <c r="J7" i="10"/>
  <c r="I7" i="10"/>
  <c r="H7" i="10"/>
  <c r="G7" i="10"/>
  <c r="F7" i="10"/>
  <c r="E7" i="10"/>
  <c r="D7" i="10"/>
  <c r="C7" i="10"/>
  <c r="AH6" i="10"/>
  <c r="AH5" i="10"/>
  <c r="AH7" i="10" s="1"/>
  <c r="AG3" i="10"/>
  <c r="AF3" i="10"/>
  <c r="AE3" i="10"/>
  <c r="AD3" i="10"/>
  <c r="AC3" i="10"/>
  <c r="AB3" i="10"/>
  <c r="AA3" i="10"/>
  <c r="Z3" i="10"/>
  <c r="Y3" i="10"/>
  <c r="X3" i="10"/>
  <c r="W3" i="10"/>
  <c r="V3" i="10"/>
  <c r="U3" i="10"/>
  <c r="T3" i="10"/>
  <c r="S3" i="10"/>
  <c r="R3" i="10"/>
  <c r="Q3" i="10"/>
  <c r="P3" i="10"/>
  <c r="O3" i="10"/>
  <c r="N3" i="10"/>
  <c r="M3" i="10"/>
  <c r="L3" i="10"/>
  <c r="K3" i="10"/>
  <c r="J3" i="10"/>
  <c r="I3" i="10"/>
  <c r="H3" i="10"/>
  <c r="G3" i="10"/>
  <c r="F3" i="10"/>
  <c r="E3" i="10"/>
  <c r="D3" i="10"/>
  <c r="C3" i="10"/>
  <c r="AR123" i="9"/>
  <c r="AO123" i="9"/>
  <c r="AN123" i="9"/>
  <c r="AG123" i="9"/>
  <c r="AF123" i="9"/>
  <c r="AE123" i="9"/>
  <c r="AD123" i="9"/>
  <c r="AC123" i="9"/>
  <c r="AB123" i="9"/>
  <c r="AA123" i="9"/>
  <c r="Z123" i="9"/>
  <c r="Y123" i="9"/>
  <c r="X123" i="9"/>
  <c r="W123" i="9"/>
  <c r="V123" i="9"/>
  <c r="U123" i="9"/>
  <c r="T123" i="9"/>
  <c r="S123" i="9"/>
  <c r="R123" i="9"/>
  <c r="Q123" i="9"/>
  <c r="P123" i="9"/>
  <c r="O123" i="9"/>
  <c r="N123" i="9"/>
  <c r="M123" i="9"/>
  <c r="L123" i="9"/>
  <c r="K123" i="9"/>
  <c r="J123" i="9"/>
  <c r="I123" i="9"/>
  <c r="H123" i="9"/>
  <c r="G123" i="9"/>
  <c r="F123" i="9"/>
  <c r="E123" i="9"/>
  <c r="D123" i="9"/>
  <c r="C123" i="9"/>
  <c r="AH122" i="9"/>
  <c r="AH123" i="9" s="1"/>
  <c r="AH121" i="9"/>
  <c r="AR119" i="9"/>
  <c r="AO119" i="9"/>
  <c r="AN119" i="9"/>
  <c r="AG119" i="9"/>
  <c r="AF119" i="9"/>
  <c r="AE119" i="9"/>
  <c r="AD119" i="9"/>
  <c r="AC119" i="9"/>
  <c r="AB119" i="9"/>
  <c r="AA119" i="9"/>
  <c r="Z119" i="9"/>
  <c r="Y119" i="9"/>
  <c r="X119" i="9"/>
  <c r="W119" i="9"/>
  <c r="V119" i="9"/>
  <c r="U119" i="9"/>
  <c r="T119" i="9"/>
  <c r="S119" i="9"/>
  <c r="R119" i="9"/>
  <c r="Q119" i="9"/>
  <c r="P119" i="9"/>
  <c r="O119" i="9"/>
  <c r="N119" i="9"/>
  <c r="M119" i="9"/>
  <c r="L119" i="9"/>
  <c r="K119" i="9"/>
  <c r="J119" i="9"/>
  <c r="I119" i="9"/>
  <c r="H119" i="9"/>
  <c r="G119" i="9"/>
  <c r="F119" i="9"/>
  <c r="E119" i="9"/>
  <c r="D119" i="9"/>
  <c r="C119" i="9"/>
  <c r="AH118" i="9"/>
  <c r="AH119" i="9" s="1"/>
  <c r="AH117" i="9"/>
  <c r="AR115" i="9"/>
  <c r="AN115" i="9"/>
  <c r="AH115" i="9"/>
  <c r="AG115" i="9"/>
  <c r="AF115" i="9"/>
  <c r="AE115" i="9"/>
  <c r="AD115" i="9"/>
  <c r="AC115" i="9"/>
  <c r="AB115" i="9"/>
  <c r="AA115" i="9"/>
  <c r="Z115" i="9"/>
  <c r="Y115" i="9"/>
  <c r="X115" i="9"/>
  <c r="W115" i="9"/>
  <c r="V115" i="9"/>
  <c r="U115" i="9"/>
  <c r="T115" i="9"/>
  <c r="S115" i="9"/>
  <c r="R115" i="9"/>
  <c r="Q115" i="9"/>
  <c r="P115" i="9"/>
  <c r="O115" i="9"/>
  <c r="N115" i="9"/>
  <c r="M115" i="9"/>
  <c r="L115" i="9"/>
  <c r="K115" i="9"/>
  <c r="J115" i="9"/>
  <c r="I115" i="9"/>
  <c r="H115" i="9"/>
  <c r="G115" i="9"/>
  <c r="F115" i="9"/>
  <c r="E115" i="9"/>
  <c r="D115" i="9"/>
  <c r="C115" i="9"/>
  <c r="AH114" i="9"/>
  <c r="AH113" i="9"/>
  <c r="AR111" i="9"/>
  <c r="AN111" i="9"/>
  <c r="AH111" i="9"/>
  <c r="AG111" i="9"/>
  <c r="AF111" i="9"/>
  <c r="AE111" i="9"/>
  <c r="AD111" i="9"/>
  <c r="AC111" i="9"/>
  <c r="AB111" i="9"/>
  <c r="AA111" i="9"/>
  <c r="Z111" i="9"/>
  <c r="Y111" i="9"/>
  <c r="X111" i="9"/>
  <c r="W111" i="9"/>
  <c r="V111" i="9"/>
  <c r="U111" i="9"/>
  <c r="T111" i="9"/>
  <c r="S111" i="9"/>
  <c r="R111" i="9"/>
  <c r="Q111" i="9"/>
  <c r="P111" i="9"/>
  <c r="O111" i="9"/>
  <c r="N111" i="9"/>
  <c r="M111" i="9"/>
  <c r="L111" i="9"/>
  <c r="K111" i="9"/>
  <c r="J111" i="9"/>
  <c r="I111" i="9"/>
  <c r="H111" i="9"/>
  <c r="G111" i="9"/>
  <c r="F111" i="9"/>
  <c r="E111" i="9"/>
  <c r="D111" i="9"/>
  <c r="C111" i="9"/>
  <c r="AH110" i="9"/>
  <c r="AH109" i="9"/>
  <c r="AR107" i="9"/>
  <c r="AN107" i="9"/>
  <c r="AH107" i="9"/>
  <c r="AG107" i="9"/>
  <c r="AF107" i="9"/>
  <c r="AE107" i="9"/>
  <c r="AD107" i="9"/>
  <c r="AC107" i="9"/>
  <c r="AB107" i="9"/>
  <c r="AA107" i="9"/>
  <c r="Z107" i="9"/>
  <c r="Y107" i="9"/>
  <c r="X107" i="9"/>
  <c r="W107" i="9"/>
  <c r="V107" i="9"/>
  <c r="U107" i="9"/>
  <c r="T107" i="9"/>
  <c r="S107" i="9"/>
  <c r="R107" i="9"/>
  <c r="Q107" i="9"/>
  <c r="P107" i="9"/>
  <c r="O107" i="9"/>
  <c r="N107" i="9"/>
  <c r="M107" i="9"/>
  <c r="L107" i="9"/>
  <c r="K107" i="9"/>
  <c r="J107" i="9"/>
  <c r="I107" i="9"/>
  <c r="H107" i="9"/>
  <c r="G107" i="9"/>
  <c r="F107" i="9"/>
  <c r="E107" i="9"/>
  <c r="D107" i="9"/>
  <c r="C107" i="9"/>
  <c r="AH106" i="9"/>
  <c r="AH105" i="9"/>
  <c r="AR103" i="9"/>
  <c r="AN103" i="9"/>
  <c r="AM103" i="9"/>
  <c r="AG103" i="9"/>
  <c r="AF103" i="9"/>
  <c r="AE103" i="9"/>
  <c r="AD103" i="9"/>
  <c r="AC103" i="9"/>
  <c r="AB103" i="9"/>
  <c r="AA103" i="9"/>
  <c r="Z103" i="9"/>
  <c r="Y103" i="9"/>
  <c r="X103" i="9"/>
  <c r="W103" i="9"/>
  <c r="V103" i="9"/>
  <c r="U103" i="9"/>
  <c r="T103" i="9"/>
  <c r="S103" i="9"/>
  <c r="R103" i="9"/>
  <c r="Q103" i="9"/>
  <c r="P103" i="9"/>
  <c r="O103" i="9"/>
  <c r="N103" i="9"/>
  <c r="M103" i="9"/>
  <c r="L103" i="9"/>
  <c r="K103" i="9"/>
  <c r="J103" i="9"/>
  <c r="I103" i="9"/>
  <c r="H103" i="9"/>
  <c r="G103" i="9"/>
  <c r="F103" i="9"/>
  <c r="E103" i="9"/>
  <c r="D103" i="9"/>
  <c r="C103" i="9"/>
  <c r="AH102" i="9"/>
  <c r="AH101" i="9"/>
  <c r="AH103" i="9" s="1"/>
  <c r="AR99" i="9"/>
  <c r="AN99" i="9"/>
  <c r="AM99" i="9"/>
  <c r="AH99" i="9"/>
  <c r="AG99" i="9"/>
  <c r="AF99" i="9"/>
  <c r="AE99" i="9"/>
  <c r="AD99" i="9"/>
  <c r="AC99" i="9"/>
  <c r="AB99" i="9"/>
  <c r="AA99" i="9"/>
  <c r="Z99" i="9"/>
  <c r="Y99" i="9"/>
  <c r="X99" i="9"/>
  <c r="W99" i="9"/>
  <c r="V99" i="9"/>
  <c r="U99" i="9"/>
  <c r="T99" i="9"/>
  <c r="S99" i="9"/>
  <c r="R99" i="9"/>
  <c r="Q99" i="9"/>
  <c r="P99" i="9"/>
  <c r="O99" i="9"/>
  <c r="N99" i="9"/>
  <c r="M99" i="9"/>
  <c r="L99" i="9"/>
  <c r="K99" i="9"/>
  <c r="J99" i="9"/>
  <c r="I99" i="9"/>
  <c r="H99" i="9"/>
  <c r="G99" i="9"/>
  <c r="F99" i="9"/>
  <c r="E99" i="9"/>
  <c r="D99" i="9"/>
  <c r="C99" i="9"/>
  <c r="AH98" i="9"/>
  <c r="AH97" i="9"/>
  <c r="AR95" i="9"/>
  <c r="AN95" i="9"/>
  <c r="AM95" i="9"/>
  <c r="AG95" i="9"/>
  <c r="AF95" i="9"/>
  <c r="AE95" i="9"/>
  <c r="AD95" i="9"/>
  <c r="AC95" i="9"/>
  <c r="AB95" i="9"/>
  <c r="AA95" i="9"/>
  <c r="Z95" i="9"/>
  <c r="Y95" i="9"/>
  <c r="X95" i="9"/>
  <c r="W95" i="9"/>
  <c r="V95" i="9"/>
  <c r="U95" i="9"/>
  <c r="T95" i="9"/>
  <c r="S95" i="9"/>
  <c r="R95" i="9"/>
  <c r="Q95" i="9"/>
  <c r="P95" i="9"/>
  <c r="O95" i="9"/>
  <c r="N95" i="9"/>
  <c r="M95" i="9"/>
  <c r="L95" i="9"/>
  <c r="K95" i="9"/>
  <c r="J95" i="9"/>
  <c r="I95" i="9"/>
  <c r="H95" i="9"/>
  <c r="G95" i="9"/>
  <c r="F95" i="9"/>
  <c r="E95" i="9"/>
  <c r="D95" i="9"/>
  <c r="C95" i="9"/>
  <c r="AH94" i="9"/>
  <c r="AH95" i="9" s="1"/>
  <c r="AH93" i="9"/>
  <c r="AR91" i="9"/>
  <c r="AN91" i="9"/>
  <c r="AM91" i="9"/>
  <c r="AG91" i="9"/>
  <c r="AF91" i="9"/>
  <c r="AE91" i="9"/>
  <c r="AD91" i="9"/>
  <c r="AC91" i="9"/>
  <c r="AB91" i="9"/>
  <c r="AA91" i="9"/>
  <c r="Z91" i="9"/>
  <c r="Y91" i="9"/>
  <c r="X91" i="9"/>
  <c r="W91" i="9"/>
  <c r="V91" i="9"/>
  <c r="U91" i="9"/>
  <c r="T91" i="9"/>
  <c r="S91" i="9"/>
  <c r="R91" i="9"/>
  <c r="Q91" i="9"/>
  <c r="P91" i="9"/>
  <c r="O91" i="9"/>
  <c r="N91" i="9"/>
  <c r="M91" i="9"/>
  <c r="L91" i="9"/>
  <c r="K91" i="9"/>
  <c r="J91" i="9"/>
  <c r="I91" i="9"/>
  <c r="H91" i="9"/>
  <c r="G91" i="9"/>
  <c r="F91" i="9"/>
  <c r="E91" i="9"/>
  <c r="D91" i="9"/>
  <c r="C91" i="9"/>
  <c r="AH90" i="9"/>
  <c r="AH89" i="9"/>
  <c r="AH91" i="9" s="1"/>
  <c r="AR87" i="9"/>
  <c r="AN87" i="9"/>
  <c r="AM87" i="9"/>
  <c r="AG87" i="9"/>
  <c r="AF87" i="9"/>
  <c r="AE87" i="9"/>
  <c r="AD87" i="9"/>
  <c r="AC87" i="9"/>
  <c r="AB87" i="9"/>
  <c r="AA87" i="9"/>
  <c r="Z87" i="9"/>
  <c r="Y87" i="9"/>
  <c r="X87" i="9"/>
  <c r="W87" i="9"/>
  <c r="V87" i="9"/>
  <c r="U87" i="9"/>
  <c r="T87" i="9"/>
  <c r="S87" i="9"/>
  <c r="R87" i="9"/>
  <c r="Q87" i="9"/>
  <c r="P87" i="9"/>
  <c r="O87" i="9"/>
  <c r="N87" i="9"/>
  <c r="M87" i="9"/>
  <c r="L87" i="9"/>
  <c r="K87" i="9"/>
  <c r="J87" i="9"/>
  <c r="I87" i="9"/>
  <c r="H87" i="9"/>
  <c r="G87" i="9"/>
  <c r="F87" i="9"/>
  <c r="E87" i="9"/>
  <c r="D87" i="9"/>
  <c r="C87" i="9"/>
  <c r="AH86" i="9"/>
  <c r="AH85" i="9"/>
  <c r="AH87" i="9" s="1"/>
  <c r="AR83" i="9"/>
  <c r="AN83" i="9"/>
  <c r="AM83" i="9"/>
  <c r="AG83" i="9"/>
  <c r="AF83" i="9"/>
  <c r="AE83" i="9"/>
  <c r="AD83" i="9"/>
  <c r="AC83" i="9"/>
  <c r="AB83" i="9"/>
  <c r="AA83" i="9"/>
  <c r="Z83" i="9"/>
  <c r="Y83" i="9"/>
  <c r="X83" i="9"/>
  <c r="W83" i="9"/>
  <c r="V83" i="9"/>
  <c r="U83" i="9"/>
  <c r="T83" i="9"/>
  <c r="S83" i="9"/>
  <c r="R83" i="9"/>
  <c r="Q83" i="9"/>
  <c r="P83" i="9"/>
  <c r="O83" i="9"/>
  <c r="N83" i="9"/>
  <c r="M83" i="9"/>
  <c r="L83" i="9"/>
  <c r="K83" i="9"/>
  <c r="J83" i="9"/>
  <c r="I83" i="9"/>
  <c r="H83" i="9"/>
  <c r="G83" i="9"/>
  <c r="F83" i="9"/>
  <c r="E83" i="9"/>
  <c r="D83" i="9"/>
  <c r="C83" i="9"/>
  <c r="AH82" i="9"/>
  <c r="AH81" i="9"/>
  <c r="AH83" i="9" s="1"/>
  <c r="AN79" i="9"/>
  <c r="AM79" i="9"/>
  <c r="AG79" i="9"/>
  <c r="AF79" i="9"/>
  <c r="AE79" i="9"/>
  <c r="AD79" i="9"/>
  <c r="AC79" i="9"/>
  <c r="AB79" i="9"/>
  <c r="AA79" i="9"/>
  <c r="Z79" i="9"/>
  <c r="Y79" i="9"/>
  <c r="X79" i="9"/>
  <c r="W79" i="9"/>
  <c r="V79" i="9"/>
  <c r="U79" i="9"/>
  <c r="T79" i="9"/>
  <c r="S79" i="9"/>
  <c r="R79" i="9"/>
  <c r="Q79" i="9"/>
  <c r="P79" i="9"/>
  <c r="O79" i="9"/>
  <c r="N79" i="9"/>
  <c r="M79" i="9"/>
  <c r="L79" i="9"/>
  <c r="K79" i="9"/>
  <c r="J79" i="9"/>
  <c r="I79" i="9"/>
  <c r="H79" i="9"/>
  <c r="G79" i="9"/>
  <c r="F79" i="9"/>
  <c r="E79" i="9"/>
  <c r="D79" i="9"/>
  <c r="C79" i="9"/>
  <c r="AH78" i="9"/>
  <c r="AH77" i="9"/>
  <c r="AH79" i="9" s="1"/>
  <c r="AN75" i="9"/>
  <c r="AM75" i="9"/>
  <c r="AG75" i="9"/>
  <c r="AF75" i="9"/>
  <c r="AE75" i="9"/>
  <c r="AD75" i="9"/>
  <c r="AC75" i="9"/>
  <c r="AB75" i="9"/>
  <c r="AA75" i="9"/>
  <c r="Z75" i="9"/>
  <c r="Y75" i="9"/>
  <c r="X75" i="9"/>
  <c r="W75" i="9"/>
  <c r="V75" i="9"/>
  <c r="U75" i="9"/>
  <c r="T75" i="9"/>
  <c r="S75" i="9"/>
  <c r="R75" i="9"/>
  <c r="Q75" i="9"/>
  <c r="P75" i="9"/>
  <c r="O75" i="9"/>
  <c r="N75" i="9"/>
  <c r="M75" i="9"/>
  <c r="L75" i="9"/>
  <c r="K75" i="9"/>
  <c r="J75" i="9"/>
  <c r="I75" i="9"/>
  <c r="H75" i="9"/>
  <c r="G75" i="9"/>
  <c r="F75" i="9"/>
  <c r="E75" i="9"/>
  <c r="D75" i="9"/>
  <c r="C75" i="9"/>
  <c r="AH74" i="9"/>
  <c r="AH73" i="9"/>
  <c r="AH75" i="9" s="1"/>
  <c r="AN71" i="9"/>
  <c r="AM71" i="9"/>
  <c r="AG71" i="9"/>
  <c r="AF71" i="9"/>
  <c r="AE71" i="9"/>
  <c r="AD71" i="9"/>
  <c r="AC71" i="9"/>
  <c r="AB71" i="9"/>
  <c r="AA71" i="9"/>
  <c r="Z71" i="9"/>
  <c r="Y71" i="9"/>
  <c r="X71" i="9"/>
  <c r="W71" i="9"/>
  <c r="V71" i="9"/>
  <c r="U71" i="9"/>
  <c r="T71" i="9"/>
  <c r="S71" i="9"/>
  <c r="R71" i="9"/>
  <c r="Q71" i="9"/>
  <c r="P71" i="9"/>
  <c r="O71" i="9"/>
  <c r="N71" i="9"/>
  <c r="M71" i="9"/>
  <c r="L71" i="9"/>
  <c r="K71" i="9"/>
  <c r="J71" i="9"/>
  <c r="I71" i="9"/>
  <c r="H71" i="9"/>
  <c r="G71" i="9"/>
  <c r="F71" i="9"/>
  <c r="E71" i="9"/>
  <c r="D71" i="9"/>
  <c r="C71" i="9"/>
  <c r="AH70" i="9"/>
  <c r="AH69" i="9"/>
  <c r="AH71" i="9" s="1"/>
  <c r="AN67" i="9"/>
  <c r="AM67" i="9"/>
  <c r="AG67" i="9"/>
  <c r="AF67" i="9"/>
  <c r="AE67" i="9"/>
  <c r="AD67" i="9"/>
  <c r="AC67" i="9"/>
  <c r="AB67" i="9"/>
  <c r="AA67" i="9"/>
  <c r="Z67" i="9"/>
  <c r="Y67" i="9"/>
  <c r="X67" i="9"/>
  <c r="W67" i="9"/>
  <c r="V67" i="9"/>
  <c r="U67" i="9"/>
  <c r="T67" i="9"/>
  <c r="S67" i="9"/>
  <c r="R67" i="9"/>
  <c r="Q67" i="9"/>
  <c r="P67" i="9"/>
  <c r="O67" i="9"/>
  <c r="N67" i="9"/>
  <c r="M67" i="9"/>
  <c r="L67" i="9"/>
  <c r="K67" i="9"/>
  <c r="J67" i="9"/>
  <c r="I67" i="9"/>
  <c r="H67" i="9"/>
  <c r="G67" i="9"/>
  <c r="F67" i="9"/>
  <c r="E67" i="9"/>
  <c r="D67" i="9"/>
  <c r="C67" i="9"/>
  <c r="AH66" i="9"/>
  <c r="AH65" i="9"/>
  <c r="AH67" i="9" s="1"/>
  <c r="AN63" i="9"/>
  <c r="AM63" i="9"/>
  <c r="AG63" i="9"/>
  <c r="AF63" i="9"/>
  <c r="AE63" i="9"/>
  <c r="AD63" i="9"/>
  <c r="AC63" i="9"/>
  <c r="AB63" i="9"/>
  <c r="AA63" i="9"/>
  <c r="Z63" i="9"/>
  <c r="Y63" i="9"/>
  <c r="X63" i="9"/>
  <c r="W63" i="9"/>
  <c r="V63" i="9"/>
  <c r="U63" i="9"/>
  <c r="T63" i="9"/>
  <c r="S63" i="9"/>
  <c r="R63" i="9"/>
  <c r="Q63" i="9"/>
  <c r="P63" i="9"/>
  <c r="O63" i="9"/>
  <c r="N63" i="9"/>
  <c r="M63" i="9"/>
  <c r="L63" i="9"/>
  <c r="K63" i="9"/>
  <c r="J63" i="9"/>
  <c r="I63" i="9"/>
  <c r="H63" i="9"/>
  <c r="G63" i="9"/>
  <c r="F63" i="9"/>
  <c r="E63" i="9"/>
  <c r="D63" i="9"/>
  <c r="C63" i="9"/>
  <c r="AH62" i="9"/>
  <c r="AH61" i="9"/>
  <c r="AH63" i="9" s="1"/>
  <c r="AN59" i="9"/>
  <c r="AG59" i="9"/>
  <c r="AF59" i="9"/>
  <c r="AE59" i="9"/>
  <c r="AD59" i="9"/>
  <c r="AC59" i="9"/>
  <c r="AB59" i="9"/>
  <c r="AA59" i="9"/>
  <c r="Z59" i="9"/>
  <c r="Y59" i="9"/>
  <c r="X59" i="9"/>
  <c r="W59" i="9"/>
  <c r="V59" i="9"/>
  <c r="U59" i="9"/>
  <c r="T59" i="9"/>
  <c r="S59" i="9"/>
  <c r="R59" i="9"/>
  <c r="Q59" i="9"/>
  <c r="P59" i="9"/>
  <c r="O59" i="9"/>
  <c r="N59" i="9"/>
  <c r="M59" i="9"/>
  <c r="L59" i="9"/>
  <c r="K59" i="9"/>
  <c r="J59" i="9"/>
  <c r="I59" i="9"/>
  <c r="H59" i="9"/>
  <c r="G59" i="9"/>
  <c r="F59" i="9"/>
  <c r="E59" i="9"/>
  <c r="D59" i="9"/>
  <c r="C59" i="9"/>
  <c r="AH58" i="9"/>
  <c r="AH59" i="9" s="1"/>
  <c r="AH57" i="9"/>
  <c r="AN55" i="9"/>
  <c r="AM55" i="9"/>
  <c r="AG55" i="9"/>
  <c r="AF55" i="9"/>
  <c r="AE55" i="9"/>
  <c r="AD55" i="9"/>
  <c r="AC55" i="9"/>
  <c r="AB55" i="9"/>
  <c r="AA55" i="9"/>
  <c r="Z55" i="9"/>
  <c r="Y55" i="9"/>
  <c r="X55" i="9"/>
  <c r="W55" i="9"/>
  <c r="V55" i="9"/>
  <c r="U55" i="9"/>
  <c r="T55" i="9"/>
  <c r="S55" i="9"/>
  <c r="R55" i="9"/>
  <c r="Q55" i="9"/>
  <c r="P55" i="9"/>
  <c r="O55" i="9"/>
  <c r="N55" i="9"/>
  <c r="M55" i="9"/>
  <c r="L55" i="9"/>
  <c r="K55" i="9"/>
  <c r="J55" i="9"/>
  <c r="I55" i="9"/>
  <c r="H55" i="9"/>
  <c r="G55" i="9"/>
  <c r="F55" i="9"/>
  <c r="E55" i="9"/>
  <c r="D55" i="9"/>
  <c r="C55" i="9"/>
  <c r="AH54" i="9"/>
  <c r="AH55" i="9" s="1"/>
  <c r="AH53" i="9"/>
  <c r="AN51" i="9"/>
  <c r="AM51" i="9"/>
  <c r="AH51" i="9"/>
  <c r="AG51" i="9"/>
  <c r="AF51" i="9"/>
  <c r="AE51" i="9"/>
  <c r="AD51" i="9"/>
  <c r="AC51" i="9"/>
  <c r="AB51" i="9"/>
  <c r="AA51" i="9"/>
  <c r="Z51" i="9"/>
  <c r="Y51" i="9"/>
  <c r="X51" i="9"/>
  <c r="W51" i="9"/>
  <c r="V51" i="9"/>
  <c r="U51" i="9"/>
  <c r="T51" i="9"/>
  <c r="S51" i="9"/>
  <c r="R51" i="9"/>
  <c r="Q51" i="9"/>
  <c r="P51" i="9"/>
  <c r="O51" i="9"/>
  <c r="N51" i="9"/>
  <c r="M51" i="9"/>
  <c r="L51" i="9"/>
  <c r="K51" i="9"/>
  <c r="J51" i="9"/>
  <c r="I51" i="9"/>
  <c r="H51" i="9"/>
  <c r="G51" i="9"/>
  <c r="F51" i="9"/>
  <c r="E51" i="9"/>
  <c r="D51" i="9"/>
  <c r="C51" i="9"/>
  <c r="AP50" i="9"/>
  <c r="AH50" i="9"/>
  <c r="AH49" i="9"/>
  <c r="AN47" i="9"/>
  <c r="AM47" i="9"/>
  <c r="AG47" i="9"/>
  <c r="AF47" i="9"/>
  <c r="AE47" i="9"/>
  <c r="AD47" i="9"/>
  <c r="AC47" i="9"/>
  <c r="AB47" i="9"/>
  <c r="AA47" i="9"/>
  <c r="Z47" i="9"/>
  <c r="Y47" i="9"/>
  <c r="X47" i="9"/>
  <c r="W47" i="9"/>
  <c r="V47" i="9"/>
  <c r="U47" i="9"/>
  <c r="T47" i="9"/>
  <c r="S47" i="9"/>
  <c r="R47" i="9"/>
  <c r="Q47" i="9"/>
  <c r="P47" i="9"/>
  <c r="O47" i="9"/>
  <c r="N47" i="9"/>
  <c r="M47" i="9"/>
  <c r="L47" i="9"/>
  <c r="K47" i="9"/>
  <c r="J47" i="9"/>
  <c r="I47" i="9"/>
  <c r="H47" i="9"/>
  <c r="G47" i="9"/>
  <c r="F47" i="9"/>
  <c r="E47" i="9"/>
  <c r="D47" i="9"/>
  <c r="C47" i="9"/>
  <c r="AH46" i="9"/>
  <c r="AH45" i="9"/>
  <c r="AH47" i="9" s="1"/>
  <c r="AN43" i="9"/>
  <c r="AM43" i="9"/>
  <c r="AG43" i="9"/>
  <c r="AF43" i="9"/>
  <c r="AE43" i="9"/>
  <c r="AD43" i="9"/>
  <c r="AC43" i="9"/>
  <c r="AB43" i="9"/>
  <c r="AA43" i="9"/>
  <c r="Z43" i="9"/>
  <c r="Y43" i="9"/>
  <c r="X43" i="9"/>
  <c r="W43" i="9"/>
  <c r="V43" i="9"/>
  <c r="U43" i="9"/>
  <c r="T43" i="9"/>
  <c r="S43" i="9"/>
  <c r="R43" i="9"/>
  <c r="Q43" i="9"/>
  <c r="P43" i="9"/>
  <c r="O43" i="9"/>
  <c r="N43" i="9"/>
  <c r="M43" i="9"/>
  <c r="L43" i="9"/>
  <c r="K43" i="9"/>
  <c r="J43" i="9"/>
  <c r="I43" i="9"/>
  <c r="H43" i="9"/>
  <c r="G43" i="9"/>
  <c r="F43" i="9"/>
  <c r="E43" i="9"/>
  <c r="D43" i="9"/>
  <c r="C43" i="9"/>
  <c r="AH42" i="9"/>
  <c r="AH41" i="9"/>
  <c r="AH43" i="9" s="1"/>
  <c r="AN39" i="9"/>
  <c r="AM39" i="9"/>
  <c r="AG39" i="9"/>
  <c r="AF39" i="9"/>
  <c r="AE39" i="9"/>
  <c r="AD39" i="9"/>
  <c r="AC39" i="9"/>
  <c r="AB39" i="9"/>
  <c r="AA39" i="9"/>
  <c r="Z39" i="9"/>
  <c r="Y39" i="9"/>
  <c r="X39" i="9"/>
  <c r="W39" i="9"/>
  <c r="V39" i="9"/>
  <c r="U39" i="9"/>
  <c r="T39" i="9"/>
  <c r="S39" i="9"/>
  <c r="R39" i="9"/>
  <c r="Q39" i="9"/>
  <c r="P39" i="9"/>
  <c r="O39" i="9"/>
  <c r="N39" i="9"/>
  <c r="M39" i="9"/>
  <c r="L39" i="9"/>
  <c r="K39" i="9"/>
  <c r="J39" i="9"/>
  <c r="I39" i="9"/>
  <c r="H39" i="9"/>
  <c r="G39" i="9"/>
  <c r="F39" i="9"/>
  <c r="E39" i="9"/>
  <c r="D39" i="9"/>
  <c r="C39" i="9"/>
  <c r="AH38" i="9"/>
  <c r="AH37" i="9"/>
  <c r="AH39" i="9" s="1"/>
  <c r="AN35" i="9"/>
  <c r="AM35" i="9"/>
  <c r="AG35" i="9"/>
  <c r="AF35" i="9"/>
  <c r="AE35" i="9"/>
  <c r="AD35" i="9"/>
  <c r="AC35" i="9"/>
  <c r="AB35" i="9"/>
  <c r="AA35" i="9"/>
  <c r="Z35" i="9"/>
  <c r="Y35" i="9"/>
  <c r="X35" i="9"/>
  <c r="W35" i="9"/>
  <c r="V35" i="9"/>
  <c r="U35" i="9"/>
  <c r="T35" i="9"/>
  <c r="S35" i="9"/>
  <c r="R35" i="9"/>
  <c r="Q35" i="9"/>
  <c r="P35" i="9"/>
  <c r="O35" i="9"/>
  <c r="N35" i="9"/>
  <c r="M35" i="9"/>
  <c r="L35" i="9"/>
  <c r="K35" i="9"/>
  <c r="J35" i="9"/>
  <c r="I35" i="9"/>
  <c r="H35" i="9"/>
  <c r="G35" i="9"/>
  <c r="F35" i="9"/>
  <c r="E35" i="9"/>
  <c r="D35" i="9"/>
  <c r="C35" i="9"/>
  <c r="AH34" i="9"/>
  <c r="AH33" i="9"/>
  <c r="AH35" i="9" s="1"/>
  <c r="AN31" i="9"/>
  <c r="AM31" i="9"/>
  <c r="AG31" i="9"/>
  <c r="AF31" i="9"/>
  <c r="AE31" i="9"/>
  <c r="AD31" i="9"/>
  <c r="AC31" i="9"/>
  <c r="AB31" i="9"/>
  <c r="AA31" i="9"/>
  <c r="Z31" i="9"/>
  <c r="Y31" i="9"/>
  <c r="X31" i="9"/>
  <c r="W31" i="9"/>
  <c r="V31" i="9"/>
  <c r="U31" i="9"/>
  <c r="T31" i="9"/>
  <c r="S31" i="9"/>
  <c r="R31" i="9"/>
  <c r="Q31" i="9"/>
  <c r="P31" i="9"/>
  <c r="O31" i="9"/>
  <c r="N31" i="9"/>
  <c r="M31" i="9"/>
  <c r="L31" i="9"/>
  <c r="K31" i="9"/>
  <c r="J31" i="9"/>
  <c r="I31" i="9"/>
  <c r="H31" i="9"/>
  <c r="G31" i="9"/>
  <c r="F31" i="9"/>
  <c r="E31" i="9"/>
  <c r="D31" i="9"/>
  <c r="C31" i="9"/>
  <c r="AH30" i="9"/>
  <c r="AH29" i="9"/>
  <c r="AH31" i="9" s="1"/>
  <c r="AN27" i="9"/>
  <c r="AM27" i="9"/>
  <c r="AG27" i="9"/>
  <c r="AF27" i="9"/>
  <c r="AE27" i="9"/>
  <c r="AD27" i="9"/>
  <c r="AC27" i="9"/>
  <c r="AB27" i="9"/>
  <c r="AA27" i="9"/>
  <c r="Z27" i="9"/>
  <c r="Y27" i="9"/>
  <c r="X27" i="9"/>
  <c r="W27" i="9"/>
  <c r="V27" i="9"/>
  <c r="U27" i="9"/>
  <c r="T27" i="9"/>
  <c r="S27" i="9"/>
  <c r="R27" i="9"/>
  <c r="Q27" i="9"/>
  <c r="P27" i="9"/>
  <c r="O27" i="9"/>
  <c r="N27" i="9"/>
  <c r="M27" i="9"/>
  <c r="L27" i="9"/>
  <c r="K27" i="9"/>
  <c r="J27" i="9"/>
  <c r="I27" i="9"/>
  <c r="H27" i="9"/>
  <c r="G27" i="9"/>
  <c r="F27" i="9"/>
  <c r="E27" i="9"/>
  <c r="D27" i="9"/>
  <c r="C27" i="9"/>
  <c r="AH26" i="9"/>
  <c r="AH25" i="9"/>
  <c r="AH27" i="9" s="1"/>
  <c r="AN23" i="9"/>
  <c r="AM23" i="9"/>
  <c r="AG23" i="9"/>
  <c r="AF23" i="9"/>
  <c r="AE23" i="9"/>
  <c r="AD23" i="9"/>
  <c r="AC23" i="9"/>
  <c r="AB23" i="9"/>
  <c r="AA23" i="9"/>
  <c r="Z23" i="9"/>
  <c r="Y23" i="9"/>
  <c r="X23" i="9"/>
  <c r="W23" i="9"/>
  <c r="V23" i="9"/>
  <c r="U23" i="9"/>
  <c r="T23" i="9"/>
  <c r="S23" i="9"/>
  <c r="R23" i="9"/>
  <c r="Q23" i="9"/>
  <c r="P23" i="9"/>
  <c r="O23" i="9"/>
  <c r="N23" i="9"/>
  <c r="M23" i="9"/>
  <c r="L23" i="9"/>
  <c r="K23" i="9"/>
  <c r="J23" i="9"/>
  <c r="I23" i="9"/>
  <c r="H23" i="9"/>
  <c r="G23" i="9"/>
  <c r="F23" i="9"/>
  <c r="E23" i="9"/>
  <c r="D23" i="9"/>
  <c r="C23" i="9"/>
  <c r="AH22" i="9"/>
  <c r="AH21" i="9"/>
  <c r="AH23" i="9" s="1"/>
  <c r="AN19" i="9"/>
  <c r="AM19" i="9"/>
  <c r="AG19" i="9"/>
  <c r="AF19" i="9"/>
  <c r="AE19" i="9"/>
  <c r="AD19" i="9"/>
  <c r="AC19" i="9"/>
  <c r="AB19" i="9"/>
  <c r="AA19" i="9"/>
  <c r="Z19" i="9"/>
  <c r="Y19" i="9"/>
  <c r="X19" i="9"/>
  <c r="W19" i="9"/>
  <c r="V19" i="9"/>
  <c r="U19" i="9"/>
  <c r="T19" i="9"/>
  <c r="S19" i="9"/>
  <c r="R19" i="9"/>
  <c r="Q19" i="9"/>
  <c r="P19" i="9"/>
  <c r="O19" i="9"/>
  <c r="N19" i="9"/>
  <c r="M19" i="9"/>
  <c r="L19" i="9"/>
  <c r="K19" i="9"/>
  <c r="J19" i="9"/>
  <c r="I19" i="9"/>
  <c r="H19" i="9"/>
  <c r="G19" i="9"/>
  <c r="F19" i="9"/>
  <c r="E19" i="9"/>
  <c r="D19" i="9"/>
  <c r="C19" i="9"/>
  <c r="AH18" i="9"/>
  <c r="AH17" i="9"/>
  <c r="AH19" i="9" s="1"/>
  <c r="AN15" i="9"/>
  <c r="AO15" i="9" s="1"/>
  <c r="AM15" i="9"/>
  <c r="AG15" i="9"/>
  <c r="AF15" i="9"/>
  <c r="AE15" i="9"/>
  <c r="AD15" i="9"/>
  <c r="AC15" i="9"/>
  <c r="AB15" i="9"/>
  <c r="AA15" i="9"/>
  <c r="Z15" i="9"/>
  <c r="Y15" i="9"/>
  <c r="X15" i="9"/>
  <c r="W15" i="9"/>
  <c r="V15" i="9"/>
  <c r="U15" i="9"/>
  <c r="T15" i="9"/>
  <c r="S15" i="9"/>
  <c r="R15" i="9"/>
  <c r="Q15" i="9"/>
  <c r="P15" i="9"/>
  <c r="O15" i="9"/>
  <c r="N15" i="9"/>
  <c r="M15" i="9"/>
  <c r="L15" i="9"/>
  <c r="K15" i="9"/>
  <c r="J15" i="9"/>
  <c r="I15" i="9"/>
  <c r="H15" i="9"/>
  <c r="G15" i="9"/>
  <c r="F15" i="9"/>
  <c r="E15" i="9"/>
  <c r="D15" i="9"/>
  <c r="C15" i="9"/>
  <c r="AH14" i="9"/>
  <c r="AH13" i="9"/>
  <c r="AH15" i="9" s="1"/>
  <c r="AN11" i="9"/>
  <c r="AM11" i="9"/>
  <c r="AG11" i="9"/>
  <c r="AF11" i="9"/>
  <c r="AE11" i="9"/>
  <c r="AD11" i="9"/>
  <c r="AC11" i="9"/>
  <c r="AB11" i="9"/>
  <c r="AA11" i="9"/>
  <c r="Z11" i="9"/>
  <c r="Y11" i="9"/>
  <c r="X11" i="9"/>
  <c r="W11" i="9"/>
  <c r="V11" i="9"/>
  <c r="U11" i="9"/>
  <c r="T11" i="9"/>
  <c r="S11" i="9"/>
  <c r="R11" i="9"/>
  <c r="Q11" i="9"/>
  <c r="P11" i="9"/>
  <c r="O11" i="9"/>
  <c r="N11" i="9"/>
  <c r="M11" i="9"/>
  <c r="L11" i="9"/>
  <c r="K11" i="9"/>
  <c r="J11" i="9"/>
  <c r="I11" i="9"/>
  <c r="H11" i="9"/>
  <c r="G11" i="9"/>
  <c r="F11" i="9"/>
  <c r="E11" i="9"/>
  <c r="D11" i="9"/>
  <c r="C11" i="9"/>
  <c r="AH10" i="9"/>
  <c r="AH9" i="9"/>
  <c r="AH11" i="9" s="1"/>
  <c r="AN7" i="9"/>
  <c r="AM7" i="9"/>
  <c r="AG7" i="9"/>
  <c r="AF7" i="9"/>
  <c r="AE7" i="9"/>
  <c r="AD7" i="9"/>
  <c r="AC7" i="9"/>
  <c r="AB7" i="9"/>
  <c r="AA7" i="9"/>
  <c r="Z7" i="9"/>
  <c r="Y7" i="9"/>
  <c r="X7" i="9"/>
  <c r="W7" i="9"/>
  <c r="V7" i="9"/>
  <c r="U7" i="9"/>
  <c r="T7" i="9"/>
  <c r="S7" i="9"/>
  <c r="R7" i="9"/>
  <c r="Q7" i="9"/>
  <c r="P7" i="9"/>
  <c r="O7" i="9"/>
  <c r="N7" i="9"/>
  <c r="M7" i="9"/>
  <c r="L7" i="9"/>
  <c r="K7" i="9"/>
  <c r="J7" i="9"/>
  <c r="I7" i="9"/>
  <c r="H7" i="9"/>
  <c r="G7" i="9"/>
  <c r="F7" i="9"/>
  <c r="E7" i="9"/>
  <c r="D7" i="9"/>
  <c r="C7" i="9"/>
  <c r="AH6" i="9"/>
  <c r="AH5" i="9"/>
  <c r="AH7" i="9" s="1"/>
  <c r="AD3" i="9"/>
  <c r="AC3" i="9"/>
  <c r="AB3" i="9"/>
  <c r="AA3" i="9"/>
  <c r="Z3" i="9"/>
  <c r="Y3" i="9"/>
  <c r="X3" i="9"/>
  <c r="W3" i="9"/>
  <c r="V3" i="9"/>
  <c r="U3" i="9"/>
  <c r="T3" i="9"/>
  <c r="S3" i="9"/>
  <c r="R3" i="9"/>
  <c r="Q3" i="9"/>
  <c r="P3" i="9"/>
  <c r="O3" i="9"/>
  <c r="N3" i="9"/>
  <c r="M3" i="9"/>
  <c r="L3" i="9"/>
  <c r="K3" i="9"/>
  <c r="J3" i="9"/>
  <c r="I3" i="9"/>
  <c r="H3" i="9"/>
  <c r="G3" i="9"/>
  <c r="F3" i="9"/>
  <c r="E3" i="9"/>
  <c r="D3" i="9"/>
  <c r="C3" i="9"/>
  <c r="AR123" i="8"/>
  <c r="AN123" i="8"/>
  <c r="AO123" i="8" s="1"/>
  <c r="AH123" i="8"/>
  <c r="AG123" i="8"/>
  <c r="AF123" i="8"/>
  <c r="AE123" i="8"/>
  <c r="AD123" i="8"/>
  <c r="AC123" i="8"/>
  <c r="AB123" i="8"/>
  <c r="AA123" i="8"/>
  <c r="Z123" i="8"/>
  <c r="Y123" i="8"/>
  <c r="X123" i="8"/>
  <c r="W123" i="8"/>
  <c r="V123" i="8"/>
  <c r="U123" i="8"/>
  <c r="T123" i="8"/>
  <c r="S123" i="8"/>
  <c r="R123" i="8"/>
  <c r="Q123" i="8"/>
  <c r="P123" i="8"/>
  <c r="O123" i="8"/>
  <c r="N123" i="8"/>
  <c r="M123" i="8"/>
  <c r="L123" i="8"/>
  <c r="K123" i="8"/>
  <c r="J123" i="8"/>
  <c r="I123" i="8"/>
  <c r="H123" i="8"/>
  <c r="G123" i="8"/>
  <c r="F123" i="8"/>
  <c r="E123" i="8"/>
  <c r="D123" i="8"/>
  <c r="C123" i="8"/>
  <c r="AH122" i="8"/>
  <c r="AH121" i="8"/>
  <c r="AR119" i="8"/>
  <c r="AO119" i="8"/>
  <c r="AN119" i="8"/>
  <c r="AG119" i="8"/>
  <c r="AF119" i="8"/>
  <c r="AE119" i="8"/>
  <c r="AD119" i="8"/>
  <c r="AC119" i="8"/>
  <c r="AB119" i="8"/>
  <c r="AA119" i="8"/>
  <c r="Z119" i="8"/>
  <c r="Y119" i="8"/>
  <c r="X119" i="8"/>
  <c r="W119" i="8"/>
  <c r="V119" i="8"/>
  <c r="U119" i="8"/>
  <c r="T119" i="8"/>
  <c r="S119" i="8"/>
  <c r="R119" i="8"/>
  <c r="Q119" i="8"/>
  <c r="P119" i="8"/>
  <c r="O119" i="8"/>
  <c r="N119" i="8"/>
  <c r="M119" i="8"/>
  <c r="L119" i="8"/>
  <c r="K119" i="8"/>
  <c r="J119" i="8"/>
  <c r="I119" i="8"/>
  <c r="H119" i="8"/>
  <c r="G119" i="8"/>
  <c r="F119" i="8"/>
  <c r="E119" i="8"/>
  <c r="D119" i="8"/>
  <c r="C119" i="8"/>
  <c r="AH118" i="8"/>
  <c r="AH117" i="8"/>
  <c r="AH119" i="8" s="1"/>
  <c r="AR115" i="8"/>
  <c r="AN115" i="8"/>
  <c r="AH115" i="8"/>
  <c r="AG115" i="8"/>
  <c r="AF115" i="8"/>
  <c r="AE115" i="8"/>
  <c r="AD115" i="8"/>
  <c r="AC115" i="8"/>
  <c r="AB115" i="8"/>
  <c r="AA115" i="8"/>
  <c r="Z115" i="8"/>
  <c r="Y115" i="8"/>
  <c r="X115" i="8"/>
  <c r="W115" i="8"/>
  <c r="V115" i="8"/>
  <c r="U115" i="8"/>
  <c r="T115" i="8"/>
  <c r="S115" i="8"/>
  <c r="R115" i="8"/>
  <c r="Q115" i="8"/>
  <c r="P115" i="8"/>
  <c r="O115" i="8"/>
  <c r="N115" i="8"/>
  <c r="M115" i="8"/>
  <c r="L115" i="8"/>
  <c r="K115" i="8"/>
  <c r="J115" i="8"/>
  <c r="I115" i="8"/>
  <c r="H115" i="8"/>
  <c r="G115" i="8"/>
  <c r="F115" i="8"/>
  <c r="E115" i="8"/>
  <c r="D115" i="8"/>
  <c r="C115" i="8"/>
  <c r="AH114" i="8"/>
  <c r="AH113" i="8"/>
  <c r="AR111" i="8"/>
  <c r="AN111" i="8"/>
  <c r="AG111" i="8"/>
  <c r="AF111" i="8"/>
  <c r="AE111" i="8"/>
  <c r="AD111" i="8"/>
  <c r="AC111" i="8"/>
  <c r="AB111" i="8"/>
  <c r="AA111" i="8"/>
  <c r="Z111" i="8"/>
  <c r="Y111" i="8"/>
  <c r="X111" i="8"/>
  <c r="W111" i="8"/>
  <c r="V111" i="8"/>
  <c r="U111" i="8"/>
  <c r="T111" i="8"/>
  <c r="S111" i="8"/>
  <c r="R111" i="8"/>
  <c r="Q111" i="8"/>
  <c r="P111" i="8"/>
  <c r="O111" i="8"/>
  <c r="N111" i="8"/>
  <c r="M111" i="8"/>
  <c r="L111" i="8"/>
  <c r="K111" i="8"/>
  <c r="J111" i="8"/>
  <c r="I111" i="8"/>
  <c r="H111" i="8"/>
  <c r="G111" i="8"/>
  <c r="F111" i="8"/>
  <c r="E111" i="8"/>
  <c r="D111" i="8"/>
  <c r="C111" i="8"/>
  <c r="AH110" i="8"/>
  <c r="AH109" i="8"/>
  <c r="AH111" i="8" s="1"/>
  <c r="AR107" i="8"/>
  <c r="AN107" i="8"/>
  <c r="AH107" i="8"/>
  <c r="AG107" i="8"/>
  <c r="AF107" i="8"/>
  <c r="AE107" i="8"/>
  <c r="AD107" i="8"/>
  <c r="AC107" i="8"/>
  <c r="AB107" i="8"/>
  <c r="AA107" i="8"/>
  <c r="Z107" i="8"/>
  <c r="Y107" i="8"/>
  <c r="X107" i="8"/>
  <c r="W107" i="8"/>
  <c r="V107" i="8"/>
  <c r="U107" i="8"/>
  <c r="T107" i="8"/>
  <c r="S107" i="8"/>
  <c r="R107" i="8"/>
  <c r="Q107" i="8"/>
  <c r="P107" i="8"/>
  <c r="O107" i="8"/>
  <c r="N107" i="8"/>
  <c r="M107" i="8"/>
  <c r="L107" i="8"/>
  <c r="K107" i="8"/>
  <c r="J107" i="8"/>
  <c r="I107" i="8"/>
  <c r="H107" i="8"/>
  <c r="G107" i="8"/>
  <c r="F107" i="8"/>
  <c r="E107" i="8"/>
  <c r="D107" i="8"/>
  <c r="C107" i="8"/>
  <c r="AH106" i="8"/>
  <c r="AH105" i="8"/>
  <c r="AR103" i="8"/>
  <c r="AN103" i="8"/>
  <c r="AM103" i="8"/>
  <c r="AG103" i="8"/>
  <c r="AF103" i="8"/>
  <c r="AE103" i="8"/>
  <c r="AD103" i="8"/>
  <c r="AC103" i="8"/>
  <c r="AB103" i="8"/>
  <c r="AA103" i="8"/>
  <c r="Z103" i="8"/>
  <c r="Y103" i="8"/>
  <c r="X103" i="8"/>
  <c r="W103" i="8"/>
  <c r="V103" i="8"/>
  <c r="U103" i="8"/>
  <c r="T103" i="8"/>
  <c r="S103" i="8"/>
  <c r="R103" i="8"/>
  <c r="Q103" i="8"/>
  <c r="P103" i="8"/>
  <c r="O103" i="8"/>
  <c r="N103" i="8"/>
  <c r="M103" i="8"/>
  <c r="L103" i="8"/>
  <c r="K103" i="8"/>
  <c r="J103" i="8"/>
  <c r="I103" i="8"/>
  <c r="H103" i="8"/>
  <c r="G103" i="8"/>
  <c r="F103" i="8"/>
  <c r="E103" i="8"/>
  <c r="D103" i="8"/>
  <c r="C103" i="8"/>
  <c r="AH102" i="8"/>
  <c r="AH103" i="8" s="1"/>
  <c r="AH101" i="8"/>
  <c r="AR99" i="8"/>
  <c r="AN99" i="8"/>
  <c r="AM99" i="8"/>
  <c r="AG99" i="8"/>
  <c r="AF99" i="8"/>
  <c r="AE99" i="8"/>
  <c r="AD99" i="8"/>
  <c r="AC99" i="8"/>
  <c r="AB99" i="8"/>
  <c r="AA99" i="8"/>
  <c r="Z99" i="8"/>
  <c r="Y99" i="8"/>
  <c r="X99" i="8"/>
  <c r="W99" i="8"/>
  <c r="V99" i="8"/>
  <c r="U99" i="8"/>
  <c r="T99" i="8"/>
  <c r="S99" i="8"/>
  <c r="R99" i="8"/>
  <c r="Q99" i="8"/>
  <c r="P99" i="8"/>
  <c r="O99" i="8"/>
  <c r="N99" i="8"/>
  <c r="M99" i="8"/>
  <c r="L99" i="8"/>
  <c r="K99" i="8"/>
  <c r="J99" i="8"/>
  <c r="I99" i="8"/>
  <c r="H99" i="8"/>
  <c r="G99" i="8"/>
  <c r="F99" i="8"/>
  <c r="E99" i="8"/>
  <c r="D99" i="8"/>
  <c r="C99" i="8"/>
  <c r="AH98" i="8"/>
  <c r="AH97" i="8"/>
  <c r="AH99" i="8" s="1"/>
  <c r="AR95" i="8"/>
  <c r="AN95" i="8"/>
  <c r="AM95" i="8"/>
  <c r="AG95" i="8"/>
  <c r="AF95" i="8"/>
  <c r="AE95" i="8"/>
  <c r="AD95" i="8"/>
  <c r="AC95" i="8"/>
  <c r="AB95" i="8"/>
  <c r="AA95" i="8"/>
  <c r="Z95" i="8"/>
  <c r="Y95" i="8"/>
  <c r="X95" i="8"/>
  <c r="W95" i="8"/>
  <c r="V95" i="8"/>
  <c r="U95" i="8"/>
  <c r="T95" i="8"/>
  <c r="S95" i="8"/>
  <c r="R95" i="8"/>
  <c r="Q95" i="8"/>
  <c r="P95" i="8"/>
  <c r="O95" i="8"/>
  <c r="N95" i="8"/>
  <c r="M95" i="8"/>
  <c r="L95" i="8"/>
  <c r="K95" i="8"/>
  <c r="J95" i="8"/>
  <c r="I95" i="8"/>
  <c r="H95" i="8"/>
  <c r="G95" i="8"/>
  <c r="F95" i="8"/>
  <c r="E95" i="8"/>
  <c r="D95" i="8"/>
  <c r="C95" i="8"/>
  <c r="AH94" i="8"/>
  <c r="AH95" i="8" s="1"/>
  <c r="AH93" i="8"/>
  <c r="AR91" i="8"/>
  <c r="AN91" i="8"/>
  <c r="AM91" i="8"/>
  <c r="AG91" i="8"/>
  <c r="AF91" i="8"/>
  <c r="AE91" i="8"/>
  <c r="AD91" i="8"/>
  <c r="AC91" i="8"/>
  <c r="AB91" i="8"/>
  <c r="AA91" i="8"/>
  <c r="Z91" i="8"/>
  <c r="Y91" i="8"/>
  <c r="X91" i="8"/>
  <c r="W91" i="8"/>
  <c r="V91" i="8"/>
  <c r="U91" i="8"/>
  <c r="T91" i="8"/>
  <c r="S91" i="8"/>
  <c r="R91" i="8"/>
  <c r="Q91" i="8"/>
  <c r="P91" i="8"/>
  <c r="O91" i="8"/>
  <c r="N91" i="8"/>
  <c r="M91" i="8"/>
  <c r="L91" i="8"/>
  <c r="K91" i="8"/>
  <c r="J91" i="8"/>
  <c r="I91" i="8"/>
  <c r="H91" i="8"/>
  <c r="G91" i="8"/>
  <c r="F91" i="8"/>
  <c r="E91" i="8"/>
  <c r="D91" i="8"/>
  <c r="C91" i="8"/>
  <c r="AH90" i="8"/>
  <c r="AH89" i="8"/>
  <c r="AH91" i="8" s="1"/>
  <c r="AR87" i="8"/>
  <c r="AN87" i="8"/>
  <c r="AM87" i="8"/>
  <c r="AH87" i="8"/>
  <c r="AG87" i="8"/>
  <c r="AF87" i="8"/>
  <c r="AE87" i="8"/>
  <c r="AD87" i="8"/>
  <c r="AC87" i="8"/>
  <c r="AB87" i="8"/>
  <c r="AA87" i="8"/>
  <c r="Z87" i="8"/>
  <c r="Y87" i="8"/>
  <c r="X87" i="8"/>
  <c r="W87" i="8"/>
  <c r="V87" i="8"/>
  <c r="U87" i="8"/>
  <c r="T87" i="8"/>
  <c r="S87" i="8"/>
  <c r="R87" i="8"/>
  <c r="Q87" i="8"/>
  <c r="P87" i="8"/>
  <c r="O87" i="8"/>
  <c r="N87" i="8"/>
  <c r="M87" i="8"/>
  <c r="L87" i="8"/>
  <c r="K87" i="8"/>
  <c r="J87" i="8"/>
  <c r="I87" i="8"/>
  <c r="H87" i="8"/>
  <c r="G87" i="8"/>
  <c r="F87" i="8"/>
  <c r="E87" i="8"/>
  <c r="D87" i="8"/>
  <c r="C87" i="8"/>
  <c r="AH86" i="8"/>
  <c r="AH85" i="8"/>
  <c r="AR83" i="8"/>
  <c r="AN83" i="8"/>
  <c r="AM83" i="8"/>
  <c r="AG83" i="8"/>
  <c r="AF83" i="8"/>
  <c r="AE83" i="8"/>
  <c r="AD83" i="8"/>
  <c r="AC83" i="8"/>
  <c r="AB83" i="8"/>
  <c r="AA83" i="8"/>
  <c r="Z83" i="8"/>
  <c r="Y83" i="8"/>
  <c r="X83" i="8"/>
  <c r="W83" i="8"/>
  <c r="V83" i="8"/>
  <c r="U83" i="8"/>
  <c r="T83" i="8"/>
  <c r="S83" i="8"/>
  <c r="R83" i="8"/>
  <c r="Q83" i="8"/>
  <c r="P83" i="8"/>
  <c r="O83" i="8"/>
  <c r="N83" i="8"/>
  <c r="M83" i="8"/>
  <c r="L83" i="8"/>
  <c r="K83" i="8"/>
  <c r="J83" i="8"/>
  <c r="I83" i="8"/>
  <c r="H83" i="8"/>
  <c r="G83" i="8"/>
  <c r="F83" i="8"/>
  <c r="E83" i="8"/>
  <c r="D83" i="8"/>
  <c r="C83" i="8"/>
  <c r="AH82" i="8"/>
  <c r="AH81" i="8"/>
  <c r="AH83" i="8" s="1"/>
  <c r="AP79" i="8"/>
  <c r="AP79" i="9" s="1"/>
  <c r="AP79" i="10" s="1"/>
  <c r="AN79" i="8"/>
  <c r="AM79" i="8"/>
  <c r="AG79" i="8"/>
  <c r="AF79" i="8"/>
  <c r="AE79" i="8"/>
  <c r="AD79" i="8"/>
  <c r="AC79" i="8"/>
  <c r="AB79" i="8"/>
  <c r="AA79" i="8"/>
  <c r="Z79" i="8"/>
  <c r="Y79" i="8"/>
  <c r="X79" i="8"/>
  <c r="W79" i="8"/>
  <c r="V79" i="8"/>
  <c r="U79" i="8"/>
  <c r="T79" i="8"/>
  <c r="S79" i="8"/>
  <c r="R79" i="8"/>
  <c r="Q79" i="8"/>
  <c r="P79" i="8"/>
  <c r="O79" i="8"/>
  <c r="N79" i="8"/>
  <c r="M79" i="8"/>
  <c r="L79" i="8"/>
  <c r="K79" i="8"/>
  <c r="J79" i="8"/>
  <c r="I79" i="8"/>
  <c r="H79" i="8"/>
  <c r="G79" i="8"/>
  <c r="F79" i="8"/>
  <c r="E79" i="8"/>
  <c r="D79" i="8"/>
  <c r="C79" i="8"/>
  <c r="AH78" i="8"/>
  <c r="AH77" i="8"/>
  <c r="AH79" i="8" s="1"/>
  <c r="AP75" i="8"/>
  <c r="AP75" i="9" s="1"/>
  <c r="AP75" i="10" s="1"/>
  <c r="AN75" i="8"/>
  <c r="AM75" i="8"/>
  <c r="AG75" i="8"/>
  <c r="AF75" i="8"/>
  <c r="AE75" i="8"/>
  <c r="AD75" i="8"/>
  <c r="AC75" i="8"/>
  <c r="AB75" i="8"/>
  <c r="AA75" i="8"/>
  <c r="Z75" i="8"/>
  <c r="Y75" i="8"/>
  <c r="X75" i="8"/>
  <c r="W75" i="8"/>
  <c r="V75" i="8"/>
  <c r="U75" i="8"/>
  <c r="T75" i="8"/>
  <c r="S75" i="8"/>
  <c r="R75" i="8"/>
  <c r="Q75" i="8"/>
  <c r="P75" i="8"/>
  <c r="O75" i="8"/>
  <c r="N75" i="8"/>
  <c r="M75" i="8"/>
  <c r="L75" i="8"/>
  <c r="K75" i="8"/>
  <c r="J75" i="8"/>
  <c r="I75" i="8"/>
  <c r="H75" i="8"/>
  <c r="G75" i="8"/>
  <c r="F75" i="8"/>
  <c r="E75" i="8"/>
  <c r="D75" i="8"/>
  <c r="C75" i="8"/>
  <c r="AH74" i="8"/>
  <c r="AH73" i="8"/>
  <c r="AH75" i="8" s="1"/>
  <c r="AN72" i="8"/>
  <c r="AO72" i="8" s="1"/>
  <c r="AP71" i="8"/>
  <c r="AP71" i="9" s="1"/>
  <c r="AP71" i="10" s="1"/>
  <c r="AN71" i="8"/>
  <c r="AM71" i="8"/>
  <c r="AG71" i="8"/>
  <c r="AF71" i="8"/>
  <c r="AE71" i="8"/>
  <c r="AD71" i="8"/>
  <c r="AC71" i="8"/>
  <c r="AB71" i="8"/>
  <c r="AA71" i="8"/>
  <c r="Z71" i="8"/>
  <c r="Y71" i="8"/>
  <c r="X71" i="8"/>
  <c r="W71" i="8"/>
  <c r="V71" i="8"/>
  <c r="U71" i="8"/>
  <c r="T71" i="8"/>
  <c r="S71" i="8"/>
  <c r="R71" i="8"/>
  <c r="Q71" i="8"/>
  <c r="P71" i="8"/>
  <c r="O71" i="8"/>
  <c r="N71" i="8"/>
  <c r="M71" i="8"/>
  <c r="L71" i="8"/>
  <c r="K71" i="8"/>
  <c r="J71" i="8"/>
  <c r="I71" i="8"/>
  <c r="H71" i="8"/>
  <c r="G71" i="8"/>
  <c r="F71" i="8"/>
  <c r="E71" i="8"/>
  <c r="D71" i="8"/>
  <c r="C71" i="8"/>
  <c r="AH70" i="8"/>
  <c r="AH69" i="8"/>
  <c r="AH71" i="8" s="1"/>
  <c r="AP67" i="8"/>
  <c r="AP67" i="9" s="1"/>
  <c r="AP67" i="10" s="1"/>
  <c r="AN67" i="8"/>
  <c r="AM67" i="8"/>
  <c r="AG67" i="8"/>
  <c r="AF67" i="8"/>
  <c r="AE67" i="8"/>
  <c r="AD67" i="8"/>
  <c r="AC67" i="8"/>
  <c r="AB67" i="8"/>
  <c r="AA67" i="8"/>
  <c r="Z67" i="8"/>
  <c r="Y67" i="8"/>
  <c r="X67" i="8"/>
  <c r="W67" i="8"/>
  <c r="V67" i="8"/>
  <c r="U67" i="8"/>
  <c r="T67" i="8"/>
  <c r="S67" i="8"/>
  <c r="R67" i="8"/>
  <c r="Q67" i="8"/>
  <c r="P67" i="8"/>
  <c r="O67" i="8"/>
  <c r="N67" i="8"/>
  <c r="M67" i="8"/>
  <c r="L67" i="8"/>
  <c r="K67" i="8"/>
  <c r="J67" i="8"/>
  <c r="I67" i="8"/>
  <c r="H67" i="8"/>
  <c r="G67" i="8"/>
  <c r="F67" i="8"/>
  <c r="E67" i="8"/>
  <c r="D67" i="8"/>
  <c r="C67" i="8"/>
  <c r="AH66" i="8"/>
  <c r="AH65" i="8"/>
  <c r="AH67" i="8" s="1"/>
  <c r="AP63" i="8"/>
  <c r="AP63" i="9" s="1"/>
  <c r="AP63" i="10" s="1"/>
  <c r="AN63" i="8"/>
  <c r="AM63" i="8"/>
  <c r="AG63" i="8"/>
  <c r="AF63" i="8"/>
  <c r="AE63" i="8"/>
  <c r="AD63" i="8"/>
  <c r="AC63" i="8"/>
  <c r="AB63" i="8"/>
  <c r="AA63" i="8"/>
  <c r="Z63" i="8"/>
  <c r="Y63" i="8"/>
  <c r="X63" i="8"/>
  <c r="W63" i="8"/>
  <c r="V63" i="8"/>
  <c r="U63" i="8"/>
  <c r="T63" i="8"/>
  <c r="S63" i="8"/>
  <c r="R63" i="8"/>
  <c r="Q63" i="8"/>
  <c r="P63" i="8"/>
  <c r="O63" i="8"/>
  <c r="N63" i="8"/>
  <c r="M63" i="8"/>
  <c r="L63" i="8"/>
  <c r="K63" i="8"/>
  <c r="J63" i="8"/>
  <c r="I63" i="8"/>
  <c r="H63" i="8"/>
  <c r="G63" i="8"/>
  <c r="F63" i="8"/>
  <c r="E63" i="8"/>
  <c r="D63" i="8"/>
  <c r="C63" i="8"/>
  <c r="AH62" i="8"/>
  <c r="AH61" i="8"/>
  <c r="AH63" i="8" s="1"/>
  <c r="AP59" i="8"/>
  <c r="AP59" i="9" s="1"/>
  <c r="AP59" i="10" s="1"/>
  <c r="AN59" i="8"/>
  <c r="AH59" i="8"/>
  <c r="AG59" i="8"/>
  <c r="AF59" i="8"/>
  <c r="AE59" i="8"/>
  <c r="AD59" i="8"/>
  <c r="AC59" i="8"/>
  <c r="AB59" i="8"/>
  <c r="AA59" i="8"/>
  <c r="Z59" i="8"/>
  <c r="Y59" i="8"/>
  <c r="X59" i="8"/>
  <c r="W59" i="8"/>
  <c r="V59" i="8"/>
  <c r="U59" i="8"/>
  <c r="T59" i="8"/>
  <c r="S59" i="8"/>
  <c r="R59" i="8"/>
  <c r="Q59" i="8"/>
  <c r="P59" i="8"/>
  <c r="O59" i="8"/>
  <c r="N59" i="8"/>
  <c r="M59" i="8"/>
  <c r="L59" i="8"/>
  <c r="K59" i="8"/>
  <c r="J59" i="8"/>
  <c r="I59" i="8"/>
  <c r="H59" i="8"/>
  <c r="G59" i="8"/>
  <c r="F59" i="8"/>
  <c r="E59" i="8"/>
  <c r="D59" i="8"/>
  <c r="C59" i="8"/>
  <c r="AH58" i="8"/>
  <c r="AH57" i="8"/>
  <c r="AP55" i="8"/>
  <c r="AN55" i="8"/>
  <c r="AM55" i="8"/>
  <c r="AH55" i="8"/>
  <c r="AG55" i="8"/>
  <c r="AF55" i="8"/>
  <c r="AE55" i="8"/>
  <c r="AD55" i="8"/>
  <c r="AC55" i="8"/>
  <c r="AB55" i="8"/>
  <c r="AA55" i="8"/>
  <c r="Z55" i="8"/>
  <c r="Y55" i="8"/>
  <c r="X55" i="8"/>
  <c r="W55" i="8"/>
  <c r="V55" i="8"/>
  <c r="U55" i="8"/>
  <c r="T55" i="8"/>
  <c r="S55" i="8"/>
  <c r="R55" i="8"/>
  <c r="Q55" i="8"/>
  <c r="P55" i="8"/>
  <c r="O55" i="8"/>
  <c r="N55" i="8"/>
  <c r="M55" i="8"/>
  <c r="L55" i="8"/>
  <c r="K55" i="8"/>
  <c r="J55" i="8"/>
  <c r="I55" i="8"/>
  <c r="H55" i="8"/>
  <c r="G55" i="8"/>
  <c r="F55" i="8"/>
  <c r="E55" i="8"/>
  <c r="D55" i="8"/>
  <c r="C55" i="8"/>
  <c r="AH54" i="8"/>
  <c r="AH53" i="8"/>
  <c r="AP51" i="8"/>
  <c r="AN51" i="8"/>
  <c r="AM51" i="8"/>
  <c r="AH51" i="8"/>
  <c r="AG51" i="8"/>
  <c r="AF51" i="8"/>
  <c r="AE51" i="8"/>
  <c r="AD51" i="8"/>
  <c r="AC51" i="8"/>
  <c r="AB51" i="8"/>
  <c r="AA51" i="8"/>
  <c r="Z51" i="8"/>
  <c r="Y51" i="8"/>
  <c r="X51" i="8"/>
  <c r="W51" i="8"/>
  <c r="V51" i="8"/>
  <c r="U51" i="8"/>
  <c r="T51" i="8"/>
  <c r="S51" i="8"/>
  <c r="R51" i="8"/>
  <c r="Q51" i="8"/>
  <c r="P51" i="8"/>
  <c r="O51" i="8"/>
  <c r="N51" i="8"/>
  <c r="M51" i="8"/>
  <c r="L51" i="8"/>
  <c r="K51" i="8"/>
  <c r="J51" i="8"/>
  <c r="I51" i="8"/>
  <c r="H51" i="8"/>
  <c r="G51" i="8"/>
  <c r="F51" i="8"/>
  <c r="E51" i="8"/>
  <c r="D51" i="8"/>
  <c r="C51" i="8"/>
  <c r="AH50" i="8"/>
  <c r="AH49" i="8"/>
  <c r="AP47" i="8"/>
  <c r="AN47" i="8"/>
  <c r="AM47" i="8"/>
  <c r="AH47" i="8"/>
  <c r="AG47" i="8"/>
  <c r="AF47" i="8"/>
  <c r="AE47" i="8"/>
  <c r="AD47" i="8"/>
  <c r="AC47" i="8"/>
  <c r="AB47" i="8"/>
  <c r="AA47" i="8"/>
  <c r="Z47" i="8"/>
  <c r="Y47" i="8"/>
  <c r="X47" i="8"/>
  <c r="W47" i="8"/>
  <c r="V47" i="8"/>
  <c r="U47" i="8"/>
  <c r="T47" i="8"/>
  <c r="S47" i="8"/>
  <c r="R47" i="8"/>
  <c r="Q47" i="8"/>
  <c r="P47" i="8"/>
  <c r="O47" i="8"/>
  <c r="N47" i="8"/>
  <c r="M47" i="8"/>
  <c r="L47" i="8"/>
  <c r="K47" i="8"/>
  <c r="J47" i="8"/>
  <c r="I47" i="8"/>
  <c r="H47" i="8"/>
  <c r="G47" i="8"/>
  <c r="F47" i="8"/>
  <c r="E47" i="8"/>
  <c r="D47" i="8"/>
  <c r="C47" i="8"/>
  <c r="AH46" i="8"/>
  <c r="AH45" i="8"/>
  <c r="AP43" i="8"/>
  <c r="AN43" i="8"/>
  <c r="AM43" i="8"/>
  <c r="AH43" i="8"/>
  <c r="AG43" i="8"/>
  <c r="AF43" i="8"/>
  <c r="AE43" i="8"/>
  <c r="AD43" i="8"/>
  <c r="AC43" i="8"/>
  <c r="AB43" i="8"/>
  <c r="AA43" i="8"/>
  <c r="Z43" i="8"/>
  <c r="Y43" i="8"/>
  <c r="X43" i="8"/>
  <c r="W43" i="8"/>
  <c r="V43" i="8"/>
  <c r="U43" i="8"/>
  <c r="T43" i="8"/>
  <c r="S43" i="8"/>
  <c r="R43" i="8"/>
  <c r="Q43" i="8"/>
  <c r="P43" i="8"/>
  <c r="O43" i="8"/>
  <c r="N43" i="8"/>
  <c r="M43" i="8"/>
  <c r="L43" i="8"/>
  <c r="K43" i="8"/>
  <c r="J43" i="8"/>
  <c r="I43" i="8"/>
  <c r="H43" i="8"/>
  <c r="G43" i="8"/>
  <c r="F43" i="8"/>
  <c r="E43" i="8"/>
  <c r="D43" i="8"/>
  <c r="C43" i="8"/>
  <c r="AH42" i="8"/>
  <c r="AH41" i="8"/>
  <c r="AP39" i="8"/>
  <c r="AN39" i="8"/>
  <c r="AM39" i="8"/>
  <c r="AH39" i="8"/>
  <c r="AG39" i="8"/>
  <c r="AF39" i="8"/>
  <c r="AE39" i="8"/>
  <c r="AD39" i="8"/>
  <c r="AC39" i="8"/>
  <c r="AB39" i="8"/>
  <c r="AA39" i="8"/>
  <c r="Z39" i="8"/>
  <c r="Y39" i="8"/>
  <c r="X39" i="8"/>
  <c r="W39" i="8"/>
  <c r="V39" i="8"/>
  <c r="U39" i="8"/>
  <c r="T39" i="8"/>
  <c r="S39" i="8"/>
  <c r="R39" i="8"/>
  <c r="Q39" i="8"/>
  <c r="P39" i="8"/>
  <c r="O39" i="8"/>
  <c r="N39" i="8"/>
  <c r="M39" i="8"/>
  <c r="L39" i="8"/>
  <c r="K39" i="8"/>
  <c r="J39" i="8"/>
  <c r="I39" i="8"/>
  <c r="H39" i="8"/>
  <c r="G39" i="8"/>
  <c r="F39" i="8"/>
  <c r="E39" i="8"/>
  <c r="D39" i="8"/>
  <c r="C39" i="8"/>
  <c r="AH38" i="8"/>
  <c r="AH37" i="8"/>
  <c r="AP35" i="8"/>
  <c r="AN35" i="8"/>
  <c r="AM35" i="8"/>
  <c r="AH35" i="8"/>
  <c r="AG35" i="8"/>
  <c r="AF35" i="8"/>
  <c r="AE35" i="8"/>
  <c r="AD35" i="8"/>
  <c r="AC35" i="8"/>
  <c r="AB35" i="8"/>
  <c r="AA35" i="8"/>
  <c r="Z35" i="8"/>
  <c r="Y35" i="8"/>
  <c r="X35" i="8"/>
  <c r="W35" i="8"/>
  <c r="V35" i="8"/>
  <c r="U35" i="8"/>
  <c r="T35" i="8"/>
  <c r="S35" i="8"/>
  <c r="R35" i="8"/>
  <c r="Q35" i="8"/>
  <c r="P35" i="8"/>
  <c r="O35" i="8"/>
  <c r="N35" i="8"/>
  <c r="M35" i="8"/>
  <c r="L35" i="8"/>
  <c r="K35" i="8"/>
  <c r="J35" i="8"/>
  <c r="I35" i="8"/>
  <c r="H35" i="8"/>
  <c r="G35" i="8"/>
  <c r="F35" i="8"/>
  <c r="E35" i="8"/>
  <c r="D35" i="8"/>
  <c r="C35" i="8"/>
  <c r="AH34" i="8"/>
  <c r="AH33" i="8"/>
  <c r="AP31" i="8"/>
  <c r="AN31" i="8"/>
  <c r="AM31" i="8"/>
  <c r="AH31" i="8"/>
  <c r="AG31" i="8"/>
  <c r="AF31" i="8"/>
  <c r="AE31" i="8"/>
  <c r="AD31" i="8"/>
  <c r="AC31" i="8"/>
  <c r="AB31" i="8"/>
  <c r="AA31" i="8"/>
  <c r="Z31" i="8"/>
  <c r="Y31" i="8"/>
  <c r="X31" i="8"/>
  <c r="W31" i="8"/>
  <c r="V31" i="8"/>
  <c r="U31" i="8"/>
  <c r="T31" i="8"/>
  <c r="S31" i="8"/>
  <c r="R31" i="8"/>
  <c r="Q31" i="8"/>
  <c r="P31" i="8"/>
  <c r="O31" i="8"/>
  <c r="N31" i="8"/>
  <c r="M31" i="8"/>
  <c r="L31" i="8"/>
  <c r="K31" i="8"/>
  <c r="J31" i="8"/>
  <c r="I31" i="8"/>
  <c r="H31" i="8"/>
  <c r="G31" i="8"/>
  <c r="F31" i="8"/>
  <c r="E31" i="8"/>
  <c r="D31" i="8"/>
  <c r="C31" i="8"/>
  <c r="AH30" i="8"/>
  <c r="AH29" i="8"/>
  <c r="AP27" i="8"/>
  <c r="AN27" i="8"/>
  <c r="AM27" i="8"/>
  <c r="AH27" i="8"/>
  <c r="AG27" i="8"/>
  <c r="AF27" i="8"/>
  <c r="AE27" i="8"/>
  <c r="AD27" i="8"/>
  <c r="AC27" i="8"/>
  <c r="AB27" i="8"/>
  <c r="AA27" i="8"/>
  <c r="Z27" i="8"/>
  <c r="Y27" i="8"/>
  <c r="X27" i="8"/>
  <c r="W27" i="8"/>
  <c r="V27" i="8"/>
  <c r="U27" i="8"/>
  <c r="T27" i="8"/>
  <c r="S27" i="8"/>
  <c r="R27" i="8"/>
  <c r="Q27" i="8"/>
  <c r="P27" i="8"/>
  <c r="O27" i="8"/>
  <c r="N27" i="8"/>
  <c r="M27" i="8"/>
  <c r="L27" i="8"/>
  <c r="K27" i="8"/>
  <c r="J27" i="8"/>
  <c r="I27" i="8"/>
  <c r="H27" i="8"/>
  <c r="G27" i="8"/>
  <c r="F27" i="8"/>
  <c r="E27" i="8"/>
  <c r="D27" i="8"/>
  <c r="C27" i="8"/>
  <c r="AH26" i="8"/>
  <c r="AH25" i="8"/>
  <c r="AP23" i="8"/>
  <c r="AN23" i="8"/>
  <c r="AM23" i="8"/>
  <c r="AH23" i="8"/>
  <c r="AG23" i="8"/>
  <c r="AF23" i="8"/>
  <c r="AE23" i="8"/>
  <c r="AD23" i="8"/>
  <c r="AC23" i="8"/>
  <c r="AB23" i="8"/>
  <c r="AA23" i="8"/>
  <c r="Z23" i="8"/>
  <c r="Y23" i="8"/>
  <c r="X23" i="8"/>
  <c r="W23" i="8"/>
  <c r="V23" i="8"/>
  <c r="U23" i="8"/>
  <c r="T23" i="8"/>
  <c r="S23" i="8"/>
  <c r="R23" i="8"/>
  <c r="Q23" i="8"/>
  <c r="P23" i="8"/>
  <c r="O23" i="8"/>
  <c r="N23" i="8"/>
  <c r="M23" i="8"/>
  <c r="L23" i="8"/>
  <c r="K23" i="8"/>
  <c r="J23" i="8"/>
  <c r="I23" i="8"/>
  <c r="H23" i="8"/>
  <c r="G23" i="8"/>
  <c r="F23" i="8"/>
  <c r="E23" i="8"/>
  <c r="D23" i="8"/>
  <c r="C23" i="8"/>
  <c r="AH22" i="8"/>
  <c r="AH21" i="8"/>
  <c r="AP19" i="8"/>
  <c r="AN19" i="8"/>
  <c r="AM19" i="8"/>
  <c r="AH19" i="8"/>
  <c r="AG19" i="8"/>
  <c r="AF19" i="8"/>
  <c r="AE19" i="8"/>
  <c r="AD19" i="8"/>
  <c r="AC19" i="8"/>
  <c r="AB19" i="8"/>
  <c r="AA19" i="8"/>
  <c r="Z19" i="8"/>
  <c r="Y19" i="8"/>
  <c r="X19" i="8"/>
  <c r="W19" i="8"/>
  <c r="V19" i="8"/>
  <c r="U19" i="8"/>
  <c r="T19" i="8"/>
  <c r="S19" i="8"/>
  <c r="R19" i="8"/>
  <c r="Q19" i="8"/>
  <c r="P19" i="8"/>
  <c r="O19" i="8"/>
  <c r="N19" i="8"/>
  <c r="M19" i="8"/>
  <c r="L19" i="8"/>
  <c r="K19" i="8"/>
  <c r="J19" i="8"/>
  <c r="I19" i="8"/>
  <c r="H19" i="8"/>
  <c r="G19" i="8"/>
  <c r="F19" i="8"/>
  <c r="E19" i="8"/>
  <c r="D19" i="8"/>
  <c r="C19" i="8"/>
  <c r="AH18" i="8"/>
  <c r="AH17" i="8"/>
  <c r="AP15" i="8"/>
  <c r="AN15" i="8"/>
  <c r="AO15" i="8" s="1"/>
  <c r="AM15" i="8"/>
  <c r="AH15" i="8"/>
  <c r="AG15" i="8"/>
  <c r="AF15" i="8"/>
  <c r="AE15" i="8"/>
  <c r="AD15" i="8"/>
  <c r="AC15" i="8"/>
  <c r="AB15" i="8"/>
  <c r="AA15" i="8"/>
  <c r="Z15" i="8"/>
  <c r="Y15" i="8"/>
  <c r="X15" i="8"/>
  <c r="W15" i="8"/>
  <c r="V15" i="8"/>
  <c r="U15" i="8"/>
  <c r="T15" i="8"/>
  <c r="S15" i="8"/>
  <c r="R15" i="8"/>
  <c r="Q15" i="8"/>
  <c r="P15" i="8"/>
  <c r="O15" i="8"/>
  <c r="N15" i="8"/>
  <c r="M15" i="8"/>
  <c r="L15" i="8"/>
  <c r="K15" i="8"/>
  <c r="J15" i="8"/>
  <c r="I15" i="8"/>
  <c r="H15" i="8"/>
  <c r="G15" i="8"/>
  <c r="F15" i="8"/>
  <c r="E15" i="8"/>
  <c r="D15" i="8"/>
  <c r="C15" i="8"/>
  <c r="AH14" i="8"/>
  <c r="AH13" i="8"/>
  <c r="AP11" i="8"/>
  <c r="AN11" i="8"/>
  <c r="AM11" i="8"/>
  <c r="AH11" i="8"/>
  <c r="AG11" i="8"/>
  <c r="AF11" i="8"/>
  <c r="AE11" i="8"/>
  <c r="AD11" i="8"/>
  <c r="AC11" i="8"/>
  <c r="AB11" i="8"/>
  <c r="AA11" i="8"/>
  <c r="Z11" i="8"/>
  <c r="Y11" i="8"/>
  <c r="X11" i="8"/>
  <c r="W11" i="8"/>
  <c r="V11" i="8"/>
  <c r="U11" i="8"/>
  <c r="T11" i="8"/>
  <c r="S11" i="8"/>
  <c r="R11" i="8"/>
  <c r="Q11" i="8"/>
  <c r="P11" i="8"/>
  <c r="O11" i="8"/>
  <c r="N11" i="8"/>
  <c r="M11" i="8"/>
  <c r="L11" i="8"/>
  <c r="K11" i="8"/>
  <c r="J11" i="8"/>
  <c r="I11" i="8"/>
  <c r="H11" i="8"/>
  <c r="G11" i="8"/>
  <c r="F11" i="8"/>
  <c r="E11" i="8"/>
  <c r="D11" i="8"/>
  <c r="C11" i="8"/>
  <c r="AH10" i="8"/>
  <c r="AH9" i="8"/>
  <c r="AP7" i="8"/>
  <c r="AN7" i="8"/>
  <c r="AM7" i="8"/>
  <c r="AH7" i="8"/>
  <c r="AG7" i="8"/>
  <c r="AF7" i="8"/>
  <c r="AE7" i="8"/>
  <c r="AD7" i="8"/>
  <c r="AC7" i="8"/>
  <c r="AB7" i="8"/>
  <c r="AA7" i="8"/>
  <c r="Z7" i="8"/>
  <c r="Y7" i="8"/>
  <c r="X7" i="8"/>
  <c r="W7" i="8"/>
  <c r="V7" i="8"/>
  <c r="U7" i="8"/>
  <c r="T7" i="8"/>
  <c r="S7" i="8"/>
  <c r="R7" i="8"/>
  <c r="Q7" i="8"/>
  <c r="P7" i="8"/>
  <c r="O7" i="8"/>
  <c r="N7" i="8"/>
  <c r="M7" i="8"/>
  <c r="L7" i="8"/>
  <c r="K7" i="8"/>
  <c r="J7" i="8"/>
  <c r="I7" i="8"/>
  <c r="H7" i="8"/>
  <c r="G7" i="8"/>
  <c r="F7" i="8"/>
  <c r="E7" i="8"/>
  <c r="D7" i="8"/>
  <c r="C7" i="8"/>
  <c r="AH6" i="8"/>
  <c r="AH5" i="8"/>
  <c r="AG3" i="8"/>
  <c r="AF3" i="8"/>
  <c r="AE3" i="8"/>
  <c r="AD3" i="8"/>
  <c r="AC3" i="8"/>
  <c r="AB3" i="8"/>
  <c r="AA3" i="8"/>
  <c r="Z3" i="8"/>
  <c r="Y3" i="8"/>
  <c r="X3" i="8"/>
  <c r="W3" i="8"/>
  <c r="V3" i="8"/>
  <c r="U3" i="8"/>
  <c r="T3" i="8"/>
  <c r="S3" i="8"/>
  <c r="R3" i="8"/>
  <c r="Q3" i="8"/>
  <c r="P3" i="8"/>
  <c r="O3" i="8"/>
  <c r="N3" i="8"/>
  <c r="M3" i="8"/>
  <c r="L3" i="8"/>
  <c r="K3" i="8"/>
  <c r="J3" i="8"/>
  <c r="I3" i="8"/>
  <c r="H3" i="8"/>
  <c r="G3" i="8"/>
  <c r="F3" i="8"/>
  <c r="E3" i="8"/>
  <c r="D3" i="8"/>
  <c r="C3" i="8"/>
  <c r="AN123" i="7"/>
  <c r="AO123" i="7" s="1"/>
  <c r="AG123" i="7"/>
  <c r="AF123" i="7"/>
  <c r="AE123" i="7"/>
  <c r="AD123" i="7"/>
  <c r="AC123" i="7"/>
  <c r="AB123" i="7"/>
  <c r="AA123" i="7"/>
  <c r="Z123" i="7"/>
  <c r="Y123" i="7"/>
  <c r="X123" i="7"/>
  <c r="W123" i="7"/>
  <c r="V123" i="7"/>
  <c r="U123" i="7"/>
  <c r="T123" i="7"/>
  <c r="S123" i="7"/>
  <c r="R123" i="7"/>
  <c r="Q123" i="7"/>
  <c r="P123" i="7"/>
  <c r="O123" i="7"/>
  <c r="N123" i="7"/>
  <c r="M123" i="7"/>
  <c r="L123" i="7"/>
  <c r="K123" i="7"/>
  <c r="J123" i="7"/>
  <c r="I123" i="7"/>
  <c r="H123" i="7"/>
  <c r="G123" i="7"/>
  <c r="F123" i="7"/>
  <c r="E123" i="7"/>
  <c r="D123" i="7"/>
  <c r="C123" i="7"/>
  <c r="AH122" i="7"/>
  <c r="AH121" i="7"/>
  <c r="AH123" i="7" s="1"/>
  <c r="AN119" i="7"/>
  <c r="AO119" i="7" s="1"/>
  <c r="AG119" i="7"/>
  <c r="AF119" i="7"/>
  <c r="AE119" i="7"/>
  <c r="AD119" i="7"/>
  <c r="AC119" i="7"/>
  <c r="AB119" i="7"/>
  <c r="AA119" i="7"/>
  <c r="Z119" i="7"/>
  <c r="Y119" i="7"/>
  <c r="X119" i="7"/>
  <c r="W119" i="7"/>
  <c r="V119" i="7"/>
  <c r="U119" i="7"/>
  <c r="T119" i="7"/>
  <c r="S119" i="7"/>
  <c r="R119" i="7"/>
  <c r="Q119" i="7"/>
  <c r="P119" i="7"/>
  <c r="O119" i="7"/>
  <c r="N119" i="7"/>
  <c r="M119" i="7"/>
  <c r="L119" i="7"/>
  <c r="K119" i="7"/>
  <c r="J119" i="7"/>
  <c r="I119" i="7"/>
  <c r="H119" i="7"/>
  <c r="G119" i="7"/>
  <c r="F119" i="7"/>
  <c r="E119" i="7"/>
  <c r="D119" i="7"/>
  <c r="C119" i="7"/>
  <c r="AH118" i="7"/>
  <c r="AH117" i="7"/>
  <c r="AH119" i="7" s="1"/>
  <c r="AN115" i="7"/>
  <c r="AG115" i="7"/>
  <c r="AF115" i="7"/>
  <c r="AE115" i="7"/>
  <c r="AD115" i="7"/>
  <c r="AC115" i="7"/>
  <c r="AB115" i="7"/>
  <c r="AA115" i="7"/>
  <c r="Z115" i="7"/>
  <c r="Y115" i="7"/>
  <c r="X115" i="7"/>
  <c r="W115" i="7"/>
  <c r="V115" i="7"/>
  <c r="U115" i="7"/>
  <c r="T115" i="7"/>
  <c r="S115" i="7"/>
  <c r="R115" i="7"/>
  <c r="Q115" i="7"/>
  <c r="P115" i="7"/>
  <c r="O115" i="7"/>
  <c r="N115" i="7"/>
  <c r="M115" i="7"/>
  <c r="L115" i="7"/>
  <c r="K115" i="7"/>
  <c r="J115" i="7"/>
  <c r="I115" i="7"/>
  <c r="H115" i="7"/>
  <c r="G115" i="7"/>
  <c r="F115" i="7"/>
  <c r="E115" i="7"/>
  <c r="D115" i="7"/>
  <c r="C115" i="7"/>
  <c r="AH114" i="7"/>
  <c r="AH113" i="7"/>
  <c r="AH115" i="7" s="1"/>
  <c r="AN111" i="7"/>
  <c r="AG111" i="7"/>
  <c r="AF111" i="7"/>
  <c r="AE111" i="7"/>
  <c r="AD111" i="7"/>
  <c r="AC111" i="7"/>
  <c r="AB111" i="7"/>
  <c r="AA111" i="7"/>
  <c r="Z111" i="7"/>
  <c r="Y111" i="7"/>
  <c r="X111" i="7"/>
  <c r="W111" i="7"/>
  <c r="V111" i="7"/>
  <c r="U111" i="7"/>
  <c r="T111" i="7"/>
  <c r="S111" i="7"/>
  <c r="R111" i="7"/>
  <c r="Q111" i="7"/>
  <c r="P111" i="7"/>
  <c r="O111" i="7"/>
  <c r="N111" i="7"/>
  <c r="M111" i="7"/>
  <c r="L111" i="7"/>
  <c r="K111" i="7"/>
  <c r="J111" i="7"/>
  <c r="I111" i="7"/>
  <c r="H111" i="7"/>
  <c r="G111" i="7"/>
  <c r="F111" i="7"/>
  <c r="E111" i="7"/>
  <c r="D111" i="7"/>
  <c r="C111" i="7"/>
  <c r="AH110" i="7"/>
  <c r="AH109" i="7"/>
  <c r="AH111" i="7" s="1"/>
  <c r="AN107" i="7"/>
  <c r="AG107" i="7"/>
  <c r="AF107" i="7"/>
  <c r="AE107" i="7"/>
  <c r="AD107" i="7"/>
  <c r="AC107" i="7"/>
  <c r="AB107" i="7"/>
  <c r="AA107" i="7"/>
  <c r="Z107" i="7"/>
  <c r="Y107" i="7"/>
  <c r="X107" i="7"/>
  <c r="W107" i="7"/>
  <c r="V107" i="7"/>
  <c r="U107" i="7"/>
  <c r="T107" i="7"/>
  <c r="S107" i="7"/>
  <c r="R107" i="7"/>
  <c r="Q107" i="7"/>
  <c r="P107" i="7"/>
  <c r="O107" i="7"/>
  <c r="N107" i="7"/>
  <c r="M107" i="7"/>
  <c r="L107" i="7"/>
  <c r="K107" i="7"/>
  <c r="J107" i="7"/>
  <c r="I107" i="7"/>
  <c r="H107" i="7"/>
  <c r="G107" i="7"/>
  <c r="F107" i="7"/>
  <c r="E107" i="7"/>
  <c r="D107" i="7"/>
  <c r="C107" i="7"/>
  <c r="AH106" i="7"/>
  <c r="AH105" i="7"/>
  <c r="AH107" i="7" s="1"/>
  <c r="AN103" i="7"/>
  <c r="AM103" i="7"/>
  <c r="AH103" i="7"/>
  <c r="AG103" i="7"/>
  <c r="AF103" i="7"/>
  <c r="AE103" i="7"/>
  <c r="AD103" i="7"/>
  <c r="AC103" i="7"/>
  <c r="AB103" i="7"/>
  <c r="AA103" i="7"/>
  <c r="Z103" i="7"/>
  <c r="Y103" i="7"/>
  <c r="X103" i="7"/>
  <c r="W103" i="7"/>
  <c r="V103" i="7"/>
  <c r="U103" i="7"/>
  <c r="T103" i="7"/>
  <c r="S103" i="7"/>
  <c r="R103" i="7"/>
  <c r="Q103" i="7"/>
  <c r="P103" i="7"/>
  <c r="O103" i="7"/>
  <c r="N103" i="7"/>
  <c r="M103" i="7"/>
  <c r="L103" i="7"/>
  <c r="K103" i="7"/>
  <c r="J103" i="7"/>
  <c r="I103" i="7"/>
  <c r="H103" i="7"/>
  <c r="G103" i="7"/>
  <c r="F103" i="7"/>
  <c r="E103" i="7"/>
  <c r="D103" i="7"/>
  <c r="C103" i="7"/>
  <c r="AH102" i="7"/>
  <c r="AH101" i="7"/>
  <c r="AN99" i="7"/>
  <c r="AM99" i="7"/>
  <c r="AG99" i="7"/>
  <c r="AF99" i="7"/>
  <c r="AE99" i="7"/>
  <c r="AD99" i="7"/>
  <c r="AC99" i="7"/>
  <c r="AB99" i="7"/>
  <c r="AA99" i="7"/>
  <c r="Z99" i="7"/>
  <c r="Y99" i="7"/>
  <c r="X99" i="7"/>
  <c r="W99" i="7"/>
  <c r="V99" i="7"/>
  <c r="U99" i="7"/>
  <c r="T99" i="7"/>
  <c r="S99" i="7"/>
  <c r="R99" i="7"/>
  <c r="Q99" i="7"/>
  <c r="P99" i="7"/>
  <c r="O99" i="7"/>
  <c r="N99" i="7"/>
  <c r="M99" i="7"/>
  <c r="L99" i="7"/>
  <c r="K99" i="7"/>
  <c r="J99" i="7"/>
  <c r="I99" i="7"/>
  <c r="H99" i="7"/>
  <c r="G99" i="7"/>
  <c r="F99" i="7"/>
  <c r="E99" i="7"/>
  <c r="D99" i="7"/>
  <c r="C99" i="7"/>
  <c r="AH98" i="7"/>
  <c r="AH97" i="7"/>
  <c r="AH99" i="7" s="1"/>
  <c r="AN95" i="7"/>
  <c r="AM95" i="7"/>
  <c r="AG95" i="7"/>
  <c r="AF95" i="7"/>
  <c r="AE95" i="7"/>
  <c r="AD95" i="7"/>
  <c r="AC95" i="7"/>
  <c r="AB95" i="7"/>
  <c r="AA95" i="7"/>
  <c r="Z95" i="7"/>
  <c r="Y95" i="7"/>
  <c r="X95" i="7"/>
  <c r="W95" i="7"/>
  <c r="V95" i="7"/>
  <c r="U95" i="7"/>
  <c r="T95" i="7"/>
  <c r="S95" i="7"/>
  <c r="R95" i="7"/>
  <c r="Q95" i="7"/>
  <c r="P95" i="7"/>
  <c r="O95" i="7"/>
  <c r="N95" i="7"/>
  <c r="M95" i="7"/>
  <c r="L95" i="7"/>
  <c r="K95" i="7"/>
  <c r="J95" i="7"/>
  <c r="I95" i="7"/>
  <c r="H95" i="7"/>
  <c r="G95" i="7"/>
  <c r="F95" i="7"/>
  <c r="E95" i="7"/>
  <c r="D95" i="7"/>
  <c r="C95" i="7"/>
  <c r="AH94" i="7"/>
  <c r="AH95" i="7" s="1"/>
  <c r="AH93" i="7"/>
  <c r="AN91" i="7"/>
  <c r="AM91" i="7"/>
  <c r="AG91" i="7"/>
  <c r="AF91" i="7"/>
  <c r="AE91" i="7"/>
  <c r="AD91" i="7"/>
  <c r="AC91" i="7"/>
  <c r="AB91" i="7"/>
  <c r="AA91" i="7"/>
  <c r="Z91" i="7"/>
  <c r="Y91" i="7"/>
  <c r="X91" i="7"/>
  <c r="W91" i="7"/>
  <c r="V91" i="7"/>
  <c r="U91" i="7"/>
  <c r="T91" i="7"/>
  <c r="S91" i="7"/>
  <c r="R91" i="7"/>
  <c r="Q91" i="7"/>
  <c r="P91" i="7"/>
  <c r="O91" i="7"/>
  <c r="N91" i="7"/>
  <c r="M91" i="7"/>
  <c r="L91" i="7"/>
  <c r="K91" i="7"/>
  <c r="J91" i="7"/>
  <c r="I91" i="7"/>
  <c r="H91" i="7"/>
  <c r="G91" i="7"/>
  <c r="F91" i="7"/>
  <c r="E91" i="7"/>
  <c r="D91" i="7"/>
  <c r="C91" i="7"/>
  <c r="AH90" i="7"/>
  <c r="AH89" i="7"/>
  <c r="AH91" i="7" s="1"/>
  <c r="AN87" i="7"/>
  <c r="AM87" i="7"/>
  <c r="AH87" i="7"/>
  <c r="AG87" i="7"/>
  <c r="AF87" i="7"/>
  <c r="AE87" i="7"/>
  <c r="AD87" i="7"/>
  <c r="AC87" i="7"/>
  <c r="AB87" i="7"/>
  <c r="AA87" i="7"/>
  <c r="Z87" i="7"/>
  <c r="Y87" i="7"/>
  <c r="X87" i="7"/>
  <c r="W87" i="7"/>
  <c r="V87" i="7"/>
  <c r="U87" i="7"/>
  <c r="T87" i="7"/>
  <c r="S87" i="7"/>
  <c r="R87" i="7"/>
  <c r="Q87" i="7"/>
  <c r="P87" i="7"/>
  <c r="O87" i="7"/>
  <c r="N87" i="7"/>
  <c r="M87" i="7"/>
  <c r="L87" i="7"/>
  <c r="K87" i="7"/>
  <c r="J87" i="7"/>
  <c r="I87" i="7"/>
  <c r="H87" i="7"/>
  <c r="G87" i="7"/>
  <c r="F87" i="7"/>
  <c r="E87" i="7"/>
  <c r="D87" i="7"/>
  <c r="C87" i="7"/>
  <c r="AH86" i="7"/>
  <c r="AH85" i="7"/>
  <c r="AN83" i="7"/>
  <c r="AM83" i="7"/>
  <c r="AG83" i="7"/>
  <c r="AF83" i="7"/>
  <c r="AE83" i="7"/>
  <c r="AD83" i="7"/>
  <c r="AC83" i="7"/>
  <c r="AB83" i="7"/>
  <c r="AA83" i="7"/>
  <c r="Z83" i="7"/>
  <c r="Y83" i="7"/>
  <c r="X83" i="7"/>
  <c r="W83" i="7"/>
  <c r="V83" i="7"/>
  <c r="U83" i="7"/>
  <c r="T83" i="7"/>
  <c r="S83" i="7"/>
  <c r="R83" i="7"/>
  <c r="Q83" i="7"/>
  <c r="P83" i="7"/>
  <c r="O83" i="7"/>
  <c r="N83" i="7"/>
  <c r="M83" i="7"/>
  <c r="L83" i="7"/>
  <c r="K83" i="7"/>
  <c r="J83" i="7"/>
  <c r="I83" i="7"/>
  <c r="H83" i="7"/>
  <c r="G83" i="7"/>
  <c r="F83" i="7"/>
  <c r="E83" i="7"/>
  <c r="D83" i="7"/>
  <c r="C83" i="7"/>
  <c r="AH82" i="7"/>
  <c r="AH81" i="7"/>
  <c r="AH83" i="7" s="1"/>
  <c r="AN79" i="7"/>
  <c r="AM79" i="7"/>
  <c r="AG79" i="7"/>
  <c r="AF79" i="7"/>
  <c r="AE79" i="7"/>
  <c r="AD79" i="7"/>
  <c r="AC79" i="7"/>
  <c r="AB79" i="7"/>
  <c r="AA79" i="7"/>
  <c r="Z79" i="7"/>
  <c r="Y79" i="7"/>
  <c r="X79" i="7"/>
  <c r="W79" i="7"/>
  <c r="V79" i="7"/>
  <c r="U79" i="7"/>
  <c r="T79" i="7"/>
  <c r="S79" i="7"/>
  <c r="R79" i="7"/>
  <c r="Q79" i="7"/>
  <c r="P79" i="7"/>
  <c r="O79" i="7"/>
  <c r="N79" i="7"/>
  <c r="M79" i="7"/>
  <c r="L79" i="7"/>
  <c r="K79" i="7"/>
  <c r="J79" i="7"/>
  <c r="I79" i="7"/>
  <c r="H79" i="7"/>
  <c r="G79" i="7"/>
  <c r="F79" i="7"/>
  <c r="E79" i="7"/>
  <c r="D79" i="7"/>
  <c r="C79" i="7"/>
  <c r="AH78" i="7"/>
  <c r="AH79" i="7" s="1"/>
  <c r="AH77" i="7"/>
  <c r="AN75" i="7"/>
  <c r="AM75" i="7"/>
  <c r="AG75" i="7"/>
  <c r="AF75" i="7"/>
  <c r="AE75" i="7"/>
  <c r="AD75" i="7"/>
  <c r="AC75" i="7"/>
  <c r="AB75" i="7"/>
  <c r="AA75" i="7"/>
  <c r="Z75" i="7"/>
  <c r="Y75" i="7"/>
  <c r="X75" i="7"/>
  <c r="W75" i="7"/>
  <c r="V75" i="7"/>
  <c r="U75" i="7"/>
  <c r="T75" i="7"/>
  <c r="S75" i="7"/>
  <c r="R75" i="7"/>
  <c r="Q75" i="7"/>
  <c r="P75" i="7"/>
  <c r="O75" i="7"/>
  <c r="N75" i="7"/>
  <c r="M75" i="7"/>
  <c r="L75" i="7"/>
  <c r="K75" i="7"/>
  <c r="J75" i="7"/>
  <c r="I75" i="7"/>
  <c r="H75" i="7"/>
  <c r="G75" i="7"/>
  <c r="F75" i="7"/>
  <c r="E75" i="7"/>
  <c r="D75" i="7"/>
  <c r="C75" i="7"/>
  <c r="AH74" i="7"/>
  <c r="AH73" i="7"/>
  <c r="AH75" i="7" s="1"/>
  <c r="AN71" i="7"/>
  <c r="AM71" i="7"/>
  <c r="AH71" i="7"/>
  <c r="AG71" i="7"/>
  <c r="AF71" i="7"/>
  <c r="AE71" i="7"/>
  <c r="AD71" i="7"/>
  <c r="AC71" i="7"/>
  <c r="AB71" i="7"/>
  <c r="AA71" i="7"/>
  <c r="Z71" i="7"/>
  <c r="Y71" i="7"/>
  <c r="X71" i="7"/>
  <c r="W71" i="7"/>
  <c r="V71" i="7"/>
  <c r="U71" i="7"/>
  <c r="T71" i="7"/>
  <c r="S71" i="7"/>
  <c r="R71" i="7"/>
  <c r="Q71" i="7"/>
  <c r="P71" i="7"/>
  <c r="O71" i="7"/>
  <c r="N71" i="7"/>
  <c r="M71" i="7"/>
  <c r="L71" i="7"/>
  <c r="K71" i="7"/>
  <c r="J71" i="7"/>
  <c r="I71" i="7"/>
  <c r="H71" i="7"/>
  <c r="G71" i="7"/>
  <c r="F71" i="7"/>
  <c r="E71" i="7"/>
  <c r="D71" i="7"/>
  <c r="C71" i="7"/>
  <c r="AH70" i="7"/>
  <c r="AH69" i="7"/>
  <c r="AN67" i="7"/>
  <c r="AM67" i="7"/>
  <c r="AG67" i="7"/>
  <c r="AF67" i="7"/>
  <c r="AE67" i="7"/>
  <c r="AD67" i="7"/>
  <c r="AC67" i="7"/>
  <c r="AB67" i="7"/>
  <c r="AA67" i="7"/>
  <c r="Z67" i="7"/>
  <c r="Y67" i="7"/>
  <c r="X67" i="7"/>
  <c r="W67" i="7"/>
  <c r="V67" i="7"/>
  <c r="U67" i="7"/>
  <c r="T67" i="7"/>
  <c r="S67" i="7"/>
  <c r="R67" i="7"/>
  <c r="Q67" i="7"/>
  <c r="P67" i="7"/>
  <c r="O67" i="7"/>
  <c r="N67" i="7"/>
  <c r="M67" i="7"/>
  <c r="L67" i="7"/>
  <c r="K67" i="7"/>
  <c r="J67" i="7"/>
  <c r="I67" i="7"/>
  <c r="H67" i="7"/>
  <c r="G67" i="7"/>
  <c r="F67" i="7"/>
  <c r="E67" i="7"/>
  <c r="D67" i="7"/>
  <c r="C67" i="7"/>
  <c r="AH66" i="7"/>
  <c r="AH65" i="7"/>
  <c r="AH67" i="7" s="1"/>
  <c r="AN63" i="7"/>
  <c r="AM63" i="7"/>
  <c r="AG63" i="7"/>
  <c r="AF63" i="7"/>
  <c r="AE63" i="7"/>
  <c r="AD63" i="7"/>
  <c r="AC63" i="7"/>
  <c r="AB63" i="7"/>
  <c r="AA63" i="7"/>
  <c r="Z63" i="7"/>
  <c r="Y63" i="7"/>
  <c r="X63" i="7"/>
  <c r="W63" i="7"/>
  <c r="V63" i="7"/>
  <c r="U63" i="7"/>
  <c r="T63" i="7"/>
  <c r="S63" i="7"/>
  <c r="R63" i="7"/>
  <c r="Q63" i="7"/>
  <c r="P63" i="7"/>
  <c r="O63" i="7"/>
  <c r="N63" i="7"/>
  <c r="M63" i="7"/>
  <c r="L63" i="7"/>
  <c r="K63" i="7"/>
  <c r="J63" i="7"/>
  <c r="I63" i="7"/>
  <c r="H63" i="7"/>
  <c r="G63" i="7"/>
  <c r="F63" i="7"/>
  <c r="E63" i="7"/>
  <c r="D63" i="7"/>
  <c r="C63" i="7"/>
  <c r="AH62" i="7"/>
  <c r="AH63" i="7" s="1"/>
  <c r="AH61" i="7"/>
  <c r="AN59" i="7"/>
  <c r="AH59" i="7"/>
  <c r="AG59" i="7"/>
  <c r="AF59" i="7"/>
  <c r="AE59" i="7"/>
  <c r="AD59" i="7"/>
  <c r="AC59" i="7"/>
  <c r="AB59" i="7"/>
  <c r="AA59" i="7"/>
  <c r="Z59" i="7"/>
  <c r="Y59" i="7"/>
  <c r="X59" i="7"/>
  <c r="W59" i="7"/>
  <c r="V59" i="7"/>
  <c r="U59" i="7"/>
  <c r="T59" i="7"/>
  <c r="S59" i="7"/>
  <c r="R59" i="7"/>
  <c r="Q59" i="7"/>
  <c r="P59" i="7"/>
  <c r="O59" i="7"/>
  <c r="N59" i="7"/>
  <c r="M59" i="7"/>
  <c r="L59" i="7"/>
  <c r="K59" i="7"/>
  <c r="J59" i="7"/>
  <c r="I59" i="7"/>
  <c r="H59" i="7"/>
  <c r="G59" i="7"/>
  <c r="F59" i="7"/>
  <c r="E59" i="7"/>
  <c r="D59" i="7"/>
  <c r="C59" i="7"/>
  <c r="AH58" i="7"/>
  <c r="AH57" i="7"/>
  <c r="AN55" i="7"/>
  <c r="AM55" i="7"/>
  <c r="AG55" i="7"/>
  <c r="AF55" i="7"/>
  <c r="AE55" i="7"/>
  <c r="AD55" i="7"/>
  <c r="AC55" i="7"/>
  <c r="AB55" i="7"/>
  <c r="AA55" i="7"/>
  <c r="Z55" i="7"/>
  <c r="Y55" i="7"/>
  <c r="X55" i="7"/>
  <c r="W55" i="7"/>
  <c r="V55" i="7"/>
  <c r="U55" i="7"/>
  <c r="T55" i="7"/>
  <c r="S55" i="7"/>
  <c r="R55" i="7"/>
  <c r="Q55" i="7"/>
  <c r="P55" i="7"/>
  <c r="O55" i="7"/>
  <c r="N55" i="7"/>
  <c r="M55" i="7"/>
  <c r="L55" i="7"/>
  <c r="K55" i="7"/>
  <c r="J55" i="7"/>
  <c r="I55" i="7"/>
  <c r="H55" i="7"/>
  <c r="G55" i="7"/>
  <c r="F55" i="7"/>
  <c r="E55" i="7"/>
  <c r="D55" i="7"/>
  <c r="C55" i="7"/>
  <c r="AH54" i="7"/>
  <c r="AH53" i="7"/>
  <c r="AH55" i="7" s="1"/>
  <c r="AN51" i="7"/>
  <c r="AM51" i="7"/>
  <c r="AG51" i="7"/>
  <c r="AF51" i="7"/>
  <c r="AE51" i="7"/>
  <c r="AD51" i="7"/>
  <c r="AC51" i="7"/>
  <c r="AB51" i="7"/>
  <c r="AA51" i="7"/>
  <c r="Z51" i="7"/>
  <c r="Y51" i="7"/>
  <c r="X51" i="7"/>
  <c r="W51" i="7"/>
  <c r="V51" i="7"/>
  <c r="U51" i="7"/>
  <c r="T51" i="7"/>
  <c r="S51" i="7"/>
  <c r="R51" i="7"/>
  <c r="Q51" i="7"/>
  <c r="P51" i="7"/>
  <c r="O51" i="7"/>
  <c r="N51" i="7"/>
  <c r="M51" i="7"/>
  <c r="L51" i="7"/>
  <c r="K51" i="7"/>
  <c r="J51" i="7"/>
  <c r="I51" i="7"/>
  <c r="H51" i="7"/>
  <c r="G51" i="7"/>
  <c r="F51" i="7"/>
  <c r="E51" i="7"/>
  <c r="D51" i="7"/>
  <c r="C51" i="7"/>
  <c r="AH50" i="7"/>
  <c r="AH51" i="7" s="1"/>
  <c r="AH49" i="7"/>
  <c r="AN47" i="7"/>
  <c r="AM47" i="7"/>
  <c r="AG47" i="7"/>
  <c r="AF47" i="7"/>
  <c r="AE47" i="7"/>
  <c r="AD47" i="7"/>
  <c r="AC47" i="7"/>
  <c r="AB47" i="7"/>
  <c r="AA47" i="7"/>
  <c r="Z47" i="7"/>
  <c r="Y47" i="7"/>
  <c r="X47" i="7"/>
  <c r="W47" i="7"/>
  <c r="V47" i="7"/>
  <c r="U47" i="7"/>
  <c r="T47" i="7"/>
  <c r="S47" i="7"/>
  <c r="R47" i="7"/>
  <c r="Q47" i="7"/>
  <c r="P47" i="7"/>
  <c r="O47" i="7"/>
  <c r="N47" i="7"/>
  <c r="M47" i="7"/>
  <c r="L47" i="7"/>
  <c r="K47" i="7"/>
  <c r="J47" i="7"/>
  <c r="I47" i="7"/>
  <c r="H47" i="7"/>
  <c r="G47" i="7"/>
  <c r="F47" i="7"/>
  <c r="E47" i="7"/>
  <c r="D47" i="7"/>
  <c r="C47" i="7"/>
  <c r="AH46" i="7"/>
  <c r="AH45" i="7"/>
  <c r="AH47" i="7" s="1"/>
  <c r="AN43" i="7"/>
  <c r="AM43" i="7"/>
  <c r="AH43" i="7"/>
  <c r="AG43" i="7"/>
  <c r="AF43" i="7"/>
  <c r="AE43" i="7"/>
  <c r="AD43" i="7"/>
  <c r="AC43" i="7"/>
  <c r="AB43" i="7"/>
  <c r="AA43" i="7"/>
  <c r="Z43" i="7"/>
  <c r="Y43" i="7"/>
  <c r="X43" i="7"/>
  <c r="W43" i="7"/>
  <c r="V43" i="7"/>
  <c r="U43" i="7"/>
  <c r="T43" i="7"/>
  <c r="S43" i="7"/>
  <c r="R43" i="7"/>
  <c r="Q43" i="7"/>
  <c r="P43" i="7"/>
  <c r="O43" i="7"/>
  <c r="N43" i="7"/>
  <c r="M43" i="7"/>
  <c r="L43" i="7"/>
  <c r="K43" i="7"/>
  <c r="J43" i="7"/>
  <c r="I43" i="7"/>
  <c r="H43" i="7"/>
  <c r="G43" i="7"/>
  <c r="F43" i="7"/>
  <c r="E43" i="7"/>
  <c r="D43" i="7"/>
  <c r="C43" i="7"/>
  <c r="AH42" i="7"/>
  <c r="AH41" i="7"/>
  <c r="AN39" i="7"/>
  <c r="AM39" i="7"/>
  <c r="AG39" i="7"/>
  <c r="AF39" i="7"/>
  <c r="AE39" i="7"/>
  <c r="AD39" i="7"/>
  <c r="AC39" i="7"/>
  <c r="AB39" i="7"/>
  <c r="AA39" i="7"/>
  <c r="Z39" i="7"/>
  <c r="Y39" i="7"/>
  <c r="X39" i="7"/>
  <c r="W39" i="7"/>
  <c r="V39" i="7"/>
  <c r="U39" i="7"/>
  <c r="T39" i="7"/>
  <c r="S39" i="7"/>
  <c r="R39" i="7"/>
  <c r="Q39" i="7"/>
  <c r="P39" i="7"/>
  <c r="O39" i="7"/>
  <c r="N39" i="7"/>
  <c r="M39" i="7"/>
  <c r="L39" i="7"/>
  <c r="K39" i="7"/>
  <c r="J39" i="7"/>
  <c r="I39" i="7"/>
  <c r="H39" i="7"/>
  <c r="G39" i="7"/>
  <c r="F39" i="7"/>
  <c r="E39" i="7"/>
  <c r="D39" i="7"/>
  <c r="C39" i="7"/>
  <c r="AH38" i="7"/>
  <c r="AH37" i="7"/>
  <c r="AH39" i="7" s="1"/>
  <c r="AN35" i="7"/>
  <c r="AM35" i="7"/>
  <c r="AG35" i="7"/>
  <c r="AF35" i="7"/>
  <c r="AE35" i="7"/>
  <c r="AD35" i="7"/>
  <c r="AC35" i="7"/>
  <c r="AB35" i="7"/>
  <c r="AA35" i="7"/>
  <c r="Z35" i="7"/>
  <c r="Y35" i="7"/>
  <c r="X35" i="7"/>
  <c r="W35" i="7"/>
  <c r="V35" i="7"/>
  <c r="U35" i="7"/>
  <c r="T35" i="7"/>
  <c r="S35" i="7"/>
  <c r="R35" i="7"/>
  <c r="Q35" i="7"/>
  <c r="P35" i="7"/>
  <c r="O35" i="7"/>
  <c r="N35" i="7"/>
  <c r="M35" i="7"/>
  <c r="L35" i="7"/>
  <c r="K35" i="7"/>
  <c r="J35" i="7"/>
  <c r="I35" i="7"/>
  <c r="H35" i="7"/>
  <c r="G35" i="7"/>
  <c r="F35" i="7"/>
  <c r="E35" i="7"/>
  <c r="D35" i="7"/>
  <c r="C35" i="7"/>
  <c r="AH34" i="7"/>
  <c r="AH35" i="7" s="1"/>
  <c r="AH33" i="7"/>
  <c r="AN31" i="7"/>
  <c r="AM31" i="7"/>
  <c r="AG31" i="7"/>
  <c r="AF31" i="7"/>
  <c r="AE31" i="7"/>
  <c r="AD31" i="7"/>
  <c r="AC31" i="7"/>
  <c r="AB31" i="7"/>
  <c r="AA31" i="7"/>
  <c r="Z31" i="7"/>
  <c r="Y31" i="7"/>
  <c r="X31" i="7"/>
  <c r="W31" i="7"/>
  <c r="V31" i="7"/>
  <c r="U31" i="7"/>
  <c r="T31" i="7"/>
  <c r="S31" i="7"/>
  <c r="R31" i="7"/>
  <c r="Q31" i="7"/>
  <c r="P31" i="7"/>
  <c r="O31" i="7"/>
  <c r="N31" i="7"/>
  <c r="M31" i="7"/>
  <c r="L31" i="7"/>
  <c r="K31" i="7"/>
  <c r="J31" i="7"/>
  <c r="I31" i="7"/>
  <c r="H31" i="7"/>
  <c r="G31" i="7"/>
  <c r="F31" i="7"/>
  <c r="E31" i="7"/>
  <c r="D31" i="7"/>
  <c r="C31" i="7"/>
  <c r="AH30" i="7"/>
  <c r="AH29" i="7"/>
  <c r="AH31" i="7" s="1"/>
  <c r="AN27" i="7"/>
  <c r="AM27" i="7"/>
  <c r="AH27" i="7"/>
  <c r="AG27" i="7"/>
  <c r="AF27" i="7"/>
  <c r="AE27" i="7"/>
  <c r="AD27" i="7"/>
  <c r="AC27" i="7"/>
  <c r="AB27" i="7"/>
  <c r="AA27" i="7"/>
  <c r="Z27" i="7"/>
  <c r="Y27" i="7"/>
  <c r="X27" i="7"/>
  <c r="W27" i="7"/>
  <c r="V27" i="7"/>
  <c r="U27" i="7"/>
  <c r="T27" i="7"/>
  <c r="S27" i="7"/>
  <c r="R27" i="7"/>
  <c r="Q27" i="7"/>
  <c r="P27" i="7"/>
  <c r="O27" i="7"/>
  <c r="N27" i="7"/>
  <c r="M27" i="7"/>
  <c r="L27" i="7"/>
  <c r="K27" i="7"/>
  <c r="J27" i="7"/>
  <c r="I27" i="7"/>
  <c r="H27" i="7"/>
  <c r="G27" i="7"/>
  <c r="F27" i="7"/>
  <c r="E27" i="7"/>
  <c r="D27" i="7"/>
  <c r="C27" i="7"/>
  <c r="AH26" i="7"/>
  <c r="AH25" i="7"/>
  <c r="AN23" i="7"/>
  <c r="AM23" i="7"/>
  <c r="AG23" i="7"/>
  <c r="AF23" i="7"/>
  <c r="AE23" i="7"/>
  <c r="AD23" i="7"/>
  <c r="AC23" i="7"/>
  <c r="AB23" i="7"/>
  <c r="AA23" i="7"/>
  <c r="Z23" i="7"/>
  <c r="Y23" i="7"/>
  <c r="X23" i="7"/>
  <c r="W23" i="7"/>
  <c r="V23" i="7"/>
  <c r="U23" i="7"/>
  <c r="T23" i="7"/>
  <c r="S23" i="7"/>
  <c r="R23" i="7"/>
  <c r="Q23" i="7"/>
  <c r="P23" i="7"/>
  <c r="O23" i="7"/>
  <c r="N23" i="7"/>
  <c r="M23" i="7"/>
  <c r="L23" i="7"/>
  <c r="K23" i="7"/>
  <c r="J23" i="7"/>
  <c r="I23" i="7"/>
  <c r="H23" i="7"/>
  <c r="G23" i="7"/>
  <c r="F23" i="7"/>
  <c r="E23" i="7"/>
  <c r="D23" i="7"/>
  <c r="C23" i="7"/>
  <c r="AH22" i="7"/>
  <c r="AH21" i="7"/>
  <c r="AH23" i="7" s="1"/>
  <c r="AN19" i="7"/>
  <c r="AM19" i="7"/>
  <c r="AH19" i="7"/>
  <c r="AG19" i="7"/>
  <c r="AF19" i="7"/>
  <c r="AE19" i="7"/>
  <c r="AD19" i="7"/>
  <c r="AC19" i="7"/>
  <c r="AB19" i="7"/>
  <c r="AA19" i="7"/>
  <c r="Z19" i="7"/>
  <c r="Y19" i="7"/>
  <c r="X19" i="7"/>
  <c r="W19" i="7"/>
  <c r="V19" i="7"/>
  <c r="U19" i="7"/>
  <c r="T19" i="7"/>
  <c r="S19" i="7"/>
  <c r="R19" i="7"/>
  <c r="Q19" i="7"/>
  <c r="P19" i="7"/>
  <c r="O19" i="7"/>
  <c r="N19" i="7"/>
  <c r="M19" i="7"/>
  <c r="L19" i="7"/>
  <c r="K19" i="7"/>
  <c r="J19" i="7"/>
  <c r="I19" i="7"/>
  <c r="H19" i="7"/>
  <c r="G19" i="7"/>
  <c r="F19" i="7"/>
  <c r="E19" i="7"/>
  <c r="D19" i="7"/>
  <c r="C19" i="7"/>
  <c r="AH18" i="7"/>
  <c r="AH17" i="7"/>
  <c r="AO15" i="7"/>
  <c r="AN15" i="7"/>
  <c r="AM15" i="7"/>
  <c r="AH15" i="7"/>
  <c r="AG15" i="7"/>
  <c r="AF15" i="7"/>
  <c r="AE15" i="7"/>
  <c r="AD15" i="7"/>
  <c r="AC15" i="7"/>
  <c r="AB15" i="7"/>
  <c r="AA15" i="7"/>
  <c r="Z15" i="7"/>
  <c r="Y15" i="7"/>
  <c r="X15" i="7"/>
  <c r="W15" i="7"/>
  <c r="V15" i="7"/>
  <c r="U15" i="7"/>
  <c r="T15" i="7"/>
  <c r="S15" i="7"/>
  <c r="R15" i="7"/>
  <c r="Q15" i="7"/>
  <c r="P15" i="7"/>
  <c r="O15" i="7"/>
  <c r="N15" i="7"/>
  <c r="M15" i="7"/>
  <c r="L15" i="7"/>
  <c r="K15" i="7"/>
  <c r="J15" i="7"/>
  <c r="I15" i="7"/>
  <c r="H15" i="7"/>
  <c r="G15" i="7"/>
  <c r="F15" i="7"/>
  <c r="E15" i="7"/>
  <c r="D15" i="7"/>
  <c r="C15" i="7"/>
  <c r="AH14" i="7"/>
  <c r="AH13" i="7"/>
  <c r="AN11" i="7"/>
  <c r="AM11" i="7"/>
  <c r="AG11" i="7"/>
  <c r="AF11" i="7"/>
  <c r="AE11" i="7"/>
  <c r="AD11" i="7"/>
  <c r="AC11" i="7"/>
  <c r="AB11" i="7"/>
  <c r="AA11" i="7"/>
  <c r="Z11" i="7"/>
  <c r="Y11" i="7"/>
  <c r="X11" i="7"/>
  <c r="W11" i="7"/>
  <c r="V11" i="7"/>
  <c r="U11" i="7"/>
  <c r="T11" i="7"/>
  <c r="S11" i="7"/>
  <c r="R11" i="7"/>
  <c r="Q11" i="7"/>
  <c r="P11" i="7"/>
  <c r="O11" i="7"/>
  <c r="N11" i="7"/>
  <c r="M11" i="7"/>
  <c r="L11" i="7"/>
  <c r="K11" i="7"/>
  <c r="J11" i="7"/>
  <c r="I11" i="7"/>
  <c r="H11" i="7"/>
  <c r="G11" i="7"/>
  <c r="F11" i="7"/>
  <c r="E11" i="7"/>
  <c r="D11" i="7"/>
  <c r="C11" i="7"/>
  <c r="AH10" i="7"/>
  <c r="AH9" i="7"/>
  <c r="AN7" i="7"/>
  <c r="AM7" i="7"/>
  <c r="AG7" i="7"/>
  <c r="AF7" i="7"/>
  <c r="AE7" i="7"/>
  <c r="AD7" i="7"/>
  <c r="AC7" i="7"/>
  <c r="AB7" i="7"/>
  <c r="AA7" i="7"/>
  <c r="Z7" i="7"/>
  <c r="Y7" i="7"/>
  <c r="X7" i="7"/>
  <c r="W7" i="7"/>
  <c r="V7" i="7"/>
  <c r="U7" i="7"/>
  <c r="T7" i="7"/>
  <c r="S7" i="7"/>
  <c r="R7" i="7"/>
  <c r="Q7" i="7"/>
  <c r="P7" i="7"/>
  <c r="O7" i="7"/>
  <c r="N7" i="7"/>
  <c r="M7" i="7"/>
  <c r="L7" i="7"/>
  <c r="K7" i="7"/>
  <c r="J7" i="7"/>
  <c r="I7" i="7"/>
  <c r="H7" i="7"/>
  <c r="G7" i="7"/>
  <c r="F7" i="7"/>
  <c r="E7" i="7"/>
  <c r="D7" i="7"/>
  <c r="C7" i="7"/>
  <c r="AH6" i="7"/>
  <c r="AH5" i="7"/>
  <c r="AH7" i="7" s="1"/>
  <c r="AG3" i="7"/>
  <c r="AF3" i="7"/>
  <c r="AE3" i="7"/>
  <c r="AD3" i="7"/>
  <c r="AC3" i="7"/>
  <c r="AB3" i="7"/>
  <c r="AA3" i="7"/>
  <c r="Z3" i="7"/>
  <c r="Y3" i="7"/>
  <c r="X3" i="7"/>
  <c r="W3" i="7"/>
  <c r="V3" i="7"/>
  <c r="U3" i="7"/>
  <c r="T3" i="7"/>
  <c r="S3" i="7"/>
  <c r="R3" i="7"/>
  <c r="Q3" i="7"/>
  <c r="P3" i="7"/>
  <c r="O3" i="7"/>
  <c r="N3" i="7"/>
  <c r="M3" i="7"/>
  <c r="L3" i="7"/>
  <c r="K3" i="7"/>
  <c r="J3" i="7"/>
  <c r="I3" i="7"/>
  <c r="H3" i="7"/>
  <c r="G3" i="7"/>
  <c r="F3" i="7"/>
  <c r="E3" i="7"/>
  <c r="D3" i="7"/>
  <c r="C3" i="7"/>
  <c r="AO123" i="6"/>
  <c r="AN123" i="6"/>
  <c r="AG123" i="6"/>
  <c r="AF123" i="6"/>
  <c r="AE123" i="6"/>
  <c r="AD123" i="6"/>
  <c r="AC123" i="6"/>
  <c r="AB123" i="6"/>
  <c r="AA123" i="6"/>
  <c r="Z123" i="6"/>
  <c r="Y123" i="6"/>
  <c r="X123" i="6"/>
  <c r="W123" i="6"/>
  <c r="V123" i="6"/>
  <c r="U123" i="6"/>
  <c r="T123" i="6"/>
  <c r="S123" i="6"/>
  <c r="R123" i="6"/>
  <c r="Q123" i="6"/>
  <c r="P123" i="6"/>
  <c r="O123" i="6"/>
  <c r="N123" i="6"/>
  <c r="M123" i="6"/>
  <c r="L123" i="6"/>
  <c r="K123" i="6"/>
  <c r="J123" i="6"/>
  <c r="I123" i="6"/>
  <c r="H123" i="6"/>
  <c r="G123" i="6"/>
  <c r="F123" i="6"/>
  <c r="E123" i="6"/>
  <c r="D123" i="6"/>
  <c r="C123" i="6"/>
  <c r="AH122" i="6"/>
  <c r="AH121" i="6"/>
  <c r="AH123" i="6" s="1"/>
  <c r="AO119" i="6"/>
  <c r="AN119" i="6"/>
  <c r="AG119" i="6"/>
  <c r="AF119" i="6"/>
  <c r="AE119" i="6"/>
  <c r="AD119" i="6"/>
  <c r="AC119" i="6"/>
  <c r="AB119" i="6"/>
  <c r="AA119" i="6"/>
  <c r="Z119" i="6"/>
  <c r="Y119" i="6"/>
  <c r="X119" i="6"/>
  <c r="W119" i="6"/>
  <c r="V119" i="6"/>
  <c r="U119" i="6"/>
  <c r="T119" i="6"/>
  <c r="S119" i="6"/>
  <c r="R119" i="6"/>
  <c r="Q119" i="6"/>
  <c r="P119" i="6"/>
  <c r="O119" i="6"/>
  <c r="N119" i="6"/>
  <c r="M119" i="6"/>
  <c r="L119" i="6"/>
  <c r="K119" i="6"/>
  <c r="J119" i="6"/>
  <c r="I119" i="6"/>
  <c r="H119" i="6"/>
  <c r="G119" i="6"/>
  <c r="F119" i="6"/>
  <c r="E119" i="6"/>
  <c r="D119" i="6"/>
  <c r="C119" i="6"/>
  <c r="AH118" i="6"/>
  <c r="AH119" i="6" s="1"/>
  <c r="AH117" i="6"/>
  <c r="AN115" i="6"/>
  <c r="AH115" i="6"/>
  <c r="AG115" i="6"/>
  <c r="AF115" i="6"/>
  <c r="AE115" i="6"/>
  <c r="AD115" i="6"/>
  <c r="AC115" i="6"/>
  <c r="AB115" i="6"/>
  <c r="AA115" i="6"/>
  <c r="Z115" i="6"/>
  <c r="Y115" i="6"/>
  <c r="X115" i="6"/>
  <c r="W115" i="6"/>
  <c r="V115" i="6"/>
  <c r="U115" i="6"/>
  <c r="T115" i="6"/>
  <c r="S115" i="6"/>
  <c r="R115" i="6"/>
  <c r="Q115" i="6"/>
  <c r="P115" i="6"/>
  <c r="O115" i="6"/>
  <c r="N115" i="6"/>
  <c r="M115" i="6"/>
  <c r="L115" i="6"/>
  <c r="K115" i="6"/>
  <c r="J115" i="6"/>
  <c r="I115" i="6"/>
  <c r="H115" i="6"/>
  <c r="G115" i="6"/>
  <c r="F115" i="6"/>
  <c r="E115" i="6"/>
  <c r="D115" i="6"/>
  <c r="C115" i="6"/>
  <c r="AH114" i="6"/>
  <c r="AH113" i="6"/>
  <c r="AN111" i="6"/>
  <c r="AG111" i="6"/>
  <c r="AF111" i="6"/>
  <c r="AE111" i="6"/>
  <c r="AD111" i="6"/>
  <c r="AC111" i="6"/>
  <c r="AB111" i="6"/>
  <c r="AA111" i="6"/>
  <c r="Z111" i="6"/>
  <c r="Y111" i="6"/>
  <c r="X111" i="6"/>
  <c r="W111" i="6"/>
  <c r="V111" i="6"/>
  <c r="U111" i="6"/>
  <c r="T111" i="6"/>
  <c r="S111" i="6"/>
  <c r="R111" i="6"/>
  <c r="Q111" i="6"/>
  <c r="P111" i="6"/>
  <c r="O111" i="6"/>
  <c r="N111" i="6"/>
  <c r="M111" i="6"/>
  <c r="L111" i="6"/>
  <c r="K111" i="6"/>
  <c r="J111" i="6"/>
  <c r="I111" i="6"/>
  <c r="H111" i="6"/>
  <c r="G111" i="6"/>
  <c r="F111" i="6"/>
  <c r="E111" i="6"/>
  <c r="D111" i="6"/>
  <c r="C111" i="6"/>
  <c r="AH110" i="6"/>
  <c r="AH109" i="6"/>
  <c r="AH111" i="6" s="1"/>
  <c r="AN107" i="6"/>
  <c r="AG107" i="6"/>
  <c r="AF107" i="6"/>
  <c r="AE107" i="6"/>
  <c r="AD107" i="6"/>
  <c r="AC107" i="6"/>
  <c r="AB107" i="6"/>
  <c r="AA107" i="6"/>
  <c r="Z107" i="6"/>
  <c r="Y107" i="6"/>
  <c r="X107" i="6"/>
  <c r="W107" i="6"/>
  <c r="V107" i="6"/>
  <c r="U107" i="6"/>
  <c r="T107" i="6"/>
  <c r="S107" i="6"/>
  <c r="R107" i="6"/>
  <c r="Q107" i="6"/>
  <c r="P107" i="6"/>
  <c r="O107" i="6"/>
  <c r="N107" i="6"/>
  <c r="M107" i="6"/>
  <c r="L107" i="6"/>
  <c r="K107" i="6"/>
  <c r="J107" i="6"/>
  <c r="I107" i="6"/>
  <c r="H107" i="6"/>
  <c r="G107" i="6"/>
  <c r="F107" i="6"/>
  <c r="E107" i="6"/>
  <c r="D107" i="6"/>
  <c r="C107" i="6"/>
  <c r="AH106" i="6"/>
  <c r="AH105" i="6"/>
  <c r="AH107" i="6" s="1"/>
  <c r="AN103" i="6"/>
  <c r="AM103" i="6"/>
  <c r="AH103" i="6"/>
  <c r="AG103" i="6"/>
  <c r="AF103" i="6"/>
  <c r="AE103" i="6"/>
  <c r="AD103" i="6"/>
  <c r="AC103" i="6"/>
  <c r="AB103" i="6"/>
  <c r="AA103" i="6"/>
  <c r="Z103" i="6"/>
  <c r="Y103" i="6"/>
  <c r="X103" i="6"/>
  <c r="W103" i="6"/>
  <c r="V103" i="6"/>
  <c r="U103" i="6"/>
  <c r="T103" i="6"/>
  <c r="S103" i="6"/>
  <c r="R103" i="6"/>
  <c r="Q103" i="6"/>
  <c r="P103" i="6"/>
  <c r="O103" i="6"/>
  <c r="N103" i="6"/>
  <c r="M103" i="6"/>
  <c r="L103" i="6"/>
  <c r="K103" i="6"/>
  <c r="J103" i="6"/>
  <c r="I103" i="6"/>
  <c r="H103" i="6"/>
  <c r="G103" i="6"/>
  <c r="F103" i="6"/>
  <c r="E103" i="6"/>
  <c r="D103" i="6"/>
  <c r="C103" i="6"/>
  <c r="AH102" i="6"/>
  <c r="AH101" i="6"/>
  <c r="AN99" i="6"/>
  <c r="AM99" i="6"/>
  <c r="AG99" i="6"/>
  <c r="AF99" i="6"/>
  <c r="AE99" i="6"/>
  <c r="AD99" i="6"/>
  <c r="AC99" i="6"/>
  <c r="AB99" i="6"/>
  <c r="AA99" i="6"/>
  <c r="Z99" i="6"/>
  <c r="Y99" i="6"/>
  <c r="X99" i="6"/>
  <c r="W99" i="6"/>
  <c r="V99" i="6"/>
  <c r="U99" i="6"/>
  <c r="T99" i="6"/>
  <c r="S99" i="6"/>
  <c r="R99" i="6"/>
  <c r="Q99" i="6"/>
  <c r="P99" i="6"/>
  <c r="O99" i="6"/>
  <c r="N99" i="6"/>
  <c r="M99" i="6"/>
  <c r="L99" i="6"/>
  <c r="K99" i="6"/>
  <c r="J99" i="6"/>
  <c r="I99" i="6"/>
  <c r="H99" i="6"/>
  <c r="G99" i="6"/>
  <c r="F99" i="6"/>
  <c r="E99" i="6"/>
  <c r="D99" i="6"/>
  <c r="C99" i="6"/>
  <c r="AH98" i="6"/>
  <c r="AH97" i="6"/>
  <c r="AH99" i="6" s="1"/>
  <c r="AN95" i="6"/>
  <c r="AM95" i="6"/>
  <c r="AG95" i="6"/>
  <c r="AF95" i="6"/>
  <c r="AE95" i="6"/>
  <c r="AD95" i="6"/>
  <c r="AC95" i="6"/>
  <c r="AB95" i="6"/>
  <c r="AA95" i="6"/>
  <c r="Z95" i="6"/>
  <c r="Y95" i="6"/>
  <c r="X95" i="6"/>
  <c r="W95" i="6"/>
  <c r="V95" i="6"/>
  <c r="U95" i="6"/>
  <c r="T95" i="6"/>
  <c r="S95" i="6"/>
  <c r="R95" i="6"/>
  <c r="Q95" i="6"/>
  <c r="P95" i="6"/>
  <c r="O95" i="6"/>
  <c r="N95" i="6"/>
  <c r="M95" i="6"/>
  <c r="L95" i="6"/>
  <c r="K95" i="6"/>
  <c r="J95" i="6"/>
  <c r="I95" i="6"/>
  <c r="H95" i="6"/>
  <c r="G95" i="6"/>
  <c r="F95" i="6"/>
  <c r="E95" i="6"/>
  <c r="D95" i="6"/>
  <c r="C95" i="6"/>
  <c r="AH94" i="6"/>
  <c r="AH95" i="6" s="1"/>
  <c r="AH93" i="6"/>
  <c r="AN91" i="6"/>
  <c r="AM91" i="6"/>
  <c r="AG91" i="6"/>
  <c r="AF91" i="6"/>
  <c r="AE91" i="6"/>
  <c r="AD91" i="6"/>
  <c r="AC91" i="6"/>
  <c r="AB91" i="6"/>
  <c r="AA91" i="6"/>
  <c r="Z91" i="6"/>
  <c r="Y91" i="6"/>
  <c r="X91" i="6"/>
  <c r="W91" i="6"/>
  <c r="V91" i="6"/>
  <c r="U91" i="6"/>
  <c r="T91" i="6"/>
  <c r="S91" i="6"/>
  <c r="R91" i="6"/>
  <c r="Q91" i="6"/>
  <c r="P91" i="6"/>
  <c r="O91" i="6"/>
  <c r="N91" i="6"/>
  <c r="M91" i="6"/>
  <c r="L91" i="6"/>
  <c r="K91" i="6"/>
  <c r="J91" i="6"/>
  <c r="I91" i="6"/>
  <c r="H91" i="6"/>
  <c r="G91" i="6"/>
  <c r="F91" i="6"/>
  <c r="E91" i="6"/>
  <c r="D91" i="6"/>
  <c r="C91" i="6"/>
  <c r="AH90" i="6"/>
  <c r="AH89" i="6"/>
  <c r="AH91" i="6" s="1"/>
  <c r="AN87" i="6"/>
  <c r="AM87" i="6"/>
  <c r="AH87" i="6"/>
  <c r="AG87" i="6"/>
  <c r="AF87" i="6"/>
  <c r="AE87" i="6"/>
  <c r="AD87" i="6"/>
  <c r="AC87" i="6"/>
  <c r="AB87" i="6"/>
  <c r="AA87" i="6"/>
  <c r="Z87" i="6"/>
  <c r="Y87" i="6"/>
  <c r="X87" i="6"/>
  <c r="W87" i="6"/>
  <c r="V87" i="6"/>
  <c r="U87" i="6"/>
  <c r="T87" i="6"/>
  <c r="S87" i="6"/>
  <c r="R87" i="6"/>
  <c r="Q87" i="6"/>
  <c r="P87" i="6"/>
  <c r="O87" i="6"/>
  <c r="N87" i="6"/>
  <c r="M87" i="6"/>
  <c r="L87" i="6"/>
  <c r="K87" i="6"/>
  <c r="J87" i="6"/>
  <c r="I87" i="6"/>
  <c r="H87" i="6"/>
  <c r="G87" i="6"/>
  <c r="F87" i="6"/>
  <c r="E87" i="6"/>
  <c r="D87" i="6"/>
  <c r="C87" i="6"/>
  <c r="AH86" i="6"/>
  <c r="AH85" i="6"/>
  <c r="AN83" i="6"/>
  <c r="AM83" i="6"/>
  <c r="AG83" i="6"/>
  <c r="AF83" i="6"/>
  <c r="AE83" i="6"/>
  <c r="AD83" i="6"/>
  <c r="AC83" i="6"/>
  <c r="AB83" i="6"/>
  <c r="AA83" i="6"/>
  <c r="Z83" i="6"/>
  <c r="Y83" i="6"/>
  <c r="X83" i="6"/>
  <c r="W83" i="6"/>
  <c r="V83" i="6"/>
  <c r="U83" i="6"/>
  <c r="T83" i="6"/>
  <c r="S83" i="6"/>
  <c r="R83" i="6"/>
  <c r="Q83" i="6"/>
  <c r="P83" i="6"/>
  <c r="O83" i="6"/>
  <c r="N83" i="6"/>
  <c r="M83" i="6"/>
  <c r="L83" i="6"/>
  <c r="K83" i="6"/>
  <c r="J83" i="6"/>
  <c r="I83" i="6"/>
  <c r="H83" i="6"/>
  <c r="G83" i="6"/>
  <c r="F83" i="6"/>
  <c r="E83" i="6"/>
  <c r="D83" i="6"/>
  <c r="C83" i="6"/>
  <c r="AH82" i="6"/>
  <c r="AH81" i="6"/>
  <c r="AH83" i="6" s="1"/>
  <c r="AN79" i="6"/>
  <c r="AM79" i="6"/>
  <c r="AG79" i="6"/>
  <c r="AF79" i="6"/>
  <c r="AE79" i="6"/>
  <c r="AD79" i="6"/>
  <c r="AC79" i="6"/>
  <c r="AB79" i="6"/>
  <c r="AA79" i="6"/>
  <c r="Z79" i="6"/>
  <c r="Y79" i="6"/>
  <c r="X79" i="6"/>
  <c r="W79" i="6"/>
  <c r="V79" i="6"/>
  <c r="U79" i="6"/>
  <c r="T79" i="6"/>
  <c r="S79" i="6"/>
  <c r="R79" i="6"/>
  <c r="Q79" i="6"/>
  <c r="P79" i="6"/>
  <c r="O79" i="6"/>
  <c r="N79" i="6"/>
  <c r="M79" i="6"/>
  <c r="L79" i="6"/>
  <c r="K79" i="6"/>
  <c r="J79" i="6"/>
  <c r="I79" i="6"/>
  <c r="H79" i="6"/>
  <c r="G79" i="6"/>
  <c r="F79" i="6"/>
  <c r="E79" i="6"/>
  <c r="D79" i="6"/>
  <c r="C79" i="6"/>
  <c r="AH78" i="6"/>
  <c r="AH79" i="6" s="1"/>
  <c r="AH77" i="6"/>
  <c r="AN75" i="6"/>
  <c r="AM75" i="6"/>
  <c r="AG75" i="6"/>
  <c r="AF75" i="6"/>
  <c r="AE75" i="6"/>
  <c r="AD75" i="6"/>
  <c r="AC75" i="6"/>
  <c r="AB75" i="6"/>
  <c r="AA75" i="6"/>
  <c r="Z75" i="6"/>
  <c r="Y75" i="6"/>
  <c r="X75" i="6"/>
  <c r="W75" i="6"/>
  <c r="V75" i="6"/>
  <c r="U75" i="6"/>
  <c r="T75" i="6"/>
  <c r="S75" i="6"/>
  <c r="R75" i="6"/>
  <c r="Q75" i="6"/>
  <c r="P75" i="6"/>
  <c r="O75" i="6"/>
  <c r="N75" i="6"/>
  <c r="M75" i="6"/>
  <c r="L75" i="6"/>
  <c r="K75" i="6"/>
  <c r="J75" i="6"/>
  <c r="I75" i="6"/>
  <c r="H75" i="6"/>
  <c r="G75" i="6"/>
  <c r="F75" i="6"/>
  <c r="E75" i="6"/>
  <c r="D75" i="6"/>
  <c r="C75" i="6"/>
  <c r="AH74" i="6"/>
  <c r="AH73" i="6"/>
  <c r="AH75" i="6" s="1"/>
  <c r="AN71" i="6"/>
  <c r="AM71" i="6"/>
  <c r="AH71" i="6"/>
  <c r="AG71" i="6"/>
  <c r="AF71" i="6"/>
  <c r="AE71" i="6"/>
  <c r="AD71" i="6"/>
  <c r="AC71" i="6"/>
  <c r="AB71" i="6"/>
  <c r="AA71" i="6"/>
  <c r="Z71" i="6"/>
  <c r="Y71" i="6"/>
  <c r="X71" i="6"/>
  <c r="W71" i="6"/>
  <c r="V71" i="6"/>
  <c r="U71" i="6"/>
  <c r="T71" i="6"/>
  <c r="S71" i="6"/>
  <c r="R71" i="6"/>
  <c r="Q71" i="6"/>
  <c r="P71" i="6"/>
  <c r="O71" i="6"/>
  <c r="N71" i="6"/>
  <c r="M71" i="6"/>
  <c r="L71" i="6"/>
  <c r="K71" i="6"/>
  <c r="J71" i="6"/>
  <c r="I71" i="6"/>
  <c r="H71" i="6"/>
  <c r="G71" i="6"/>
  <c r="F71" i="6"/>
  <c r="E71" i="6"/>
  <c r="D71" i="6"/>
  <c r="C71" i="6"/>
  <c r="AH70" i="6"/>
  <c r="AH69" i="6"/>
  <c r="AN67" i="6"/>
  <c r="AM67" i="6"/>
  <c r="AG67" i="6"/>
  <c r="AF67" i="6"/>
  <c r="AE67" i="6"/>
  <c r="AD67" i="6"/>
  <c r="AC67" i="6"/>
  <c r="AB67" i="6"/>
  <c r="AA67" i="6"/>
  <c r="Z67" i="6"/>
  <c r="Y67" i="6"/>
  <c r="X67" i="6"/>
  <c r="W67" i="6"/>
  <c r="V67" i="6"/>
  <c r="U67" i="6"/>
  <c r="T67" i="6"/>
  <c r="S67" i="6"/>
  <c r="R67" i="6"/>
  <c r="Q67" i="6"/>
  <c r="P67" i="6"/>
  <c r="O67" i="6"/>
  <c r="N67" i="6"/>
  <c r="M67" i="6"/>
  <c r="L67" i="6"/>
  <c r="K67" i="6"/>
  <c r="J67" i="6"/>
  <c r="I67" i="6"/>
  <c r="H67" i="6"/>
  <c r="G67" i="6"/>
  <c r="F67" i="6"/>
  <c r="E67" i="6"/>
  <c r="D67" i="6"/>
  <c r="C67" i="6"/>
  <c r="AI66" i="6"/>
  <c r="AI66" i="7" s="1"/>
  <c r="AI66" i="8" s="1"/>
  <c r="AI66" i="9" s="1"/>
  <c r="AI66" i="10" s="1"/>
  <c r="AI66" i="11" s="1"/>
  <c r="AI66" i="12" s="1"/>
  <c r="AH66" i="6"/>
  <c r="AH65" i="6"/>
  <c r="AH67" i="6" s="1"/>
  <c r="AN63" i="6"/>
  <c r="AM63" i="6"/>
  <c r="AG63" i="6"/>
  <c r="AF63" i="6"/>
  <c r="AE63" i="6"/>
  <c r="AD63" i="6"/>
  <c r="AC63" i="6"/>
  <c r="AB63" i="6"/>
  <c r="AA63" i="6"/>
  <c r="Z63" i="6"/>
  <c r="Y63" i="6"/>
  <c r="X63" i="6"/>
  <c r="W63" i="6"/>
  <c r="V63" i="6"/>
  <c r="U63" i="6"/>
  <c r="T63" i="6"/>
  <c r="S63" i="6"/>
  <c r="R63" i="6"/>
  <c r="Q63" i="6"/>
  <c r="P63" i="6"/>
  <c r="O63" i="6"/>
  <c r="N63" i="6"/>
  <c r="M63" i="6"/>
  <c r="L63" i="6"/>
  <c r="K63" i="6"/>
  <c r="J63" i="6"/>
  <c r="I63" i="6"/>
  <c r="H63" i="6"/>
  <c r="G63" i="6"/>
  <c r="F63" i="6"/>
  <c r="E63" i="6"/>
  <c r="D63" i="6"/>
  <c r="C63" i="6"/>
  <c r="AH62" i="6"/>
  <c r="AH63" i="6" s="1"/>
  <c r="AH61" i="6"/>
  <c r="AN59" i="6"/>
  <c r="AG59" i="6"/>
  <c r="AF59" i="6"/>
  <c r="AE59" i="6"/>
  <c r="AD59" i="6"/>
  <c r="AC59" i="6"/>
  <c r="AB59" i="6"/>
  <c r="AA59" i="6"/>
  <c r="Z59" i="6"/>
  <c r="Y59" i="6"/>
  <c r="X59" i="6"/>
  <c r="W59" i="6"/>
  <c r="V59" i="6"/>
  <c r="U59" i="6"/>
  <c r="T59" i="6"/>
  <c r="S59" i="6"/>
  <c r="R59" i="6"/>
  <c r="Q59" i="6"/>
  <c r="P59" i="6"/>
  <c r="O59" i="6"/>
  <c r="N59" i="6"/>
  <c r="M59" i="6"/>
  <c r="L59" i="6"/>
  <c r="K59" i="6"/>
  <c r="J59" i="6"/>
  <c r="I59" i="6"/>
  <c r="H59" i="6"/>
  <c r="G59" i="6"/>
  <c r="F59" i="6"/>
  <c r="E59" i="6"/>
  <c r="D59" i="6"/>
  <c r="C59" i="6"/>
  <c r="AH58" i="6"/>
  <c r="AH59" i="6" s="1"/>
  <c r="AH57" i="6"/>
  <c r="AN55" i="6"/>
  <c r="AM55" i="6"/>
  <c r="AG55" i="6"/>
  <c r="AF55" i="6"/>
  <c r="AE55" i="6"/>
  <c r="AD55" i="6"/>
  <c r="AC55" i="6"/>
  <c r="AB55" i="6"/>
  <c r="AA55" i="6"/>
  <c r="Z55" i="6"/>
  <c r="Y55" i="6"/>
  <c r="X55" i="6"/>
  <c r="W55" i="6"/>
  <c r="V55" i="6"/>
  <c r="U55" i="6"/>
  <c r="T55" i="6"/>
  <c r="S55" i="6"/>
  <c r="R55" i="6"/>
  <c r="Q55" i="6"/>
  <c r="P55" i="6"/>
  <c r="O55" i="6"/>
  <c r="N55" i="6"/>
  <c r="M55" i="6"/>
  <c r="L55" i="6"/>
  <c r="K55" i="6"/>
  <c r="J55" i="6"/>
  <c r="I55" i="6"/>
  <c r="H55" i="6"/>
  <c r="G55" i="6"/>
  <c r="F55" i="6"/>
  <c r="E55" i="6"/>
  <c r="D55" i="6"/>
  <c r="C55" i="6"/>
  <c r="AH54" i="6"/>
  <c r="AH53" i="6"/>
  <c r="AH55" i="6" s="1"/>
  <c r="AN51" i="6"/>
  <c r="AM51" i="6"/>
  <c r="AH51" i="6"/>
  <c r="AG51" i="6"/>
  <c r="AF51" i="6"/>
  <c r="AE51" i="6"/>
  <c r="AD51" i="6"/>
  <c r="AC51" i="6"/>
  <c r="AB51" i="6"/>
  <c r="AA51" i="6"/>
  <c r="Z51" i="6"/>
  <c r="Y51" i="6"/>
  <c r="X51" i="6"/>
  <c r="W51" i="6"/>
  <c r="V51" i="6"/>
  <c r="U51" i="6"/>
  <c r="T51" i="6"/>
  <c r="S51" i="6"/>
  <c r="R51" i="6"/>
  <c r="Q51" i="6"/>
  <c r="P51" i="6"/>
  <c r="O51" i="6"/>
  <c r="N51" i="6"/>
  <c r="M51" i="6"/>
  <c r="L51" i="6"/>
  <c r="K51" i="6"/>
  <c r="J51" i="6"/>
  <c r="I51" i="6"/>
  <c r="H51" i="6"/>
  <c r="G51" i="6"/>
  <c r="F51" i="6"/>
  <c r="E51" i="6"/>
  <c r="D51" i="6"/>
  <c r="C51" i="6"/>
  <c r="AH50" i="6"/>
  <c r="AH49" i="6"/>
  <c r="AN47" i="6"/>
  <c r="AM47" i="6"/>
  <c r="AG47" i="6"/>
  <c r="AF47" i="6"/>
  <c r="AE47" i="6"/>
  <c r="AD47" i="6"/>
  <c r="AC47" i="6"/>
  <c r="AB47" i="6"/>
  <c r="AA47" i="6"/>
  <c r="Z47" i="6"/>
  <c r="Y47" i="6"/>
  <c r="X47" i="6"/>
  <c r="W47" i="6"/>
  <c r="V47" i="6"/>
  <c r="U47" i="6"/>
  <c r="T47" i="6"/>
  <c r="S47" i="6"/>
  <c r="R47" i="6"/>
  <c r="Q47" i="6"/>
  <c r="P47" i="6"/>
  <c r="O47" i="6"/>
  <c r="N47" i="6"/>
  <c r="M47" i="6"/>
  <c r="L47" i="6"/>
  <c r="K47" i="6"/>
  <c r="J47" i="6"/>
  <c r="I47" i="6"/>
  <c r="H47" i="6"/>
  <c r="G47" i="6"/>
  <c r="F47" i="6"/>
  <c r="E47" i="6"/>
  <c r="D47" i="6"/>
  <c r="C47" i="6"/>
  <c r="AH46" i="6"/>
  <c r="AH45" i="6"/>
  <c r="AH47" i="6" s="1"/>
  <c r="AN43" i="6"/>
  <c r="AM43" i="6"/>
  <c r="AG43" i="6"/>
  <c r="AF43" i="6"/>
  <c r="AE43" i="6"/>
  <c r="AD43" i="6"/>
  <c r="AC43" i="6"/>
  <c r="AB43" i="6"/>
  <c r="AA43" i="6"/>
  <c r="Z43" i="6"/>
  <c r="Y43" i="6"/>
  <c r="X43" i="6"/>
  <c r="W43" i="6"/>
  <c r="V43" i="6"/>
  <c r="U43" i="6"/>
  <c r="T43" i="6"/>
  <c r="S43" i="6"/>
  <c r="R43" i="6"/>
  <c r="Q43" i="6"/>
  <c r="P43" i="6"/>
  <c r="O43" i="6"/>
  <c r="N43" i="6"/>
  <c r="M43" i="6"/>
  <c r="L43" i="6"/>
  <c r="K43" i="6"/>
  <c r="J43" i="6"/>
  <c r="I43" i="6"/>
  <c r="H43" i="6"/>
  <c r="G43" i="6"/>
  <c r="F43" i="6"/>
  <c r="E43" i="6"/>
  <c r="D43" i="6"/>
  <c r="C43" i="6"/>
  <c r="AH42" i="6"/>
  <c r="AH43" i="6" s="1"/>
  <c r="AH41" i="6"/>
  <c r="AN39" i="6"/>
  <c r="AM39" i="6"/>
  <c r="AG39" i="6"/>
  <c r="AF39" i="6"/>
  <c r="AE39" i="6"/>
  <c r="AD39" i="6"/>
  <c r="AC39" i="6"/>
  <c r="AB39" i="6"/>
  <c r="AA39" i="6"/>
  <c r="Z39" i="6"/>
  <c r="Y39" i="6"/>
  <c r="X39" i="6"/>
  <c r="W39" i="6"/>
  <c r="V39" i="6"/>
  <c r="U39" i="6"/>
  <c r="T39" i="6"/>
  <c r="S39" i="6"/>
  <c r="R39" i="6"/>
  <c r="Q39" i="6"/>
  <c r="P39" i="6"/>
  <c r="O39" i="6"/>
  <c r="N39" i="6"/>
  <c r="M39" i="6"/>
  <c r="L39" i="6"/>
  <c r="K39" i="6"/>
  <c r="J39" i="6"/>
  <c r="I39" i="6"/>
  <c r="H39" i="6"/>
  <c r="G39" i="6"/>
  <c r="F39" i="6"/>
  <c r="E39" i="6"/>
  <c r="D39" i="6"/>
  <c r="C39" i="6"/>
  <c r="AH38" i="6"/>
  <c r="AH37" i="6"/>
  <c r="AH39" i="6" s="1"/>
  <c r="AN35" i="6"/>
  <c r="AM35" i="6"/>
  <c r="AH35" i="6"/>
  <c r="AG35" i="6"/>
  <c r="AF35" i="6"/>
  <c r="AE35" i="6"/>
  <c r="AD35" i="6"/>
  <c r="AC35" i="6"/>
  <c r="AB35" i="6"/>
  <c r="AA35" i="6"/>
  <c r="Z35" i="6"/>
  <c r="Y35" i="6"/>
  <c r="X35" i="6"/>
  <c r="W35" i="6"/>
  <c r="V35" i="6"/>
  <c r="U35" i="6"/>
  <c r="T35" i="6"/>
  <c r="S35" i="6"/>
  <c r="R35" i="6"/>
  <c r="Q35" i="6"/>
  <c r="P35" i="6"/>
  <c r="O35" i="6"/>
  <c r="N35" i="6"/>
  <c r="M35" i="6"/>
  <c r="L35" i="6"/>
  <c r="K35" i="6"/>
  <c r="J35" i="6"/>
  <c r="I35" i="6"/>
  <c r="H35" i="6"/>
  <c r="G35" i="6"/>
  <c r="F35" i="6"/>
  <c r="E35" i="6"/>
  <c r="D35" i="6"/>
  <c r="C35" i="6"/>
  <c r="AH34" i="6"/>
  <c r="AH33" i="6"/>
  <c r="AN31" i="6"/>
  <c r="AM31" i="6"/>
  <c r="AG31" i="6"/>
  <c r="AF31" i="6"/>
  <c r="AE31" i="6"/>
  <c r="AD31" i="6"/>
  <c r="AC31" i="6"/>
  <c r="AB31" i="6"/>
  <c r="AA31" i="6"/>
  <c r="Z31" i="6"/>
  <c r="Y31" i="6"/>
  <c r="X31" i="6"/>
  <c r="W31" i="6"/>
  <c r="V31" i="6"/>
  <c r="U31" i="6"/>
  <c r="T31" i="6"/>
  <c r="S31" i="6"/>
  <c r="R31" i="6"/>
  <c r="Q31" i="6"/>
  <c r="P31" i="6"/>
  <c r="O31" i="6"/>
  <c r="N31" i="6"/>
  <c r="M31" i="6"/>
  <c r="L31" i="6"/>
  <c r="K31" i="6"/>
  <c r="J31" i="6"/>
  <c r="I31" i="6"/>
  <c r="H31" i="6"/>
  <c r="G31" i="6"/>
  <c r="F31" i="6"/>
  <c r="E31" i="6"/>
  <c r="D31" i="6"/>
  <c r="C31" i="6"/>
  <c r="AH30" i="6"/>
  <c r="AH29" i="6"/>
  <c r="AH31" i="6" s="1"/>
  <c r="AN27" i="6"/>
  <c r="AM27" i="6"/>
  <c r="AG27" i="6"/>
  <c r="AF27" i="6"/>
  <c r="AE27" i="6"/>
  <c r="AD27" i="6"/>
  <c r="AC27" i="6"/>
  <c r="AB27" i="6"/>
  <c r="AA27" i="6"/>
  <c r="Z27" i="6"/>
  <c r="Y27" i="6"/>
  <c r="X27" i="6"/>
  <c r="W27" i="6"/>
  <c r="V27" i="6"/>
  <c r="U27" i="6"/>
  <c r="T27" i="6"/>
  <c r="S27" i="6"/>
  <c r="R27" i="6"/>
  <c r="Q27" i="6"/>
  <c r="P27" i="6"/>
  <c r="O27" i="6"/>
  <c r="N27" i="6"/>
  <c r="M27" i="6"/>
  <c r="L27" i="6"/>
  <c r="K27" i="6"/>
  <c r="J27" i="6"/>
  <c r="I27" i="6"/>
  <c r="H27" i="6"/>
  <c r="G27" i="6"/>
  <c r="F27" i="6"/>
  <c r="E27" i="6"/>
  <c r="D27" i="6"/>
  <c r="C27" i="6"/>
  <c r="AH26" i="6"/>
  <c r="AH27" i="6" s="1"/>
  <c r="AH25" i="6"/>
  <c r="AN23" i="6"/>
  <c r="AM23" i="6"/>
  <c r="AG23" i="6"/>
  <c r="AF23" i="6"/>
  <c r="AE23" i="6"/>
  <c r="AD23" i="6"/>
  <c r="AC23" i="6"/>
  <c r="AB23" i="6"/>
  <c r="AA23" i="6"/>
  <c r="Z23" i="6"/>
  <c r="Y23" i="6"/>
  <c r="X23" i="6"/>
  <c r="W23" i="6"/>
  <c r="V23" i="6"/>
  <c r="U23" i="6"/>
  <c r="T23" i="6"/>
  <c r="S23" i="6"/>
  <c r="R23" i="6"/>
  <c r="Q23" i="6"/>
  <c r="P23" i="6"/>
  <c r="O23" i="6"/>
  <c r="N23" i="6"/>
  <c r="M23" i="6"/>
  <c r="L23" i="6"/>
  <c r="K23" i="6"/>
  <c r="J23" i="6"/>
  <c r="I23" i="6"/>
  <c r="H23" i="6"/>
  <c r="G23" i="6"/>
  <c r="F23" i="6"/>
  <c r="E23" i="6"/>
  <c r="D23" i="6"/>
  <c r="C23" i="6"/>
  <c r="AH22" i="6"/>
  <c r="AH21" i="6"/>
  <c r="AH23" i="6" s="1"/>
  <c r="AN19" i="6"/>
  <c r="AM19" i="6"/>
  <c r="AH19" i="6"/>
  <c r="AG19" i="6"/>
  <c r="AF19" i="6"/>
  <c r="AE19" i="6"/>
  <c r="AD19" i="6"/>
  <c r="AC19" i="6"/>
  <c r="AB19" i="6"/>
  <c r="AA19" i="6"/>
  <c r="Z19" i="6"/>
  <c r="Y19" i="6"/>
  <c r="X19" i="6"/>
  <c r="W19" i="6"/>
  <c r="V19" i="6"/>
  <c r="U19" i="6"/>
  <c r="T19" i="6"/>
  <c r="S19" i="6"/>
  <c r="R19" i="6"/>
  <c r="Q19" i="6"/>
  <c r="P19" i="6"/>
  <c r="O19" i="6"/>
  <c r="N19" i="6"/>
  <c r="M19" i="6"/>
  <c r="L19" i="6"/>
  <c r="K19" i="6"/>
  <c r="J19" i="6"/>
  <c r="I19" i="6"/>
  <c r="H19" i="6"/>
  <c r="G19" i="6"/>
  <c r="F19" i="6"/>
  <c r="E19" i="6"/>
  <c r="D19" i="6"/>
  <c r="C19" i="6"/>
  <c r="AH18" i="6"/>
  <c r="AH17" i="6"/>
  <c r="AO15" i="6"/>
  <c r="AN15" i="6"/>
  <c r="AM15" i="6"/>
  <c r="AG15" i="6"/>
  <c r="AF15" i="6"/>
  <c r="AE15" i="6"/>
  <c r="AD15" i="6"/>
  <c r="AC15" i="6"/>
  <c r="AB15" i="6"/>
  <c r="AA15" i="6"/>
  <c r="Z15" i="6"/>
  <c r="Y15" i="6"/>
  <c r="X15" i="6"/>
  <c r="W15" i="6"/>
  <c r="V15" i="6"/>
  <c r="U15" i="6"/>
  <c r="T15" i="6"/>
  <c r="S15" i="6"/>
  <c r="R15" i="6"/>
  <c r="Q15" i="6"/>
  <c r="P15" i="6"/>
  <c r="O15" i="6"/>
  <c r="N15" i="6"/>
  <c r="M15" i="6"/>
  <c r="L15" i="6"/>
  <c r="K15" i="6"/>
  <c r="J15" i="6"/>
  <c r="I15" i="6"/>
  <c r="H15" i="6"/>
  <c r="G15" i="6"/>
  <c r="F15" i="6"/>
  <c r="E15" i="6"/>
  <c r="D15" i="6"/>
  <c r="C15" i="6"/>
  <c r="AH14" i="6"/>
  <c r="AH13" i="6"/>
  <c r="AH15" i="6" s="1"/>
  <c r="AN11" i="6"/>
  <c r="AM11" i="6"/>
  <c r="AG11" i="6"/>
  <c r="AF11" i="6"/>
  <c r="AE11" i="6"/>
  <c r="AD11" i="6"/>
  <c r="AC11" i="6"/>
  <c r="AB11" i="6"/>
  <c r="AA11" i="6"/>
  <c r="Z11" i="6"/>
  <c r="Y11" i="6"/>
  <c r="X11" i="6"/>
  <c r="W11" i="6"/>
  <c r="V11" i="6"/>
  <c r="U11" i="6"/>
  <c r="T11" i="6"/>
  <c r="S11" i="6"/>
  <c r="R11" i="6"/>
  <c r="Q11" i="6"/>
  <c r="P11" i="6"/>
  <c r="O11" i="6"/>
  <c r="N11" i="6"/>
  <c r="M11" i="6"/>
  <c r="L11" i="6"/>
  <c r="K11" i="6"/>
  <c r="J11" i="6"/>
  <c r="I11" i="6"/>
  <c r="H11" i="6"/>
  <c r="G11" i="6"/>
  <c r="F11" i="6"/>
  <c r="E11" i="6"/>
  <c r="D11" i="6"/>
  <c r="C11" i="6"/>
  <c r="AH10" i="6"/>
  <c r="AH11" i="6" s="1"/>
  <c r="AH9" i="6"/>
  <c r="AN7" i="6"/>
  <c r="AM7" i="6"/>
  <c r="AG7" i="6"/>
  <c r="AF7" i="6"/>
  <c r="AE7" i="6"/>
  <c r="AD7" i="6"/>
  <c r="AC7" i="6"/>
  <c r="AB7" i="6"/>
  <c r="AA7" i="6"/>
  <c r="Z7" i="6"/>
  <c r="Y7" i="6"/>
  <c r="X7" i="6"/>
  <c r="W7" i="6"/>
  <c r="V7" i="6"/>
  <c r="U7" i="6"/>
  <c r="T7" i="6"/>
  <c r="S7" i="6"/>
  <c r="R7" i="6"/>
  <c r="Q7" i="6"/>
  <c r="P7" i="6"/>
  <c r="O7" i="6"/>
  <c r="N7" i="6"/>
  <c r="M7" i="6"/>
  <c r="L7" i="6"/>
  <c r="K7" i="6"/>
  <c r="J7" i="6"/>
  <c r="I7" i="6"/>
  <c r="H7" i="6"/>
  <c r="G7" i="6"/>
  <c r="F7" i="6"/>
  <c r="E7" i="6"/>
  <c r="D7" i="6"/>
  <c r="C7" i="6"/>
  <c r="AH6" i="6"/>
  <c r="AH5" i="6"/>
  <c r="AH7" i="6" s="1"/>
  <c r="AF3" i="6"/>
  <c r="AE3" i="6"/>
  <c r="AD3" i="6"/>
  <c r="AC3" i="6"/>
  <c r="AB3" i="6"/>
  <c r="AA3" i="6"/>
  <c r="Z3" i="6"/>
  <c r="Y3" i="6"/>
  <c r="X3" i="6"/>
  <c r="W3" i="6"/>
  <c r="V3" i="6"/>
  <c r="U3" i="6"/>
  <c r="T3" i="6"/>
  <c r="S3" i="6"/>
  <c r="R3" i="6"/>
  <c r="Q3" i="6"/>
  <c r="P3" i="6"/>
  <c r="O3" i="6"/>
  <c r="N3" i="6"/>
  <c r="M3" i="6"/>
  <c r="L3" i="6"/>
  <c r="K3" i="6"/>
  <c r="J3" i="6"/>
  <c r="I3" i="6"/>
  <c r="H3" i="6"/>
  <c r="G3" i="6"/>
  <c r="F3" i="6"/>
  <c r="E3" i="6"/>
  <c r="D3" i="6"/>
  <c r="C3" i="6"/>
  <c r="AN123" i="5"/>
  <c r="AG123" i="5"/>
  <c r="AF123" i="5"/>
  <c r="AE123" i="5"/>
  <c r="AD123" i="5"/>
  <c r="AC123" i="5"/>
  <c r="AB123" i="5"/>
  <c r="AA123" i="5"/>
  <c r="Z123" i="5"/>
  <c r="Y123" i="5"/>
  <c r="X123" i="5"/>
  <c r="W123" i="5"/>
  <c r="V123" i="5"/>
  <c r="U123" i="5"/>
  <c r="T123" i="5"/>
  <c r="S123" i="5"/>
  <c r="R123" i="5"/>
  <c r="Q123" i="5"/>
  <c r="P123" i="5"/>
  <c r="O123" i="5"/>
  <c r="N123" i="5"/>
  <c r="M123" i="5"/>
  <c r="L123" i="5"/>
  <c r="K123" i="5"/>
  <c r="J123" i="5"/>
  <c r="I123" i="5"/>
  <c r="H123" i="5"/>
  <c r="G123" i="5"/>
  <c r="F123" i="5"/>
  <c r="E123" i="5"/>
  <c r="D123" i="5"/>
  <c r="C123" i="5"/>
  <c r="AH122" i="5"/>
  <c r="AH123" i="5" s="1"/>
  <c r="AH121" i="5"/>
  <c r="AN119" i="5"/>
  <c r="AG119" i="5"/>
  <c r="AF119" i="5"/>
  <c r="AE119" i="5"/>
  <c r="AD119" i="5"/>
  <c r="AC119" i="5"/>
  <c r="AB119" i="5"/>
  <c r="AA119" i="5"/>
  <c r="Z119" i="5"/>
  <c r="Y119" i="5"/>
  <c r="X119" i="5"/>
  <c r="W119" i="5"/>
  <c r="V119" i="5"/>
  <c r="U119" i="5"/>
  <c r="T119" i="5"/>
  <c r="S119" i="5"/>
  <c r="R119" i="5"/>
  <c r="Q119" i="5"/>
  <c r="P119" i="5"/>
  <c r="O119" i="5"/>
  <c r="N119" i="5"/>
  <c r="M119" i="5"/>
  <c r="L119" i="5"/>
  <c r="K119" i="5"/>
  <c r="J119" i="5"/>
  <c r="I119" i="5"/>
  <c r="H119" i="5"/>
  <c r="G119" i="5"/>
  <c r="F119" i="5"/>
  <c r="E119" i="5"/>
  <c r="D119" i="5"/>
  <c r="C119" i="5"/>
  <c r="AH118" i="5"/>
  <c r="AH117" i="5"/>
  <c r="AH119" i="5" s="1"/>
  <c r="AN115" i="5"/>
  <c r="AG115" i="5"/>
  <c r="AF115" i="5"/>
  <c r="AE115" i="5"/>
  <c r="AD115" i="5"/>
  <c r="AC115" i="5"/>
  <c r="AB115" i="5"/>
  <c r="AA115" i="5"/>
  <c r="Z115" i="5"/>
  <c r="Y115" i="5"/>
  <c r="X115" i="5"/>
  <c r="W115" i="5"/>
  <c r="V115" i="5"/>
  <c r="U115" i="5"/>
  <c r="T115" i="5"/>
  <c r="S115" i="5"/>
  <c r="R115" i="5"/>
  <c r="Q115" i="5"/>
  <c r="P115" i="5"/>
  <c r="O115" i="5"/>
  <c r="N115" i="5"/>
  <c r="M115" i="5"/>
  <c r="L115" i="5"/>
  <c r="K115" i="5"/>
  <c r="J115" i="5"/>
  <c r="I115" i="5"/>
  <c r="H115" i="5"/>
  <c r="G115" i="5"/>
  <c r="F115" i="5"/>
  <c r="E115" i="5"/>
  <c r="D115" i="5"/>
  <c r="C115" i="5"/>
  <c r="AH114" i="5"/>
  <c r="AH115" i="5" s="1"/>
  <c r="AH113" i="5"/>
  <c r="AN111" i="5"/>
  <c r="AG111" i="5"/>
  <c r="AF111" i="5"/>
  <c r="AE111" i="5"/>
  <c r="AD111" i="5"/>
  <c r="AC111" i="5"/>
  <c r="AB111" i="5"/>
  <c r="AA111" i="5"/>
  <c r="Z111" i="5"/>
  <c r="Y111" i="5"/>
  <c r="X111" i="5"/>
  <c r="W111" i="5"/>
  <c r="V111" i="5"/>
  <c r="U111" i="5"/>
  <c r="T111" i="5"/>
  <c r="S111" i="5"/>
  <c r="R111" i="5"/>
  <c r="Q111" i="5"/>
  <c r="P111" i="5"/>
  <c r="O111" i="5"/>
  <c r="N111" i="5"/>
  <c r="M111" i="5"/>
  <c r="L111" i="5"/>
  <c r="K111" i="5"/>
  <c r="J111" i="5"/>
  <c r="I111" i="5"/>
  <c r="H111" i="5"/>
  <c r="G111" i="5"/>
  <c r="F111" i="5"/>
  <c r="E111" i="5"/>
  <c r="D111" i="5"/>
  <c r="C111" i="5"/>
  <c r="AH110" i="5"/>
  <c r="AH109" i="5"/>
  <c r="AH111" i="5" s="1"/>
  <c r="AN107" i="5"/>
  <c r="AH107" i="5"/>
  <c r="AG107" i="5"/>
  <c r="AF107" i="5"/>
  <c r="AE107" i="5"/>
  <c r="AD107" i="5"/>
  <c r="AC107" i="5"/>
  <c r="AB107" i="5"/>
  <c r="AA107" i="5"/>
  <c r="Z107" i="5"/>
  <c r="Y107" i="5"/>
  <c r="X107" i="5"/>
  <c r="W107" i="5"/>
  <c r="V107" i="5"/>
  <c r="U107" i="5"/>
  <c r="T107" i="5"/>
  <c r="S107" i="5"/>
  <c r="R107" i="5"/>
  <c r="Q107" i="5"/>
  <c r="P107" i="5"/>
  <c r="O107" i="5"/>
  <c r="N107" i="5"/>
  <c r="M107" i="5"/>
  <c r="L107" i="5"/>
  <c r="K107" i="5"/>
  <c r="J107" i="5"/>
  <c r="I107" i="5"/>
  <c r="H107" i="5"/>
  <c r="G107" i="5"/>
  <c r="F107" i="5"/>
  <c r="E107" i="5"/>
  <c r="D107" i="5"/>
  <c r="C107" i="5"/>
  <c r="AH106" i="5"/>
  <c r="AH105" i="5"/>
  <c r="AN103" i="5"/>
  <c r="AM103" i="5"/>
  <c r="AH103" i="5"/>
  <c r="AG103" i="5"/>
  <c r="AF103" i="5"/>
  <c r="AE103" i="5"/>
  <c r="AD103" i="5"/>
  <c r="AC103" i="5"/>
  <c r="AB103" i="5"/>
  <c r="AA103" i="5"/>
  <c r="Z103" i="5"/>
  <c r="Y103" i="5"/>
  <c r="X103" i="5"/>
  <c r="W103" i="5"/>
  <c r="V103" i="5"/>
  <c r="U103" i="5"/>
  <c r="T103" i="5"/>
  <c r="S103" i="5"/>
  <c r="R103" i="5"/>
  <c r="Q103" i="5"/>
  <c r="P103" i="5"/>
  <c r="O103" i="5"/>
  <c r="N103" i="5"/>
  <c r="M103" i="5"/>
  <c r="L103" i="5"/>
  <c r="K103" i="5"/>
  <c r="J103" i="5"/>
  <c r="I103" i="5"/>
  <c r="H103" i="5"/>
  <c r="G103" i="5"/>
  <c r="F103" i="5"/>
  <c r="E103" i="5"/>
  <c r="D103" i="5"/>
  <c r="C103" i="5"/>
  <c r="AH102" i="5"/>
  <c r="AH101" i="5"/>
  <c r="AN99" i="5"/>
  <c r="AM99" i="5"/>
  <c r="AH99" i="5"/>
  <c r="AG99" i="5"/>
  <c r="AF99" i="5"/>
  <c r="AE99" i="5"/>
  <c r="AD99" i="5"/>
  <c r="AC99" i="5"/>
  <c r="AB99" i="5"/>
  <c r="AA99" i="5"/>
  <c r="Z99" i="5"/>
  <c r="Y99" i="5"/>
  <c r="X99" i="5"/>
  <c r="W99" i="5"/>
  <c r="V99" i="5"/>
  <c r="U99" i="5"/>
  <c r="T99" i="5"/>
  <c r="S99" i="5"/>
  <c r="R99" i="5"/>
  <c r="Q99" i="5"/>
  <c r="P99" i="5"/>
  <c r="O99" i="5"/>
  <c r="N99" i="5"/>
  <c r="M99" i="5"/>
  <c r="L99" i="5"/>
  <c r="K99" i="5"/>
  <c r="J99" i="5"/>
  <c r="I99" i="5"/>
  <c r="H99" i="5"/>
  <c r="G99" i="5"/>
  <c r="F99" i="5"/>
  <c r="E99" i="5"/>
  <c r="D99" i="5"/>
  <c r="C99" i="5"/>
  <c r="AH98" i="5"/>
  <c r="AH97" i="5"/>
  <c r="AN95" i="5"/>
  <c r="AM95" i="5"/>
  <c r="AH95" i="5"/>
  <c r="AG95" i="5"/>
  <c r="AF95" i="5"/>
  <c r="AE95" i="5"/>
  <c r="AD95" i="5"/>
  <c r="AC95" i="5"/>
  <c r="AB95" i="5"/>
  <c r="AA95" i="5"/>
  <c r="Z95" i="5"/>
  <c r="Y95" i="5"/>
  <c r="X95" i="5"/>
  <c r="W95" i="5"/>
  <c r="V95" i="5"/>
  <c r="U95" i="5"/>
  <c r="T95" i="5"/>
  <c r="S95" i="5"/>
  <c r="R95" i="5"/>
  <c r="Q95" i="5"/>
  <c r="P95" i="5"/>
  <c r="O95" i="5"/>
  <c r="N95" i="5"/>
  <c r="M95" i="5"/>
  <c r="L95" i="5"/>
  <c r="K95" i="5"/>
  <c r="J95" i="5"/>
  <c r="I95" i="5"/>
  <c r="H95" i="5"/>
  <c r="G95" i="5"/>
  <c r="F95" i="5"/>
  <c r="E95" i="5"/>
  <c r="D95" i="5"/>
  <c r="C95" i="5"/>
  <c r="AH94" i="5"/>
  <c r="AH93" i="5"/>
  <c r="AN91" i="5"/>
  <c r="AM91" i="5"/>
  <c r="AH91" i="5"/>
  <c r="AG91" i="5"/>
  <c r="AF91" i="5"/>
  <c r="AE91" i="5"/>
  <c r="AD91" i="5"/>
  <c r="AC91" i="5"/>
  <c r="AB91" i="5"/>
  <c r="AA91" i="5"/>
  <c r="Z91" i="5"/>
  <c r="Y91" i="5"/>
  <c r="X91" i="5"/>
  <c r="W91" i="5"/>
  <c r="V91" i="5"/>
  <c r="U91" i="5"/>
  <c r="T91" i="5"/>
  <c r="S91" i="5"/>
  <c r="R91" i="5"/>
  <c r="Q91" i="5"/>
  <c r="P91" i="5"/>
  <c r="O91" i="5"/>
  <c r="N91" i="5"/>
  <c r="M91" i="5"/>
  <c r="L91" i="5"/>
  <c r="K91" i="5"/>
  <c r="J91" i="5"/>
  <c r="I91" i="5"/>
  <c r="H91" i="5"/>
  <c r="G91" i="5"/>
  <c r="F91" i="5"/>
  <c r="E91" i="5"/>
  <c r="D91" i="5"/>
  <c r="C91" i="5"/>
  <c r="AH90" i="5"/>
  <c r="AH89" i="5"/>
  <c r="AN87" i="5"/>
  <c r="AM87" i="5"/>
  <c r="AH87" i="5"/>
  <c r="AG87" i="5"/>
  <c r="AF87" i="5"/>
  <c r="AE87" i="5"/>
  <c r="AD87" i="5"/>
  <c r="AC87" i="5"/>
  <c r="AB87" i="5"/>
  <c r="AA87" i="5"/>
  <c r="Z87" i="5"/>
  <c r="Y87" i="5"/>
  <c r="X87" i="5"/>
  <c r="W87" i="5"/>
  <c r="V87" i="5"/>
  <c r="U87" i="5"/>
  <c r="T87" i="5"/>
  <c r="S87" i="5"/>
  <c r="R87" i="5"/>
  <c r="Q87" i="5"/>
  <c r="P87" i="5"/>
  <c r="O87" i="5"/>
  <c r="N87" i="5"/>
  <c r="M87" i="5"/>
  <c r="L87" i="5"/>
  <c r="K87" i="5"/>
  <c r="J87" i="5"/>
  <c r="I87" i="5"/>
  <c r="H87" i="5"/>
  <c r="G87" i="5"/>
  <c r="F87" i="5"/>
  <c r="E87" i="5"/>
  <c r="D87" i="5"/>
  <c r="C87" i="5"/>
  <c r="AH86" i="5"/>
  <c r="AH85" i="5"/>
  <c r="AN83" i="5"/>
  <c r="AM83" i="5"/>
  <c r="AH83" i="5"/>
  <c r="AG83" i="5"/>
  <c r="AF83" i="5"/>
  <c r="AE83" i="5"/>
  <c r="AD83" i="5"/>
  <c r="AC83" i="5"/>
  <c r="AB83" i="5"/>
  <c r="AA83" i="5"/>
  <c r="Z83" i="5"/>
  <c r="Y83" i="5"/>
  <c r="X83" i="5"/>
  <c r="W83" i="5"/>
  <c r="V83" i="5"/>
  <c r="U83" i="5"/>
  <c r="T83" i="5"/>
  <c r="S83" i="5"/>
  <c r="R83" i="5"/>
  <c r="Q83" i="5"/>
  <c r="P83" i="5"/>
  <c r="O83" i="5"/>
  <c r="N83" i="5"/>
  <c r="M83" i="5"/>
  <c r="L83" i="5"/>
  <c r="K83" i="5"/>
  <c r="J83" i="5"/>
  <c r="I83" i="5"/>
  <c r="H83" i="5"/>
  <c r="G83" i="5"/>
  <c r="F83" i="5"/>
  <c r="E83" i="5"/>
  <c r="D83" i="5"/>
  <c r="C83" i="5"/>
  <c r="AH82" i="5"/>
  <c r="AH81" i="5"/>
  <c r="AN79" i="5"/>
  <c r="AM79" i="5"/>
  <c r="AH79" i="5"/>
  <c r="AG79" i="5"/>
  <c r="AF79" i="5"/>
  <c r="AE79" i="5"/>
  <c r="AD79" i="5"/>
  <c r="AC79" i="5"/>
  <c r="AB79" i="5"/>
  <c r="AA79" i="5"/>
  <c r="Z79" i="5"/>
  <c r="Y79" i="5"/>
  <c r="X79" i="5"/>
  <c r="W79" i="5"/>
  <c r="V79" i="5"/>
  <c r="U79" i="5"/>
  <c r="T79" i="5"/>
  <c r="S79" i="5"/>
  <c r="R79" i="5"/>
  <c r="Q79" i="5"/>
  <c r="P79" i="5"/>
  <c r="O79" i="5"/>
  <c r="N79" i="5"/>
  <c r="M79" i="5"/>
  <c r="L79" i="5"/>
  <c r="K79" i="5"/>
  <c r="J79" i="5"/>
  <c r="I79" i="5"/>
  <c r="H79" i="5"/>
  <c r="G79" i="5"/>
  <c r="F79" i="5"/>
  <c r="E79" i="5"/>
  <c r="D79" i="5"/>
  <c r="C79" i="5"/>
  <c r="AH78" i="5"/>
  <c r="AH77" i="5"/>
  <c r="AN75" i="5"/>
  <c r="AM75" i="5"/>
  <c r="AG75" i="5"/>
  <c r="AF75" i="5"/>
  <c r="AE75" i="5"/>
  <c r="AD75" i="5"/>
  <c r="AC75" i="5"/>
  <c r="AB75" i="5"/>
  <c r="AA75" i="5"/>
  <c r="Z75" i="5"/>
  <c r="Y75" i="5"/>
  <c r="X75" i="5"/>
  <c r="W75" i="5"/>
  <c r="V75" i="5"/>
  <c r="U75" i="5"/>
  <c r="T75" i="5"/>
  <c r="S75" i="5"/>
  <c r="R75" i="5"/>
  <c r="Q75" i="5"/>
  <c r="P75" i="5"/>
  <c r="O75" i="5"/>
  <c r="N75" i="5"/>
  <c r="M75" i="5"/>
  <c r="L75" i="5"/>
  <c r="K75" i="5"/>
  <c r="J75" i="5"/>
  <c r="I75" i="5"/>
  <c r="H75" i="5"/>
  <c r="G75" i="5"/>
  <c r="F75" i="5"/>
  <c r="E75" i="5"/>
  <c r="D75" i="5"/>
  <c r="C75" i="5"/>
  <c r="AH74" i="5"/>
  <c r="AH73" i="5"/>
  <c r="AH75" i="5" s="1"/>
  <c r="AN71" i="5"/>
  <c r="AM71" i="5"/>
  <c r="AG71" i="5"/>
  <c r="AF71" i="5"/>
  <c r="AE71" i="5"/>
  <c r="AD71" i="5"/>
  <c r="AC71" i="5"/>
  <c r="AB71" i="5"/>
  <c r="AA71" i="5"/>
  <c r="Z71" i="5"/>
  <c r="Y71" i="5"/>
  <c r="X71" i="5"/>
  <c r="W71" i="5"/>
  <c r="V71" i="5"/>
  <c r="U71" i="5"/>
  <c r="T71" i="5"/>
  <c r="S71" i="5"/>
  <c r="R71" i="5"/>
  <c r="Q71" i="5"/>
  <c r="P71" i="5"/>
  <c r="O71" i="5"/>
  <c r="N71" i="5"/>
  <c r="M71" i="5"/>
  <c r="L71" i="5"/>
  <c r="K71" i="5"/>
  <c r="J71" i="5"/>
  <c r="I71" i="5"/>
  <c r="H71" i="5"/>
  <c r="G71" i="5"/>
  <c r="F71" i="5"/>
  <c r="E71" i="5"/>
  <c r="D71" i="5"/>
  <c r="C71" i="5"/>
  <c r="AH70" i="5"/>
  <c r="AH69" i="5"/>
  <c r="AH71" i="5" s="1"/>
  <c r="AN67" i="5"/>
  <c r="AM67" i="5"/>
  <c r="AG67" i="5"/>
  <c r="AF67" i="5"/>
  <c r="AE67" i="5"/>
  <c r="AD67" i="5"/>
  <c r="AC67" i="5"/>
  <c r="AB67" i="5"/>
  <c r="AA67" i="5"/>
  <c r="Z67" i="5"/>
  <c r="Y67" i="5"/>
  <c r="X67" i="5"/>
  <c r="W67" i="5"/>
  <c r="V67" i="5"/>
  <c r="U67" i="5"/>
  <c r="T67" i="5"/>
  <c r="S67" i="5"/>
  <c r="R67" i="5"/>
  <c r="Q67" i="5"/>
  <c r="P67" i="5"/>
  <c r="O67" i="5"/>
  <c r="N67" i="5"/>
  <c r="M67" i="5"/>
  <c r="L67" i="5"/>
  <c r="K67" i="5"/>
  <c r="J67" i="5"/>
  <c r="I67" i="5"/>
  <c r="H67" i="5"/>
  <c r="G67" i="5"/>
  <c r="F67" i="5"/>
  <c r="E67" i="5"/>
  <c r="D67" i="5"/>
  <c r="C67" i="5"/>
  <c r="AH66" i="5"/>
  <c r="AH65" i="5"/>
  <c r="AH67" i="5" s="1"/>
  <c r="AN63" i="5"/>
  <c r="AM63" i="5"/>
  <c r="AG63" i="5"/>
  <c r="AF63" i="5"/>
  <c r="AE63" i="5"/>
  <c r="AD63" i="5"/>
  <c r="AC63" i="5"/>
  <c r="AB63" i="5"/>
  <c r="AA63" i="5"/>
  <c r="Z63" i="5"/>
  <c r="Y63" i="5"/>
  <c r="X63" i="5"/>
  <c r="W63" i="5"/>
  <c r="V63" i="5"/>
  <c r="U63" i="5"/>
  <c r="T63" i="5"/>
  <c r="S63" i="5"/>
  <c r="R63" i="5"/>
  <c r="Q63" i="5"/>
  <c r="P63" i="5"/>
  <c r="O63" i="5"/>
  <c r="N63" i="5"/>
  <c r="M63" i="5"/>
  <c r="L63" i="5"/>
  <c r="K63" i="5"/>
  <c r="J63" i="5"/>
  <c r="I63" i="5"/>
  <c r="H63" i="5"/>
  <c r="G63" i="5"/>
  <c r="F63" i="5"/>
  <c r="E63" i="5"/>
  <c r="D63" i="5"/>
  <c r="C63" i="5"/>
  <c r="AH62" i="5"/>
  <c r="AH61" i="5"/>
  <c r="AH63" i="5" s="1"/>
  <c r="AN59" i="5"/>
  <c r="AG59" i="5"/>
  <c r="AF59" i="5"/>
  <c r="AE59" i="5"/>
  <c r="AD59" i="5"/>
  <c r="AC59" i="5"/>
  <c r="AB59" i="5"/>
  <c r="AA59" i="5"/>
  <c r="Z59" i="5"/>
  <c r="Y59" i="5"/>
  <c r="X59" i="5"/>
  <c r="W59" i="5"/>
  <c r="V59" i="5"/>
  <c r="U59" i="5"/>
  <c r="T59" i="5"/>
  <c r="S59" i="5"/>
  <c r="R59" i="5"/>
  <c r="Q59" i="5"/>
  <c r="P59" i="5"/>
  <c r="O59" i="5"/>
  <c r="N59" i="5"/>
  <c r="M59" i="5"/>
  <c r="L59" i="5"/>
  <c r="K59" i="5"/>
  <c r="J59" i="5"/>
  <c r="I59" i="5"/>
  <c r="H59" i="5"/>
  <c r="G59" i="5"/>
  <c r="F59" i="5"/>
  <c r="E59" i="5"/>
  <c r="D59" i="5"/>
  <c r="C59" i="5"/>
  <c r="AH58" i="5"/>
  <c r="AH57" i="5"/>
  <c r="AH59" i="5" s="1"/>
  <c r="AN55" i="5"/>
  <c r="AM55" i="5"/>
  <c r="AG55" i="5"/>
  <c r="AF55" i="5"/>
  <c r="AE55" i="5"/>
  <c r="AD55" i="5"/>
  <c r="AC55" i="5"/>
  <c r="AB55" i="5"/>
  <c r="AA55" i="5"/>
  <c r="Z55" i="5"/>
  <c r="Y55" i="5"/>
  <c r="X55" i="5"/>
  <c r="W55" i="5"/>
  <c r="V55" i="5"/>
  <c r="U55" i="5"/>
  <c r="T55" i="5"/>
  <c r="S55" i="5"/>
  <c r="R55" i="5"/>
  <c r="Q55" i="5"/>
  <c r="P55" i="5"/>
  <c r="O55" i="5"/>
  <c r="N55" i="5"/>
  <c r="M55" i="5"/>
  <c r="L55" i="5"/>
  <c r="K55" i="5"/>
  <c r="J55" i="5"/>
  <c r="I55" i="5"/>
  <c r="H55" i="5"/>
  <c r="G55" i="5"/>
  <c r="F55" i="5"/>
  <c r="E55" i="5"/>
  <c r="D55" i="5"/>
  <c r="C55" i="5"/>
  <c r="AH54" i="5"/>
  <c r="AH53" i="5"/>
  <c r="AH55" i="5" s="1"/>
  <c r="AN51" i="5"/>
  <c r="AM51" i="5"/>
  <c r="AG51" i="5"/>
  <c r="AF51" i="5"/>
  <c r="AE51" i="5"/>
  <c r="AD51" i="5"/>
  <c r="AC51" i="5"/>
  <c r="AB51" i="5"/>
  <c r="AA51" i="5"/>
  <c r="Z51" i="5"/>
  <c r="Y51" i="5"/>
  <c r="X51" i="5"/>
  <c r="W51" i="5"/>
  <c r="V51" i="5"/>
  <c r="U51" i="5"/>
  <c r="T51" i="5"/>
  <c r="S51" i="5"/>
  <c r="R51" i="5"/>
  <c r="Q51" i="5"/>
  <c r="P51" i="5"/>
  <c r="O51" i="5"/>
  <c r="N51" i="5"/>
  <c r="M51" i="5"/>
  <c r="L51" i="5"/>
  <c r="K51" i="5"/>
  <c r="J51" i="5"/>
  <c r="I51" i="5"/>
  <c r="H51" i="5"/>
  <c r="G51" i="5"/>
  <c r="F51" i="5"/>
  <c r="E51" i="5"/>
  <c r="D51" i="5"/>
  <c r="C51" i="5"/>
  <c r="AH50" i="5"/>
  <c r="AH49" i="5"/>
  <c r="AH51" i="5" s="1"/>
  <c r="AN47" i="5"/>
  <c r="AM47" i="5"/>
  <c r="AG47" i="5"/>
  <c r="AF47" i="5"/>
  <c r="AE47" i="5"/>
  <c r="AD47" i="5"/>
  <c r="AC47" i="5"/>
  <c r="AB47" i="5"/>
  <c r="AA47" i="5"/>
  <c r="Z47" i="5"/>
  <c r="Y47" i="5"/>
  <c r="X47" i="5"/>
  <c r="W47" i="5"/>
  <c r="V47" i="5"/>
  <c r="U47" i="5"/>
  <c r="T47" i="5"/>
  <c r="S47" i="5"/>
  <c r="R47" i="5"/>
  <c r="Q47" i="5"/>
  <c r="P47" i="5"/>
  <c r="O47" i="5"/>
  <c r="N47" i="5"/>
  <c r="M47" i="5"/>
  <c r="L47" i="5"/>
  <c r="K47" i="5"/>
  <c r="J47" i="5"/>
  <c r="I47" i="5"/>
  <c r="H47" i="5"/>
  <c r="G47" i="5"/>
  <c r="F47" i="5"/>
  <c r="E47" i="5"/>
  <c r="D47" i="5"/>
  <c r="C47" i="5"/>
  <c r="AH46" i="5"/>
  <c r="AH45" i="5"/>
  <c r="AH47" i="5" s="1"/>
  <c r="AN43" i="5"/>
  <c r="AM43" i="5"/>
  <c r="AG43" i="5"/>
  <c r="AF43" i="5"/>
  <c r="AE43" i="5"/>
  <c r="AD43" i="5"/>
  <c r="AC43" i="5"/>
  <c r="AB43" i="5"/>
  <c r="AA43" i="5"/>
  <c r="Z43" i="5"/>
  <c r="Y43" i="5"/>
  <c r="X43" i="5"/>
  <c r="W43" i="5"/>
  <c r="V43" i="5"/>
  <c r="U43" i="5"/>
  <c r="T43" i="5"/>
  <c r="S43" i="5"/>
  <c r="R43" i="5"/>
  <c r="Q43" i="5"/>
  <c r="P43" i="5"/>
  <c r="O43" i="5"/>
  <c r="N43" i="5"/>
  <c r="M43" i="5"/>
  <c r="L43" i="5"/>
  <c r="K43" i="5"/>
  <c r="J43" i="5"/>
  <c r="I43" i="5"/>
  <c r="H43" i="5"/>
  <c r="G43" i="5"/>
  <c r="F43" i="5"/>
  <c r="E43" i="5"/>
  <c r="D43" i="5"/>
  <c r="C43" i="5"/>
  <c r="AH42" i="5"/>
  <c r="AH41" i="5"/>
  <c r="AH43" i="5" s="1"/>
  <c r="AN39" i="5"/>
  <c r="AM39" i="5"/>
  <c r="AG39" i="5"/>
  <c r="AF39" i="5"/>
  <c r="AE39" i="5"/>
  <c r="AD39" i="5"/>
  <c r="AC39" i="5"/>
  <c r="AB39" i="5"/>
  <c r="AA39" i="5"/>
  <c r="Z39" i="5"/>
  <c r="Y39" i="5"/>
  <c r="X39" i="5"/>
  <c r="W39" i="5"/>
  <c r="V39" i="5"/>
  <c r="U39" i="5"/>
  <c r="T39" i="5"/>
  <c r="S39" i="5"/>
  <c r="R39" i="5"/>
  <c r="Q39" i="5"/>
  <c r="P39" i="5"/>
  <c r="O39" i="5"/>
  <c r="N39" i="5"/>
  <c r="M39" i="5"/>
  <c r="L39" i="5"/>
  <c r="K39" i="5"/>
  <c r="J39" i="5"/>
  <c r="I39" i="5"/>
  <c r="H39" i="5"/>
  <c r="G39" i="5"/>
  <c r="F39" i="5"/>
  <c r="E39" i="5"/>
  <c r="D39" i="5"/>
  <c r="C39" i="5"/>
  <c r="AH38" i="5"/>
  <c r="AH37" i="5"/>
  <c r="AH39" i="5" s="1"/>
  <c r="AN35" i="5"/>
  <c r="AM35" i="5"/>
  <c r="AG35" i="5"/>
  <c r="AF35" i="5"/>
  <c r="AE35" i="5"/>
  <c r="AD35" i="5"/>
  <c r="AC35" i="5"/>
  <c r="AB35" i="5"/>
  <c r="AA35" i="5"/>
  <c r="Z35" i="5"/>
  <c r="Y35" i="5"/>
  <c r="X35" i="5"/>
  <c r="W35" i="5"/>
  <c r="V35" i="5"/>
  <c r="U35" i="5"/>
  <c r="T35" i="5"/>
  <c r="S35" i="5"/>
  <c r="R35" i="5"/>
  <c r="Q35" i="5"/>
  <c r="P35" i="5"/>
  <c r="O35" i="5"/>
  <c r="N35" i="5"/>
  <c r="M35" i="5"/>
  <c r="L35" i="5"/>
  <c r="K35" i="5"/>
  <c r="J35" i="5"/>
  <c r="I35" i="5"/>
  <c r="H35" i="5"/>
  <c r="G35" i="5"/>
  <c r="F35" i="5"/>
  <c r="E35" i="5"/>
  <c r="D35" i="5"/>
  <c r="C35" i="5"/>
  <c r="AH34" i="5"/>
  <c r="AH33" i="5"/>
  <c r="AH35" i="5" s="1"/>
  <c r="AN32" i="5"/>
  <c r="AO32" i="5" s="1"/>
  <c r="AN31" i="5"/>
  <c r="AM31" i="5"/>
  <c r="AH31" i="5"/>
  <c r="AG31" i="5"/>
  <c r="AF31" i="5"/>
  <c r="AE31" i="5"/>
  <c r="AD31" i="5"/>
  <c r="AC31" i="5"/>
  <c r="AB31" i="5"/>
  <c r="AA31" i="5"/>
  <c r="Z31" i="5"/>
  <c r="Y31" i="5"/>
  <c r="X31" i="5"/>
  <c r="W31" i="5"/>
  <c r="V31" i="5"/>
  <c r="U31" i="5"/>
  <c r="T31" i="5"/>
  <c r="S31" i="5"/>
  <c r="R31" i="5"/>
  <c r="Q31" i="5"/>
  <c r="P31" i="5"/>
  <c r="O31" i="5"/>
  <c r="N31" i="5"/>
  <c r="M31" i="5"/>
  <c r="L31" i="5"/>
  <c r="K31" i="5"/>
  <c r="J31" i="5"/>
  <c r="I31" i="5"/>
  <c r="H31" i="5"/>
  <c r="G31" i="5"/>
  <c r="F31" i="5"/>
  <c r="E31" i="5"/>
  <c r="D31" i="5"/>
  <c r="C31" i="5"/>
  <c r="AH30" i="5"/>
  <c r="AH29" i="5"/>
  <c r="AN27" i="5"/>
  <c r="AM27" i="5"/>
  <c r="AH27" i="5"/>
  <c r="AG27" i="5"/>
  <c r="AF27" i="5"/>
  <c r="AE27" i="5"/>
  <c r="AD27" i="5"/>
  <c r="AC27" i="5"/>
  <c r="AB27" i="5"/>
  <c r="AA27" i="5"/>
  <c r="Z27" i="5"/>
  <c r="Y27" i="5"/>
  <c r="X27" i="5"/>
  <c r="W27" i="5"/>
  <c r="V27" i="5"/>
  <c r="U27" i="5"/>
  <c r="T27" i="5"/>
  <c r="S27" i="5"/>
  <c r="R27" i="5"/>
  <c r="Q27" i="5"/>
  <c r="P27" i="5"/>
  <c r="O27" i="5"/>
  <c r="N27" i="5"/>
  <c r="M27" i="5"/>
  <c r="L27" i="5"/>
  <c r="K27" i="5"/>
  <c r="J27" i="5"/>
  <c r="I27" i="5"/>
  <c r="H27" i="5"/>
  <c r="G27" i="5"/>
  <c r="F27" i="5"/>
  <c r="E27" i="5"/>
  <c r="D27" i="5"/>
  <c r="C27" i="5"/>
  <c r="AH26" i="5"/>
  <c r="AH25" i="5"/>
  <c r="AN23" i="5"/>
  <c r="AM23" i="5"/>
  <c r="AH23" i="5"/>
  <c r="AG23" i="5"/>
  <c r="AF23" i="5"/>
  <c r="AE23" i="5"/>
  <c r="AD23" i="5"/>
  <c r="AC23" i="5"/>
  <c r="AB23" i="5"/>
  <c r="AA23" i="5"/>
  <c r="Z23" i="5"/>
  <c r="Y23" i="5"/>
  <c r="X23" i="5"/>
  <c r="W23" i="5"/>
  <c r="V23" i="5"/>
  <c r="U23" i="5"/>
  <c r="T23" i="5"/>
  <c r="S23" i="5"/>
  <c r="R23" i="5"/>
  <c r="Q23" i="5"/>
  <c r="P23" i="5"/>
  <c r="O23" i="5"/>
  <c r="N23" i="5"/>
  <c r="M23" i="5"/>
  <c r="L23" i="5"/>
  <c r="K23" i="5"/>
  <c r="J23" i="5"/>
  <c r="I23" i="5"/>
  <c r="H23" i="5"/>
  <c r="G23" i="5"/>
  <c r="F23" i="5"/>
  <c r="E23" i="5"/>
  <c r="D23" i="5"/>
  <c r="C23" i="5"/>
  <c r="AH22" i="5"/>
  <c r="AH21" i="5"/>
  <c r="AN19" i="5"/>
  <c r="AM19" i="5"/>
  <c r="AH19" i="5"/>
  <c r="AG19" i="5"/>
  <c r="AF19" i="5"/>
  <c r="AE19" i="5"/>
  <c r="AD19" i="5"/>
  <c r="AC19" i="5"/>
  <c r="AB19" i="5"/>
  <c r="AA19" i="5"/>
  <c r="Z19" i="5"/>
  <c r="Y19" i="5"/>
  <c r="X19" i="5"/>
  <c r="W19" i="5"/>
  <c r="V19" i="5"/>
  <c r="U19" i="5"/>
  <c r="T19" i="5"/>
  <c r="S19" i="5"/>
  <c r="R19" i="5"/>
  <c r="Q19" i="5"/>
  <c r="P19" i="5"/>
  <c r="O19" i="5"/>
  <c r="N19" i="5"/>
  <c r="M19" i="5"/>
  <c r="L19" i="5"/>
  <c r="K19" i="5"/>
  <c r="J19" i="5"/>
  <c r="I19" i="5"/>
  <c r="H19" i="5"/>
  <c r="G19" i="5"/>
  <c r="F19" i="5"/>
  <c r="E19" i="5"/>
  <c r="D19" i="5"/>
  <c r="C19" i="5"/>
  <c r="AH18" i="5"/>
  <c r="AH17" i="5"/>
  <c r="AM15" i="5"/>
  <c r="AH15" i="5"/>
  <c r="AG15" i="5"/>
  <c r="AF15" i="5"/>
  <c r="AE15" i="5"/>
  <c r="AD15" i="5"/>
  <c r="AC15" i="5"/>
  <c r="AB15" i="5"/>
  <c r="AA15" i="5"/>
  <c r="Z15" i="5"/>
  <c r="Y15" i="5"/>
  <c r="X15" i="5"/>
  <c r="W15" i="5"/>
  <c r="V15" i="5"/>
  <c r="U15" i="5"/>
  <c r="T15" i="5"/>
  <c r="S15" i="5"/>
  <c r="R15" i="5"/>
  <c r="Q15" i="5"/>
  <c r="P15" i="5"/>
  <c r="O15" i="5"/>
  <c r="N15" i="5"/>
  <c r="M15" i="5"/>
  <c r="L15" i="5"/>
  <c r="K15" i="5"/>
  <c r="J15" i="5"/>
  <c r="I15" i="5"/>
  <c r="H15" i="5"/>
  <c r="G15" i="5"/>
  <c r="F15" i="5"/>
  <c r="E15" i="5"/>
  <c r="D15" i="5"/>
  <c r="C15" i="5"/>
  <c r="AH14" i="5"/>
  <c r="AH13" i="5"/>
  <c r="AN11" i="5"/>
  <c r="AM11" i="5"/>
  <c r="AH11" i="5"/>
  <c r="AG11" i="5"/>
  <c r="AF11" i="5"/>
  <c r="AE11" i="5"/>
  <c r="AD11" i="5"/>
  <c r="AC11" i="5"/>
  <c r="AB11" i="5"/>
  <c r="AA11" i="5"/>
  <c r="Z11" i="5"/>
  <c r="Y11" i="5"/>
  <c r="X11" i="5"/>
  <c r="W11" i="5"/>
  <c r="V11" i="5"/>
  <c r="U11" i="5"/>
  <c r="T11" i="5"/>
  <c r="S11" i="5"/>
  <c r="R11" i="5"/>
  <c r="Q11" i="5"/>
  <c r="P11" i="5"/>
  <c r="O11" i="5"/>
  <c r="N11" i="5"/>
  <c r="M11" i="5"/>
  <c r="L11" i="5"/>
  <c r="K11" i="5"/>
  <c r="J11" i="5"/>
  <c r="I11" i="5"/>
  <c r="H11" i="5"/>
  <c r="G11" i="5"/>
  <c r="F11" i="5"/>
  <c r="E11" i="5"/>
  <c r="D11" i="5"/>
  <c r="C11" i="5"/>
  <c r="AH10" i="5"/>
  <c r="AH9" i="5"/>
  <c r="AN7" i="5"/>
  <c r="AM7" i="5"/>
  <c r="AH7" i="5"/>
  <c r="AG7" i="5"/>
  <c r="AF7" i="5"/>
  <c r="AE7" i="5"/>
  <c r="AD7" i="5"/>
  <c r="AC7" i="5"/>
  <c r="AB7" i="5"/>
  <c r="AA7" i="5"/>
  <c r="Z7" i="5"/>
  <c r="Y7" i="5"/>
  <c r="X7" i="5"/>
  <c r="W7" i="5"/>
  <c r="V7" i="5"/>
  <c r="U7" i="5"/>
  <c r="T7" i="5"/>
  <c r="S7" i="5"/>
  <c r="R7" i="5"/>
  <c r="Q7" i="5"/>
  <c r="P7" i="5"/>
  <c r="O7" i="5"/>
  <c r="N7" i="5"/>
  <c r="M7" i="5"/>
  <c r="L7" i="5"/>
  <c r="K7" i="5"/>
  <c r="J7" i="5"/>
  <c r="I7" i="5"/>
  <c r="H7" i="5"/>
  <c r="G7" i="5"/>
  <c r="F7" i="5"/>
  <c r="E7" i="5"/>
  <c r="D7" i="5"/>
  <c r="C7" i="5"/>
  <c r="AH6" i="5"/>
  <c r="AH5" i="5"/>
  <c r="AG3" i="5"/>
  <c r="AF3" i="5"/>
  <c r="AE3" i="5"/>
  <c r="AD3" i="5"/>
  <c r="AC3" i="5"/>
  <c r="AB3" i="5"/>
  <c r="AA3" i="5"/>
  <c r="Z3" i="5"/>
  <c r="Y3" i="5"/>
  <c r="X3" i="5"/>
  <c r="W3" i="5"/>
  <c r="V3" i="5"/>
  <c r="U3" i="5"/>
  <c r="T3" i="5"/>
  <c r="S3" i="5"/>
  <c r="R3" i="5"/>
  <c r="Q3" i="5"/>
  <c r="P3" i="5"/>
  <c r="O3" i="5"/>
  <c r="N3" i="5"/>
  <c r="M3" i="5"/>
  <c r="L3" i="5"/>
  <c r="K3" i="5"/>
  <c r="J3" i="5"/>
  <c r="I3" i="5"/>
  <c r="H3" i="5"/>
  <c r="G3" i="5"/>
  <c r="F3" i="5"/>
  <c r="E3" i="5"/>
  <c r="D3" i="5"/>
  <c r="C3" i="5"/>
  <c r="AO123" i="4"/>
  <c r="AO123" i="5" s="1"/>
  <c r="AN123" i="4"/>
  <c r="AG123" i="4"/>
  <c r="AF123" i="4"/>
  <c r="AE123" i="4"/>
  <c r="AD123" i="4"/>
  <c r="AC123" i="4"/>
  <c r="AB123" i="4"/>
  <c r="AA123" i="4"/>
  <c r="Z123" i="4"/>
  <c r="Y123" i="4"/>
  <c r="X123" i="4"/>
  <c r="W123" i="4"/>
  <c r="V123" i="4"/>
  <c r="U123" i="4"/>
  <c r="T123" i="4"/>
  <c r="S123" i="4"/>
  <c r="R123" i="4"/>
  <c r="Q123" i="4"/>
  <c r="P123" i="4"/>
  <c r="O123" i="4"/>
  <c r="N123" i="4"/>
  <c r="M123" i="4"/>
  <c r="L123" i="4"/>
  <c r="K123" i="4"/>
  <c r="J123" i="4"/>
  <c r="I123" i="4"/>
  <c r="H123" i="4"/>
  <c r="G123" i="4"/>
  <c r="F123" i="4"/>
  <c r="E123" i="4"/>
  <c r="D123" i="4"/>
  <c r="C123" i="4"/>
  <c r="AH122" i="4"/>
  <c r="AH121" i="4"/>
  <c r="AH123" i="4" s="1"/>
  <c r="AN119" i="4"/>
  <c r="AO119" i="4" s="1"/>
  <c r="AH119" i="4"/>
  <c r="AG119" i="4"/>
  <c r="AF119" i="4"/>
  <c r="AE119" i="4"/>
  <c r="AD119" i="4"/>
  <c r="AC119" i="4"/>
  <c r="AB119" i="4"/>
  <c r="AA119" i="4"/>
  <c r="Z119" i="4"/>
  <c r="Y119" i="4"/>
  <c r="X119" i="4"/>
  <c r="W119" i="4"/>
  <c r="V119" i="4"/>
  <c r="U119" i="4"/>
  <c r="T119" i="4"/>
  <c r="S119" i="4"/>
  <c r="R119" i="4"/>
  <c r="Q119" i="4"/>
  <c r="P119" i="4"/>
  <c r="O119" i="4"/>
  <c r="N119" i="4"/>
  <c r="M119" i="4"/>
  <c r="L119" i="4"/>
  <c r="K119" i="4"/>
  <c r="J119" i="4"/>
  <c r="I119" i="4"/>
  <c r="H119" i="4"/>
  <c r="G119" i="4"/>
  <c r="F119" i="4"/>
  <c r="E119" i="4"/>
  <c r="D119" i="4"/>
  <c r="C119" i="4"/>
  <c r="AH118" i="4"/>
  <c r="AH117" i="4"/>
  <c r="AN115" i="4"/>
  <c r="AG115" i="4"/>
  <c r="AF115" i="4"/>
  <c r="AE115" i="4"/>
  <c r="AD115" i="4"/>
  <c r="AC115" i="4"/>
  <c r="AB115" i="4"/>
  <c r="AA115" i="4"/>
  <c r="Z115" i="4"/>
  <c r="Y115" i="4"/>
  <c r="X115" i="4"/>
  <c r="W115" i="4"/>
  <c r="V115" i="4"/>
  <c r="U115" i="4"/>
  <c r="T115" i="4"/>
  <c r="S115" i="4"/>
  <c r="R115" i="4"/>
  <c r="Q115" i="4"/>
  <c r="P115" i="4"/>
  <c r="O115" i="4"/>
  <c r="N115" i="4"/>
  <c r="M115" i="4"/>
  <c r="L115" i="4"/>
  <c r="K115" i="4"/>
  <c r="J115" i="4"/>
  <c r="I115" i="4"/>
  <c r="H115" i="4"/>
  <c r="G115" i="4"/>
  <c r="F115" i="4"/>
  <c r="E115" i="4"/>
  <c r="D115" i="4"/>
  <c r="C115" i="4"/>
  <c r="AH114" i="4"/>
  <c r="AH113" i="4"/>
  <c r="AH115" i="4" s="1"/>
  <c r="AN111" i="4"/>
  <c r="AH111" i="4"/>
  <c r="AG111" i="4"/>
  <c r="AF111" i="4"/>
  <c r="AE111" i="4"/>
  <c r="AD111" i="4"/>
  <c r="AC111" i="4"/>
  <c r="AB111" i="4"/>
  <c r="AA111" i="4"/>
  <c r="Z111" i="4"/>
  <c r="Y111" i="4"/>
  <c r="X111" i="4"/>
  <c r="W111" i="4"/>
  <c r="V111" i="4"/>
  <c r="U111" i="4"/>
  <c r="T111" i="4"/>
  <c r="S111" i="4"/>
  <c r="R111" i="4"/>
  <c r="Q111" i="4"/>
  <c r="P111" i="4"/>
  <c r="O111" i="4"/>
  <c r="N111" i="4"/>
  <c r="M111" i="4"/>
  <c r="L111" i="4"/>
  <c r="K111" i="4"/>
  <c r="J111" i="4"/>
  <c r="I111" i="4"/>
  <c r="H111" i="4"/>
  <c r="G111" i="4"/>
  <c r="F111" i="4"/>
  <c r="E111" i="4"/>
  <c r="D111" i="4"/>
  <c r="C111" i="4"/>
  <c r="AL110" i="4"/>
  <c r="AL110" i="5" s="1"/>
  <c r="AL110" i="6" s="1"/>
  <c r="AL110" i="7" s="1"/>
  <c r="AL110" i="8" s="1"/>
  <c r="AL110" i="9" s="1"/>
  <c r="AL110" i="10" s="1"/>
  <c r="AL110" i="11" s="1"/>
  <c r="AL110" i="12" s="1"/>
  <c r="AH110" i="4"/>
  <c r="AH109" i="4"/>
  <c r="AN107" i="4"/>
  <c r="AG107" i="4"/>
  <c r="AF107" i="4"/>
  <c r="AE107" i="4"/>
  <c r="AD107" i="4"/>
  <c r="AC107" i="4"/>
  <c r="AB107" i="4"/>
  <c r="AA107" i="4"/>
  <c r="Z107" i="4"/>
  <c r="Y107" i="4"/>
  <c r="X107" i="4"/>
  <c r="W107" i="4"/>
  <c r="V107" i="4"/>
  <c r="U107" i="4"/>
  <c r="T107" i="4"/>
  <c r="S107" i="4"/>
  <c r="R107" i="4"/>
  <c r="Q107" i="4"/>
  <c r="P107" i="4"/>
  <c r="O107" i="4"/>
  <c r="N107" i="4"/>
  <c r="M107" i="4"/>
  <c r="L107" i="4"/>
  <c r="K107" i="4"/>
  <c r="J107" i="4"/>
  <c r="I107" i="4"/>
  <c r="H107" i="4"/>
  <c r="G107" i="4"/>
  <c r="F107" i="4"/>
  <c r="E107" i="4"/>
  <c r="D107" i="4"/>
  <c r="C107" i="4"/>
  <c r="AH106" i="4"/>
  <c r="AH105" i="4"/>
  <c r="AH107" i="4" s="1"/>
  <c r="AN103" i="4"/>
  <c r="AM103" i="4"/>
  <c r="AG103" i="4"/>
  <c r="AF103" i="4"/>
  <c r="AE103" i="4"/>
  <c r="AD103" i="4"/>
  <c r="AC103" i="4"/>
  <c r="AB103" i="4"/>
  <c r="AA103" i="4"/>
  <c r="Z103" i="4"/>
  <c r="Y103" i="4"/>
  <c r="X103" i="4"/>
  <c r="W103" i="4"/>
  <c r="V103" i="4"/>
  <c r="U103" i="4"/>
  <c r="T103" i="4"/>
  <c r="S103" i="4"/>
  <c r="R103" i="4"/>
  <c r="Q103" i="4"/>
  <c r="P103" i="4"/>
  <c r="O103" i="4"/>
  <c r="N103" i="4"/>
  <c r="M103" i="4"/>
  <c r="L103" i="4"/>
  <c r="K103" i="4"/>
  <c r="J103" i="4"/>
  <c r="I103" i="4"/>
  <c r="H103" i="4"/>
  <c r="G103" i="4"/>
  <c r="F103" i="4"/>
  <c r="E103" i="4"/>
  <c r="D103" i="4"/>
  <c r="C103" i="4"/>
  <c r="AH102" i="4"/>
  <c r="AH103" i="4" s="1"/>
  <c r="AH101" i="4"/>
  <c r="AN99" i="4"/>
  <c r="AM99" i="4"/>
  <c r="AH99" i="4"/>
  <c r="AG99" i="4"/>
  <c r="AF99" i="4"/>
  <c r="AE99" i="4"/>
  <c r="AD99" i="4"/>
  <c r="AC99" i="4"/>
  <c r="AB99" i="4"/>
  <c r="AA99" i="4"/>
  <c r="Z99" i="4"/>
  <c r="Y99" i="4"/>
  <c r="X99" i="4"/>
  <c r="W99" i="4"/>
  <c r="V99" i="4"/>
  <c r="U99" i="4"/>
  <c r="T99" i="4"/>
  <c r="S99" i="4"/>
  <c r="R99" i="4"/>
  <c r="Q99" i="4"/>
  <c r="P99" i="4"/>
  <c r="O99" i="4"/>
  <c r="N99" i="4"/>
  <c r="M99" i="4"/>
  <c r="L99" i="4"/>
  <c r="K99" i="4"/>
  <c r="J99" i="4"/>
  <c r="I99" i="4"/>
  <c r="H99" i="4"/>
  <c r="G99" i="4"/>
  <c r="F99" i="4"/>
  <c r="E99" i="4"/>
  <c r="D99" i="4"/>
  <c r="C99" i="4"/>
  <c r="AL98" i="4"/>
  <c r="AL98" i="5" s="1"/>
  <c r="AL98" i="6" s="1"/>
  <c r="AL98" i="7" s="1"/>
  <c r="AL98" i="8" s="1"/>
  <c r="AL98" i="9" s="1"/>
  <c r="AL98" i="10" s="1"/>
  <c r="AL98" i="11" s="1"/>
  <c r="AL98" i="12" s="1"/>
  <c r="AH98" i="4"/>
  <c r="AH97" i="4"/>
  <c r="AN95" i="4"/>
  <c r="AM95" i="4"/>
  <c r="AH95" i="4"/>
  <c r="AG95" i="4"/>
  <c r="AF95" i="4"/>
  <c r="AE95" i="4"/>
  <c r="AD95" i="4"/>
  <c r="AC95" i="4"/>
  <c r="AB95" i="4"/>
  <c r="AA95" i="4"/>
  <c r="Z95" i="4"/>
  <c r="Y95" i="4"/>
  <c r="X95" i="4"/>
  <c r="W95" i="4"/>
  <c r="V95" i="4"/>
  <c r="U95" i="4"/>
  <c r="T95" i="4"/>
  <c r="S95" i="4"/>
  <c r="R95" i="4"/>
  <c r="Q95" i="4"/>
  <c r="P95" i="4"/>
  <c r="O95" i="4"/>
  <c r="N95" i="4"/>
  <c r="M95" i="4"/>
  <c r="L95" i="4"/>
  <c r="K95" i="4"/>
  <c r="J95" i="4"/>
  <c r="I95" i="4"/>
  <c r="H95" i="4"/>
  <c r="G95" i="4"/>
  <c r="F95" i="4"/>
  <c r="E95" i="4"/>
  <c r="D95" i="4"/>
  <c r="C95" i="4"/>
  <c r="AH94" i="4"/>
  <c r="AH93" i="4"/>
  <c r="AN91" i="4"/>
  <c r="AM91" i="4"/>
  <c r="AG91" i="4"/>
  <c r="AF91" i="4"/>
  <c r="AE91" i="4"/>
  <c r="AD91" i="4"/>
  <c r="AC91" i="4"/>
  <c r="AB91" i="4"/>
  <c r="AA91" i="4"/>
  <c r="Z91" i="4"/>
  <c r="Y91" i="4"/>
  <c r="X91" i="4"/>
  <c r="W91" i="4"/>
  <c r="V91" i="4"/>
  <c r="U91" i="4"/>
  <c r="T91" i="4"/>
  <c r="S91" i="4"/>
  <c r="R91" i="4"/>
  <c r="Q91" i="4"/>
  <c r="P91" i="4"/>
  <c r="O91" i="4"/>
  <c r="N91" i="4"/>
  <c r="M91" i="4"/>
  <c r="L91" i="4"/>
  <c r="K91" i="4"/>
  <c r="J91" i="4"/>
  <c r="I91" i="4"/>
  <c r="H91" i="4"/>
  <c r="G91" i="4"/>
  <c r="F91" i="4"/>
  <c r="E91" i="4"/>
  <c r="D91" i="4"/>
  <c r="C91" i="4"/>
  <c r="AH90" i="4"/>
  <c r="AH89" i="4"/>
  <c r="AH91" i="4" s="1"/>
  <c r="AN87" i="4"/>
  <c r="AM87" i="4"/>
  <c r="AG87" i="4"/>
  <c r="AF87" i="4"/>
  <c r="AE87" i="4"/>
  <c r="AD87" i="4"/>
  <c r="AC87" i="4"/>
  <c r="AB87" i="4"/>
  <c r="AA87" i="4"/>
  <c r="Z87" i="4"/>
  <c r="Y87" i="4"/>
  <c r="X87" i="4"/>
  <c r="W87" i="4"/>
  <c r="V87" i="4"/>
  <c r="U87" i="4"/>
  <c r="T87" i="4"/>
  <c r="S87" i="4"/>
  <c r="R87" i="4"/>
  <c r="Q87" i="4"/>
  <c r="P87" i="4"/>
  <c r="O87" i="4"/>
  <c r="N87" i="4"/>
  <c r="M87" i="4"/>
  <c r="L87" i="4"/>
  <c r="K87" i="4"/>
  <c r="J87" i="4"/>
  <c r="I87" i="4"/>
  <c r="H87" i="4"/>
  <c r="G87" i="4"/>
  <c r="F87" i="4"/>
  <c r="E87" i="4"/>
  <c r="D87" i="4"/>
  <c r="C87" i="4"/>
  <c r="AJ86" i="4"/>
  <c r="AJ86" i="5" s="1"/>
  <c r="AJ86" i="6" s="1"/>
  <c r="AJ86" i="7" s="1"/>
  <c r="AJ86" i="8" s="1"/>
  <c r="AJ86" i="9" s="1"/>
  <c r="AJ86" i="10" s="1"/>
  <c r="AJ86" i="11" s="1"/>
  <c r="AJ86" i="12" s="1"/>
  <c r="AH86" i="4"/>
  <c r="AH87" i="4" s="1"/>
  <c r="AH85" i="4"/>
  <c r="AN83" i="4"/>
  <c r="AM83" i="4"/>
  <c r="AH83" i="4"/>
  <c r="AG83" i="4"/>
  <c r="AF83" i="4"/>
  <c r="AE83" i="4"/>
  <c r="AD83" i="4"/>
  <c r="AC83" i="4"/>
  <c r="AB83" i="4"/>
  <c r="AA83" i="4"/>
  <c r="Z83" i="4"/>
  <c r="Y83" i="4"/>
  <c r="X83" i="4"/>
  <c r="W83" i="4"/>
  <c r="V83" i="4"/>
  <c r="U83" i="4"/>
  <c r="T83" i="4"/>
  <c r="S83" i="4"/>
  <c r="R83" i="4"/>
  <c r="Q83" i="4"/>
  <c r="P83" i="4"/>
  <c r="O83" i="4"/>
  <c r="N83" i="4"/>
  <c r="M83" i="4"/>
  <c r="L83" i="4"/>
  <c r="K83" i="4"/>
  <c r="J83" i="4"/>
  <c r="I83" i="4"/>
  <c r="H83" i="4"/>
  <c r="G83" i="4"/>
  <c r="F83" i="4"/>
  <c r="E83" i="4"/>
  <c r="D83" i="4"/>
  <c r="C83" i="4"/>
  <c r="AH82" i="4"/>
  <c r="AH81" i="4"/>
  <c r="AN79" i="4"/>
  <c r="AM79" i="4"/>
  <c r="AH79" i="4"/>
  <c r="AG79" i="4"/>
  <c r="AF79" i="4"/>
  <c r="AE79" i="4"/>
  <c r="AD79" i="4"/>
  <c r="AC79" i="4"/>
  <c r="AB79" i="4"/>
  <c r="AA79" i="4"/>
  <c r="Z79" i="4"/>
  <c r="Y79" i="4"/>
  <c r="X79" i="4"/>
  <c r="W79" i="4"/>
  <c r="V79" i="4"/>
  <c r="U79" i="4"/>
  <c r="T79" i="4"/>
  <c r="S79" i="4"/>
  <c r="R79" i="4"/>
  <c r="Q79" i="4"/>
  <c r="P79" i="4"/>
  <c r="O79" i="4"/>
  <c r="N79" i="4"/>
  <c r="M79" i="4"/>
  <c r="L79" i="4"/>
  <c r="K79" i="4"/>
  <c r="J79" i="4"/>
  <c r="I79" i="4"/>
  <c r="H79" i="4"/>
  <c r="G79" i="4"/>
  <c r="F79" i="4"/>
  <c r="E79" i="4"/>
  <c r="D79" i="4"/>
  <c r="C79" i="4"/>
  <c r="AH78" i="4"/>
  <c r="AH77" i="4"/>
  <c r="AN75" i="4"/>
  <c r="AM75" i="4"/>
  <c r="AG75" i="4"/>
  <c r="AF75" i="4"/>
  <c r="AE75" i="4"/>
  <c r="AD75" i="4"/>
  <c r="AC75" i="4"/>
  <c r="AB75" i="4"/>
  <c r="AA75" i="4"/>
  <c r="Z75" i="4"/>
  <c r="Y75" i="4"/>
  <c r="X75" i="4"/>
  <c r="W75" i="4"/>
  <c r="V75" i="4"/>
  <c r="U75" i="4"/>
  <c r="T75" i="4"/>
  <c r="S75" i="4"/>
  <c r="R75" i="4"/>
  <c r="Q75" i="4"/>
  <c r="P75" i="4"/>
  <c r="O75" i="4"/>
  <c r="N75" i="4"/>
  <c r="M75" i="4"/>
  <c r="L75" i="4"/>
  <c r="K75" i="4"/>
  <c r="J75" i="4"/>
  <c r="I75" i="4"/>
  <c r="H75" i="4"/>
  <c r="G75" i="4"/>
  <c r="F75" i="4"/>
  <c r="E75" i="4"/>
  <c r="D75" i="4"/>
  <c r="C75" i="4"/>
  <c r="AH74" i="4"/>
  <c r="AH73" i="4"/>
  <c r="AH75" i="4" s="1"/>
  <c r="AN71" i="4"/>
  <c r="AM71" i="4"/>
  <c r="AG71" i="4"/>
  <c r="AF71" i="4"/>
  <c r="AE71" i="4"/>
  <c r="AD71" i="4"/>
  <c r="AC71" i="4"/>
  <c r="AB71" i="4"/>
  <c r="AA71" i="4"/>
  <c r="Z71" i="4"/>
  <c r="Y71" i="4"/>
  <c r="X71" i="4"/>
  <c r="W71" i="4"/>
  <c r="V71" i="4"/>
  <c r="U71" i="4"/>
  <c r="T71" i="4"/>
  <c r="S71" i="4"/>
  <c r="R71" i="4"/>
  <c r="Q71" i="4"/>
  <c r="P71" i="4"/>
  <c r="O71" i="4"/>
  <c r="N71" i="4"/>
  <c r="M71" i="4"/>
  <c r="L71" i="4"/>
  <c r="K71" i="4"/>
  <c r="J71" i="4"/>
  <c r="I71" i="4"/>
  <c r="H71" i="4"/>
  <c r="G71" i="4"/>
  <c r="F71" i="4"/>
  <c r="E71" i="4"/>
  <c r="D71" i="4"/>
  <c r="C71" i="4"/>
  <c r="AH70" i="4"/>
  <c r="AH71" i="4" s="1"/>
  <c r="AH69" i="4"/>
  <c r="AN67" i="4"/>
  <c r="AM67" i="4"/>
  <c r="AH67" i="4"/>
  <c r="AG67" i="4"/>
  <c r="AF67" i="4"/>
  <c r="AE67" i="4"/>
  <c r="AD67" i="4"/>
  <c r="AC67" i="4"/>
  <c r="AB67" i="4"/>
  <c r="AA67" i="4"/>
  <c r="Z67" i="4"/>
  <c r="Y67" i="4"/>
  <c r="X67" i="4"/>
  <c r="W67" i="4"/>
  <c r="V67" i="4"/>
  <c r="U67" i="4"/>
  <c r="T67" i="4"/>
  <c r="S67" i="4"/>
  <c r="R67" i="4"/>
  <c r="Q67" i="4"/>
  <c r="P67" i="4"/>
  <c r="O67" i="4"/>
  <c r="N67" i="4"/>
  <c r="M67" i="4"/>
  <c r="L67" i="4"/>
  <c r="K67" i="4"/>
  <c r="J67" i="4"/>
  <c r="I67" i="4"/>
  <c r="H67" i="4"/>
  <c r="G67" i="4"/>
  <c r="F67" i="4"/>
  <c r="E67" i="4"/>
  <c r="D67" i="4"/>
  <c r="C67" i="4"/>
  <c r="AH66" i="4"/>
  <c r="AH65" i="4"/>
  <c r="AN63" i="4"/>
  <c r="AM63" i="4"/>
  <c r="AH63" i="4"/>
  <c r="AG63" i="4"/>
  <c r="AF63" i="4"/>
  <c r="AE63" i="4"/>
  <c r="AD63" i="4"/>
  <c r="AC63" i="4"/>
  <c r="AB63" i="4"/>
  <c r="AA63" i="4"/>
  <c r="Z63" i="4"/>
  <c r="Y63" i="4"/>
  <c r="X63" i="4"/>
  <c r="W63" i="4"/>
  <c r="V63" i="4"/>
  <c r="U63" i="4"/>
  <c r="T63" i="4"/>
  <c r="S63" i="4"/>
  <c r="R63" i="4"/>
  <c r="Q63" i="4"/>
  <c r="P63" i="4"/>
  <c r="O63" i="4"/>
  <c r="N63" i="4"/>
  <c r="M63" i="4"/>
  <c r="L63" i="4"/>
  <c r="K63" i="4"/>
  <c r="J63" i="4"/>
  <c r="I63" i="4"/>
  <c r="H63" i="4"/>
  <c r="G63" i="4"/>
  <c r="F63" i="4"/>
  <c r="E63" i="4"/>
  <c r="D63" i="4"/>
  <c r="C63" i="4"/>
  <c r="AH62" i="4"/>
  <c r="AI61" i="4"/>
  <c r="AH61" i="4"/>
  <c r="AN59" i="4"/>
  <c r="AG59" i="4"/>
  <c r="AF59" i="4"/>
  <c r="AE59" i="4"/>
  <c r="AD59" i="4"/>
  <c r="AC59" i="4"/>
  <c r="AB59" i="4"/>
  <c r="AA59" i="4"/>
  <c r="Z59" i="4"/>
  <c r="Y59" i="4"/>
  <c r="X59" i="4"/>
  <c r="W59" i="4"/>
  <c r="V59" i="4"/>
  <c r="U59" i="4"/>
  <c r="T59" i="4"/>
  <c r="S59" i="4"/>
  <c r="R59" i="4"/>
  <c r="Q59" i="4"/>
  <c r="P59" i="4"/>
  <c r="O59" i="4"/>
  <c r="N59" i="4"/>
  <c r="M59" i="4"/>
  <c r="L59" i="4"/>
  <c r="K59" i="4"/>
  <c r="J59" i="4"/>
  <c r="I59" i="4"/>
  <c r="H59" i="4"/>
  <c r="G59" i="4"/>
  <c r="F59" i="4"/>
  <c r="E59" i="4"/>
  <c r="D59" i="4"/>
  <c r="C59" i="4"/>
  <c r="AH58" i="4"/>
  <c r="AH59" i="4" s="1"/>
  <c r="AH57" i="4"/>
  <c r="AN55" i="4"/>
  <c r="AM55" i="4"/>
  <c r="AG55" i="4"/>
  <c r="AF55" i="4"/>
  <c r="AE55" i="4"/>
  <c r="AD55" i="4"/>
  <c r="AC55" i="4"/>
  <c r="AB55" i="4"/>
  <c r="AA55" i="4"/>
  <c r="Z55" i="4"/>
  <c r="Y55" i="4"/>
  <c r="X55" i="4"/>
  <c r="W55" i="4"/>
  <c r="V55" i="4"/>
  <c r="U55" i="4"/>
  <c r="T55" i="4"/>
  <c r="S55" i="4"/>
  <c r="R55" i="4"/>
  <c r="Q55" i="4"/>
  <c r="P55" i="4"/>
  <c r="O55" i="4"/>
  <c r="N55" i="4"/>
  <c r="M55" i="4"/>
  <c r="L55" i="4"/>
  <c r="K55" i="4"/>
  <c r="J55" i="4"/>
  <c r="I55" i="4"/>
  <c r="H55" i="4"/>
  <c r="G55" i="4"/>
  <c r="F55" i="4"/>
  <c r="E55" i="4"/>
  <c r="D55" i="4"/>
  <c r="C55" i="4"/>
  <c r="AH54" i="4"/>
  <c r="AH55" i="4" s="1"/>
  <c r="AH53" i="4"/>
  <c r="AN51" i="4"/>
  <c r="AM51" i="4"/>
  <c r="AG51" i="4"/>
  <c r="AF51" i="4"/>
  <c r="AE51" i="4"/>
  <c r="AD51" i="4"/>
  <c r="AC51" i="4"/>
  <c r="AB51" i="4"/>
  <c r="AA51" i="4"/>
  <c r="Z51" i="4"/>
  <c r="Y51" i="4"/>
  <c r="X51" i="4"/>
  <c r="W51" i="4"/>
  <c r="V51" i="4"/>
  <c r="U51" i="4"/>
  <c r="T51" i="4"/>
  <c r="S51" i="4"/>
  <c r="R51" i="4"/>
  <c r="Q51" i="4"/>
  <c r="P51" i="4"/>
  <c r="O51" i="4"/>
  <c r="N51" i="4"/>
  <c r="M51" i="4"/>
  <c r="L51" i="4"/>
  <c r="K51" i="4"/>
  <c r="J51" i="4"/>
  <c r="I51" i="4"/>
  <c r="H51" i="4"/>
  <c r="G51" i="4"/>
  <c r="F51" i="4"/>
  <c r="E51" i="4"/>
  <c r="D51" i="4"/>
  <c r="C51" i="4"/>
  <c r="AH50" i="4"/>
  <c r="AH49" i="4"/>
  <c r="AH51" i="4" s="1"/>
  <c r="AN47" i="4"/>
  <c r="AM47" i="4"/>
  <c r="AG47" i="4"/>
  <c r="AF47" i="4"/>
  <c r="AE47" i="4"/>
  <c r="AD47" i="4"/>
  <c r="AC47" i="4"/>
  <c r="AB47" i="4"/>
  <c r="AA47" i="4"/>
  <c r="Z47" i="4"/>
  <c r="Y47" i="4"/>
  <c r="X47" i="4"/>
  <c r="W47" i="4"/>
  <c r="V47" i="4"/>
  <c r="U47" i="4"/>
  <c r="T47" i="4"/>
  <c r="S47" i="4"/>
  <c r="R47" i="4"/>
  <c r="Q47" i="4"/>
  <c r="P47" i="4"/>
  <c r="O47" i="4"/>
  <c r="N47" i="4"/>
  <c r="M47" i="4"/>
  <c r="L47" i="4"/>
  <c r="K47" i="4"/>
  <c r="J47" i="4"/>
  <c r="I47" i="4"/>
  <c r="H47" i="4"/>
  <c r="G47" i="4"/>
  <c r="F47" i="4"/>
  <c r="E47" i="4"/>
  <c r="D47" i="4"/>
  <c r="C47" i="4"/>
  <c r="AH46" i="4"/>
  <c r="AH45" i="4"/>
  <c r="AH47" i="4" s="1"/>
  <c r="AN43" i="4"/>
  <c r="AM43" i="4"/>
  <c r="AG43" i="4"/>
  <c r="AF43" i="4"/>
  <c r="AE43" i="4"/>
  <c r="AD43" i="4"/>
  <c r="AC43" i="4"/>
  <c r="AB43" i="4"/>
  <c r="AA43" i="4"/>
  <c r="Z43" i="4"/>
  <c r="Y43" i="4"/>
  <c r="X43" i="4"/>
  <c r="W43" i="4"/>
  <c r="V43" i="4"/>
  <c r="U43" i="4"/>
  <c r="T43" i="4"/>
  <c r="S43" i="4"/>
  <c r="R43" i="4"/>
  <c r="Q43" i="4"/>
  <c r="P43" i="4"/>
  <c r="O43" i="4"/>
  <c r="N43" i="4"/>
  <c r="M43" i="4"/>
  <c r="L43" i="4"/>
  <c r="K43" i="4"/>
  <c r="J43" i="4"/>
  <c r="I43" i="4"/>
  <c r="H43" i="4"/>
  <c r="G43" i="4"/>
  <c r="F43" i="4"/>
  <c r="E43" i="4"/>
  <c r="D43" i="4"/>
  <c r="C43" i="4"/>
  <c r="AH42" i="4"/>
  <c r="AH43" i="4" s="1"/>
  <c r="AH41" i="4"/>
  <c r="AN39" i="4"/>
  <c r="AM39" i="4"/>
  <c r="AG39" i="4"/>
  <c r="AF39" i="4"/>
  <c r="AE39" i="4"/>
  <c r="AD39" i="4"/>
  <c r="AC39" i="4"/>
  <c r="AB39" i="4"/>
  <c r="AA39" i="4"/>
  <c r="Z39" i="4"/>
  <c r="Y39" i="4"/>
  <c r="X39" i="4"/>
  <c r="W39" i="4"/>
  <c r="V39" i="4"/>
  <c r="U39" i="4"/>
  <c r="T39" i="4"/>
  <c r="S39" i="4"/>
  <c r="R39" i="4"/>
  <c r="Q39" i="4"/>
  <c r="P39" i="4"/>
  <c r="O39" i="4"/>
  <c r="N39" i="4"/>
  <c r="M39" i="4"/>
  <c r="L39" i="4"/>
  <c r="K39" i="4"/>
  <c r="J39" i="4"/>
  <c r="I39" i="4"/>
  <c r="H39" i="4"/>
  <c r="G39" i="4"/>
  <c r="F39" i="4"/>
  <c r="E39" i="4"/>
  <c r="D39" i="4"/>
  <c r="C39" i="4"/>
  <c r="AH38" i="4"/>
  <c r="AH39" i="4" s="1"/>
  <c r="AH37" i="4"/>
  <c r="AN35" i="4"/>
  <c r="AM35" i="4"/>
  <c r="AG35" i="4"/>
  <c r="AF35" i="4"/>
  <c r="AE35" i="4"/>
  <c r="AD35" i="4"/>
  <c r="AC35" i="4"/>
  <c r="AB35" i="4"/>
  <c r="AA35" i="4"/>
  <c r="Z35" i="4"/>
  <c r="Y35" i="4"/>
  <c r="X35" i="4"/>
  <c r="W35" i="4"/>
  <c r="V35" i="4"/>
  <c r="U35" i="4"/>
  <c r="T35" i="4"/>
  <c r="S35" i="4"/>
  <c r="R35" i="4"/>
  <c r="Q35" i="4"/>
  <c r="P35" i="4"/>
  <c r="O35" i="4"/>
  <c r="N35" i="4"/>
  <c r="M35" i="4"/>
  <c r="L35" i="4"/>
  <c r="K35" i="4"/>
  <c r="J35" i="4"/>
  <c r="I35" i="4"/>
  <c r="H35" i="4"/>
  <c r="G35" i="4"/>
  <c r="F35" i="4"/>
  <c r="E35" i="4"/>
  <c r="D35" i="4"/>
  <c r="C35" i="4"/>
  <c r="AH34" i="4"/>
  <c r="AH35" i="4" s="1"/>
  <c r="AH33" i="4"/>
  <c r="AN31" i="4"/>
  <c r="AM31" i="4"/>
  <c r="AG31" i="4"/>
  <c r="AF31" i="4"/>
  <c r="AE31" i="4"/>
  <c r="AD31" i="4"/>
  <c r="AC31" i="4"/>
  <c r="AB31" i="4"/>
  <c r="AA31" i="4"/>
  <c r="Z31" i="4"/>
  <c r="Y31" i="4"/>
  <c r="X31" i="4"/>
  <c r="W31" i="4"/>
  <c r="V31" i="4"/>
  <c r="U31" i="4"/>
  <c r="T31" i="4"/>
  <c r="S31" i="4"/>
  <c r="R31" i="4"/>
  <c r="Q31" i="4"/>
  <c r="P31" i="4"/>
  <c r="O31" i="4"/>
  <c r="N31" i="4"/>
  <c r="M31" i="4"/>
  <c r="L31" i="4"/>
  <c r="K31" i="4"/>
  <c r="J31" i="4"/>
  <c r="I31" i="4"/>
  <c r="H31" i="4"/>
  <c r="G31" i="4"/>
  <c r="F31" i="4"/>
  <c r="E31" i="4"/>
  <c r="D31" i="4"/>
  <c r="C31" i="4"/>
  <c r="AH30" i="4"/>
  <c r="AH29" i="4"/>
  <c r="AH31" i="4" s="1"/>
  <c r="AN27" i="4"/>
  <c r="AM27" i="4"/>
  <c r="AG27" i="4"/>
  <c r="AF27" i="4"/>
  <c r="AE27" i="4"/>
  <c r="AD27" i="4"/>
  <c r="AC27" i="4"/>
  <c r="AB27" i="4"/>
  <c r="AA27" i="4"/>
  <c r="Z27" i="4"/>
  <c r="Y27" i="4"/>
  <c r="X27" i="4"/>
  <c r="W27" i="4"/>
  <c r="V27" i="4"/>
  <c r="U27" i="4"/>
  <c r="T27" i="4"/>
  <c r="S27" i="4"/>
  <c r="R27" i="4"/>
  <c r="Q27" i="4"/>
  <c r="P27" i="4"/>
  <c r="O27" i="4"/>
  <c r="N27" i="4"/>
  <c r="M27" i="4"/>
  <c r="L27" i="4"/>
  <c r="K27" i="4"/>
  <c r="J27" i="4"/>
  <c r="I27" i="4"/>
  <c r="H27" i="4"/>
  <c r="G27" i="4"/>
  <c r="F27" i="4"/>
  <c r="E27" i="4"/>
  <c r="D27" i="4"/>
  <c r="C27" i="4"/>
  <c r="AH26" i="4"/>
  <c r="AH27" i="4" s="1"/>
  <c r="AH25" i="4"/>
  <c r="AN23" i="4"/>
  <c r="AM23" i="4"/>
  <c r="AG23" i="4"/>
  <c r="AF23" i="4"/>
  <c r="AE23" i="4"/>
  <c r="AD23" i="4"/>
  <c r="AC23" i="4"/>
  <c r="AB23" i="4"/>
  <c r="AA23" i="4"/>
  <c r="Z23" i="4"/>
  <c r="Y23" i="4"/>
  <c r="X23" i="4"/>
  <c r="W23" i="4"/>
  <c r="V23" i="4"/>
  <c r="U23" i="4"/>
  <c r="T23" i="4"/>
  <c r="S23" i="4"/>
  <c r="R23" i="4"/>
  <c r="Q23" i="4"/>
  <c r="P23" i="4"/>
  <c r="O23" i="4"/>
  <c r="N23" i="4"/>
  <c r="M23" i="4"/>
  <c r="L23" i="4"/>
  <c r="K23" i="4"/>
  <c r="J23" i="4"/>
  <c r="I23" i="4"/>
  <c r="H23" i="4"/>
  <c r="G23" i="4"/>
  <c r="F23" i="4"/>
  <c r="E23" i="4"/>
  <c r="D23" i="4"/>
  <c r="C23" i="4"/>
  <c r="AH22" i="4"/>
  <c r="AH23" i="4" s="1"/>
  <c r="AH21" i="4"/>
  <c r="AN19" i="4"/>
  <c r="AM19" i="4"/>
  <c r="AG19" i="4"/>
  <c r="AF19" i="4"/>
  <c r="AE19" i="4"/>
  <c r="AD19" i="4"/>
  <c r="AC19" i="4"/>
  <c r="AB19" i="4"/>
  <c r="AA19" i="4"/>
  <c r="Z19" i="4"/>
  <c r="Y19" i="4"/>
  <c r="X19" i="4"/>
  <c r="W19" i="4"/>
  <c r="V19" i="4"/>
  <c r="U19" i="4"/>
  <c r="T19" i="4"/>
  <c r="S19" i="4"/>
  <c r="R19" i="4"/>
  <c r="Q19" i="4"/>
  <c r="P19" i="4"/>
  <c r="O19" i="4"/>
  <c r="N19" i="4"/>
  <c r="M19" i="4"/>
  <c r="L19" i="4"/>
  <c r="K19" i="4"/>
  <c r="J19" i="4"/>
  <c r="I19" i="4"/>
  <c r="H19" i="4"/>
  <c r="G19" i="4"/>
  <c r="F19" i="4"/>
  <c r="E19" i="4"/>
  <c r="D19" i="4"/>
  <c r="C19" i="4"/>
  <c r="AH18" i="4"/>
  <c r="AH19" i="4" s="1"/>
  <c r="AH17" i="4"/>
  <c r="AN15" i="4"/>
  <c r="AM15" i="4"/>
  <c r="AG15" i="4"/>
  <c r="AF15" i="4"/>
  <c r="AE15" i="4"/>
  <c r="AD15" i="4"/>
  <c r="AC15" i="4"/>
  <c r="AB15" i="4"/>
  <c r="AA15" i="4"/>
  <c r="Z15" i="4"/>
  <c r="Y15" i="4"/>
  <c r="X15" i="4"/>
  <c r="W15" i="4"/>
  <c r="V15" i="4"/>
  <c r="U15" i="4"/>
  <c r="T15" i="4"/>
  <c r="S15" i="4"/>
  <c r="R15" i="4"/>
  <c r="Q15" i="4"/>
  <c r="P15" i="4"/>
  <c r="O15" i="4"/>
  <c r="N15" i="4"/>
  <c r="M15" i="4"/>
  <c r="L15" i="4"/>
  <c r="K15" i="4"/>
  <c r="J15" i="4"/>
  <c r="I15" i="4"/>
  <c r="H15" i="4"/>
  <c r="G15" i="4"/>
  <c r="F15" i="4"/>
  <c r="E15" i="4"/>
  <c r="D15" i="4"/>
  <c r="C15" i="4"/>
  <c r="AH14" i="4"/>
  <c r="AH13" i="4"/>
  <c r="AH15" i="4" s="1"/>
  <c r="AN11" i="4"/>
  <c r="AM11" i="4"/>
  <c r="AG11" i="4"/>
  <c r="AF11" i="4"/>
  <c r="AE11" i="4"/>
  <c r="AD11" i="4"/>
  <c r="AC11" i="4"/>
  <c r="AB11" i="4"/>
  <c r="AA11" i="4"/>
  <c r="Z11" i="4"/>
  <c r="Y11" i="4"/>
  <c r="X11" i="4"/>
  <c r="W11" i="4"/>
  <c r="V11" i="4"/>
  <c r="U11" i="4"/>
  <c r="T11" i="4"/>
  <c r="S11" i="4"/>
  <c r="R11" i="4"/>
  <c r="Q11" i="4"/>
  <c r="P11" i="4"/>
  <c r="O11" i="4"/>
  <c r="N11" i="4"/>
  <c r="M11" i="4"/>
  <c r="L11" i="4"/>
  <c r="K11" i="4"/>
  <c r="J11" i="4"/>
  <c r="I11" i="4"/>
  <c r="H11" i="4"/>
  <c r="G11" i="4"/>
  <c r="F11" i="4"/>
  <c r="E11" i="4"/>
  <c r="D11" i="4"/>
  <c r="C11" i="4"/>
  <c r="AH10" i="4"/>
  <c r="AH11" i="4" s="1"/>
  <c r="AH9" i="4"/>
  <c r="AN7" i="4"/>
  <c r="AM7" i="4"/>
  <c r="AG7" i="4"/>
  <c r="AF7" i="4"/>
  <c r="AE7" i="4"/>
  <c r="AD7" i="4"/>
  <c r="AC7" i="4"/>
  <c r="AB7" i="4"/>
  <c r="AA7" i="4"/>
  <c r="Z7" i="4"/>
  <c r="Y7" i="4"/>
  <c r="X7" i="4"/>
  <c r="W7" i="4"/>
  <c r="V7" i="4"/>
  <c r="U7" i="4"/>
  <c r="T7" i="4"/>
  <c r="S7" i="4"/>
  <c r="R7" i="4"/>
  <c r="Q7" i="4"/>
  <c r="P7" i="4"/>
  <c r="O7" i="4"/>
  <c r="N7" i="4"/>
  <c r="M7" i="4"/>
  <c r="L7" i="4"/>
  <c r="K7" i="4"/>
  <c r="J7" i="4"/>
  <c r="I7" i="4"/>
  <c r="H7" i="4"/>
  <c r="G7" i="4"/>
  <c r="F7" i="4"/>
  <c r="E7" i="4"/>
  <c r="D7" i="4"/>
  <c r="C7" i="4"/>
  <c r="AH6" i="4"/>
  <c r="AH7" i="4" s="1"/>
  <c r="AH5" i="4"/>
  <c r="AF3" i="4"/>
  <c r="AE3" i="4"/>
  <c r="AD3" i="4"/>
  <c r="AC3" i="4"/>
  <c r="AB3" i="4"/>
  <c r="AA3" i="4"/>
  <c r="Z3" i="4"/>
  <c r="Y3" i="4"/>
  <c r="X3" i="4"/>
  <c r="W3" i="4"/>
  <c r="V3" i="4"/>
  <c r="U3" i="4"/>
  <c r="T3" i="4"/>
  <c r="S3" i="4"/>
  <c r="R3" i="4"/>
  <c r="Q3" i="4"/>
  <c r="P3" i="4"/>
  <c r="O3" i="4"/>
  <c r="N3" i="4"/>
  <c r="M3" i="4"/>
  <c r="L3" i="4"/>
  <c r="K3" i="4"/>
  <c r="J3" i="4"/>
  <c r="I3" i="4"/>
  <c r="H3" i="4"/>
  <c r="G3" i="4"/>
  <c r="F3" i="4"/>
  <c r="E3" i="4"/>
  <c r="D3" i="4"/>
  <c r="C3" i="4"/>
  <c r="AN123" i="3"/>
  <c r="AO123" i="3" s="1"/>
  <c r="AH123" i="3"/>
  <c r="AG123" i="3"/>
  <c r="AF123" i="3"/>
  <c r="AE123" i="3"/>
  <c r="AD123" i="3"/>
  <c r="AC123" i="3"/>
  <c r="AB123" i="3"/>
  <c r="AA123" i="3"/>
  <c r="Z123" i="3"/>
  <c r="Y123" i="3"/>
  <c r="X123" i="3"/>
  <c r="W123" i="3"/>
  <c r="V123" i="3"/>
  <c r="U123" i="3"/>
  <c r="T123" i="3"/>
  <c r="S123" i="3"/>
  <c r="R123" i="3"/>
  <c r="Q123" i="3"/>
  <c r="P123" i="3"/>
  <c r="O123" i="3"/>
  <c r="N123" i="3"/>
  <c r="M123" i="3"/>
  <c r="L123" i="3"/>
  <c r="K123" i="3"/>
  <c r="J123" i="3"/>
  <c r="I123" i="3"/>
  <c r="H123" i="3"/>
  <c r="G123" i="3"/>
  <c r="F123" i="3"/>
  <c r="E123" i="3"/>
  <c r="D123" i="3"/>
  <c r="C123" i="3"/>
  <c r="AH122" i="3"/>
  <c r="AH121" i="3"/>
  <c r="AO119" i="3"/>
  <c r="AN119" i="3"/>
  <c r="AG119" i="3"/>
  <c r="AE119" i="3"/>
  <c r="AD119" i="3"/>
  <c r="AC119" i="3"/>
  <c r="AB119" i="3"/>
  <c r="AA119" i="3"/>
  <c r="Z119" i="3"/>
  <c r="W119" i="3"/>
  <c r="V119" i="3"/>
  <c r="U119" i="3"/>
  <c r="T119" i="3"/>
  <c r="S119" i="3"/>
  <c r="R119" i="3"/>
  <c r="Q119" i="3"/>
  <c r="P119" i="3"/>
  <c r="O119" i="3"/>
  <c r="N119" i="3"/>
  <c r="M119" i="3"/>
  <c r="L119" i="3"/>
  <c r="K119" i="3"/>
  <c r="J119" i="3"/>
  <c r="I119" i="3"/>
  <c r="H119" i="3"/>
  <c r="G119" i="3"/>
  <c r="F119" i="3"/>
  <c r="E119" i="3"/>
  <c r="D119" i="3"/>
  <c r="C119" i="3"/>
  <c r="AH118" i="3"/>
  <c r="AH117" i="3"/>
  <c r="AN115" i="3"/>
  <c r="AG115" i="3"/>
  <c r="AE115" i="3"/>
  <c r="AD115" i="3"/>
  <c r="AC115" i="3"/>
  <c r="AB115" i="3"/>
  <c r="AA115" i="3"/>
  <c r="Z115" i="3"/>
  <c r="W115" i="3"/>
  <c r="V115" i="3"/>
  <c r="U115" i="3"/>
  <c r="T115" i="3"/>
  <c r="S115" i="3"/>
  <c r="R115" i="3"/>
  <c r="Q115" i="3"/>
  <c r="P115" i="3"/>
  <c r="O115" i="3"/>
  <c r="N115" i="3"/>
  <c r="M115" i="3"/>
  <c r="L115" i="3"/>
  <c r="K115" i="3"/>
  <c r="J115" i="3"/>
  <c r="I115" i="3"/>
  <c r="H115" i="3"/>
  <c r="G115" i="3"/>
  <c r="F115" i="3"/>
  <c r="E115" i="3"/>
  <c r="D115" i="3"/>
  <c r="C115" i="3"/>
  <c r="AH114" i="3"/>
  <c r="AH113" i="3"/>
  <c r="AH115" i="3" s="1"/>
  <c r="AN111" i="3"/>
  <c r="AG111" i="3"/>
  <c r="AF111" i="3"/>
  <c r="AE111" i="3"/>
  <c r="AD111" i="3"/>
  <c r="AC111" i="3"/>
  <c r="AB111" i="3"/>
  <c r="AA111" i="3"/>
  <c r="Z111" i="3"/>
  <c r="Y111" i="3"/>
  <c r="X111" i="3"/>
  <c r="W111" i="3"/>
  <c r="V111" i="3"/>
  <c r="U111" i="3"/>
  <c r="T111" i="3"/>
  <c r="S111" i="3"/>
  <c r="R111" i="3"/>
  <c r="Q111" i="3"/>
  <c r="P111" i="3"/>
  <c r="O111" i="3"/>
  <c r="N111" i="3"/>
  <c r="M111" i="3"/>
  <c r="L111" i="3"/>
  <c r="K111" i="3"/>
  <c r="J111" i="3"/>
  <c r="I111" i="3"/>
  <c r="H111" i="3"/>
  <c r="G111" i="3"/>
  <c r="F111" i="3"/>
  <c r="E111" i="3"/>
  <c r="D111" i="3"/>
  <c r="C111" i="3"/>
  <c r="AH110" i="3"/>
  <c r="AH109" i="3"/>
  <c r="AH111" i="3" s="1"/>
  <c r="AN107" i="3"/>
  <c r="AO107" i="3" s="1"/>
  <c r="AO107" i="4" s="1"/>
  <c r="AO107" i="5" s="1"/>
  <c r="AG107" i="3"/>
  <c r="AF107" i="3"/>
  <c r="AE107" i="3"/>
  <c r="AD107" i="3"/>
  <c r="AC107" i="3"/>
  <c r="AB107" i="3"/>
  <c r="AA107" i="3"/>
  <c r="Z107" i="3"/>
  <c r="Y107" i="3"/>
  <c r="X107" i="3"/>
  <c r="W107" i="3"/>
  <c r="V107" i="3"/>
  <c r="U107" i="3"/>
  <c r="T107" i="3"/>
  <c r="S107" i="3"/>
  <c r="R107" i="3"/>
  <c r="Q107" i="3"/>
  <c r="P107" i="3"/>
  <c r="O107" i="3"/>
  <c r="N107" i="3"/>
  <c r="M107" i="3"/>
  <c r="L107" i="3"/>
  <c r="K107" i="3"/>
  <c r="J107" i="3"/>
  <c r="I107" i="3"/>
  <c r="H107" i="3"/>
  <c r="G107" i="3"/>
  <c r="F107" i="3"/>
  <c r="E107" i="3"/>
  <c r="D107" i="3"/>
  <c r="C107" i="3"/>
  <c r="AH106" i="3"/>
  <c r="AH105" i="3"/>
  <c r="AH107" i="3" s="1"/>
  <c r="AN103" i="3"/>
  <c r="AM103" i="3"/>
  <c r="AG103" i="3"/>
  <c r="AF103" i="3"/>
  <c r="AE103" i="3"/>
  <c r="AD103" i="3"/>
  <c r="AC103" i="3"/>
  <c r="AB103" i="3"/>
  <c r="AA103" i="3"/>
  <c r="Z103" i="3"/>
  <c r="Y103" i="3"/>
  <c r="X103" i="3"/>
  <c r="W103" i="3"/>
  <c r="V103" i="3"/>
  <c r="U103" i="3"/>
  <c r="T103" i="3"/>
  <c r="S103" i="3"/>
  <c r="R103" i="3"/>
  <c r="Q103" i="3"/>
  <c r="P103" i="3"/>
  <c r="O103" i="3"/>
  <c r="N103" i="3"/>
  <c r="M103" i="3"/>
  <c r="L103" i="3"/>
  <c r="K103" i="3"/>
  <c r="J103" i="3"/>
  <c r="I103" i="3"/>
  <c r="H103" i="3"/>
  <c r="G103" i="3"/>
  <c r="F103" i="3"/>
  <c r="E103" i="3"/>
  <c r="D103" i="3"/>
  <c r="C103" i="3"/>
  <c r="AH102" i="3"/>
  <c r="AH103" i="3" s="1"/>
  <c r="AI101" i="3"/>
  <c r="AH101" i="3"/>
  <c r="AN99" i="3"/>
  <c r="AM99" i="3"/>
  <c r="AG99" i="3"/>
  <c r="AE99" i="3"/>
  <c r="AD99" i="3"/>
  <c r="AC99" i="3"/>
  <c r="AB99" i="3"/>
  <c r="AA99" i="3"/>
  <c r="Z99" i="3"/>
  <c r="W99" i="3"/>
  <c r="V99" i="3"/>
  <c r="U99" i="3"/>
  <c r="T99" i="3"/>
  <c r="S99" i="3"/>
  <c r="R99" i="3"/>
  <c r="Q99" i="3"/>
  <c r="P99" i="3"/>
  <c r="O99" i="3"/>
  <c r="N99" i="3"/>
  <c r="M99" i="3"/>
  <c r="L99" i="3"/>
  <c r="K99" i="3"/>
  <c r="J99" i="3"/>
  <c r="I99" i="3"/>
  <c r="H99" i="3"/>
  <c r="G99" i="3"/>
  <c r="F99" i="3"/>
  <c r="E99" i="3"/>
  <c r="D99" i="3"/>
  <c r="C99" i="3"/>
  <c r="AH98" i="3"/>
  <c r="AH99" i="3" s="1"/>
  <c r="AH97" i="3"/>
  <c r="AN95" i="3"/>
  <c r="AM95" i="3"/>
  <c r="AH95" i="3"/>
  <c r="AG95" i="3"/>
  <c r="AF95" i="3"/>
  <c r="AE95" i="3"/>
  <c r="AD95" i="3"/>
  <c r="AC95" i="3"/>
  <c r="AB95" i="3"/>
  <c r="AA95" i="3"/>
  <c r="Z95" i="3"/>
  <c r="Y95" i="3"/>
  <c r="X95" i="3"/>
  <c r="W95" i="3"/>
  <c r="V95" i="3"/>
  <c r="U95" i="3"/>
  <c r="T95" i="3"/>
  <c r="S95" i="3"/>
  <c r="R95" i="3"/>
  <c r="Q95" i="3"/>
  <c r="P95" i="3"/>
  <c r="O95" i="3"/>
  <c r="N95" i="3"/>
  <c r="M95" i="3"/>
  <c r="L95" i="3"/>
  <c r="K95" i="3"/>
  <c r="J95" i="3"/>
  <c r="I95" i="3"/>
  <c r="H95" i="3"/>
  <c r="G95" i="3"/>
  <c r="F95" i="3"/>
  <c r="E95" i="3"/>
  <c r="D95" i="3"/>
  <c r="C95" i="3"/>
  <c r="AH94" i="3"/>
  <c r="AH93" i="3"/>
  <c r="AN91" i="3"/>
  <c r="AM91" i="3"/>
  <c r="AG91" i="3"/>
  <c r="AF91" i="3"/>
  <c r="AE91" i="3"/>
  <c r="AD91" i="3"/>
  <c r="AC91" i="3"/>
  <c r="AB91" i="3"/>
  <c r="AA91" i="3"/>
  <c r="Z91" i="3"/>
  <c r="Y91" i="3"/>
  <c r="X91" i="3"/>
  <c r="W91" i="3"/>
  <c r="V91" i="3"/>
  <c r="U91" i="3"/>
  <c r="T91" i="3"/>
  <c r="S91" i="3"/>
  <c r="R91" i="3"/>
  <c r="Q91" i="3"/>
  <c r="P91" i="3"/>
  <c r="O91" i="3"/>
  <c r="N91" i="3"/>
  <c r="M91" i="3"/>
  <c r="L91" i="3"/>
  <c r="K91" i="3"/>
  <c r="J91" i="3"/>
  <c r="I91" i="3"/>
  <c r="H91" i="3"/>
  <c r="G91" i="3"/>
  <c r="F91" i="3"/>
  <c r="E91" i="3"/>
  <c r="D91" i="3"/>
  <c r="C91" i="3"/>
  <c r="AH90" i="3"/>
  <c r="AH89" i="3"/>
  <c r="AH91" i="3" s="1"/>
  <c r="AN87" i="3"/>
  <c r="AM87" i="3"/>
  <c r="AG87" i="3"/>
  <c r="AF87" i="3"/>
  <c r="AE87" i="3"/>
  <c r="AD87" i="3"/>
  <c r="AC87" i="3"/>
  <c r="AB87" i="3"/>
  <c r="AA87" i="3"/>
  <c r="Z87" i="3"/>
  <c r="Y87" i="3"/>
  <c r="X87" i="3"/>
  <c r="W87" i="3"/>
  <c r="V87" i="3"/>
  <c r="U87" i="3"/>
  <c r="T87" i="3"/>
  <c r="S87" i="3"/>
  <c r="R87" i="3"/>
  <c r="Q87" i="3"/>
  <c r="P87" i="3"/>
  <c r="O87" i="3"/>
  <c r="N87" i="3"/>
  <c r="M87" i="3"/>
  <c r="L87" i="3"/>
  <c r="K87" i="3"/>
  <c r="J87" i="3"/>
  <c r="I87" i="3"/>
  <c r="H87" i="3"/>
  <c r="G87" i="3"/>
  <c r="F87" i="3"/>
  <c r="E87" i="3"/>
  <c r="D87" i="3"/>
  <c r="C87" i="3"/>
  <c r="AK86" i="3"/>
  <c r="AK86" i="4" s="1"/>
  <c r="AK86" i="5" s="1"/>
  <c r="AK86" i="6" s="1"/>
  <c r="AK86" i="7" s="1"/>
  <c r="AK86" i="8" s="1"/>
  <c r="AK86" i="9" s="1"/>
  <c r="AK86" i="10" s="1"/>
  <c r="AK86" i="11" s="1"/>
  <c r="AK86" i="12" s="1"/>
  <c r="AH86" i="3"/>
  <c r="AH85" i="3"/>
  <c r="AH87" i="3" s="1"/>
  <c r="AN83" i="3"/>
  <c r="AM83" i="3"/>
  <c r="AH83" i="3"/>
  <c r="AG83" i="3"/>
  <c r="AF83" i="3"/>
  <c r="AE83" i="3"/>
  <c r="AD83" i="3"/>
  <c r="AC83" i="3"/>
  <c r="AB83" i="3"/>
  <c r="AA83" i="3"/>
  <c r="Z83" i="3"/>
  <c r="Y83" i="3"/>
  <c r="X83" i="3"/>
  <c r="W83" i="3"/>
  <c r="V83" i="3"/>
  <c r="U83" i="3"/>
  <c r="T83" i="3"/>
  <c r="S83" i="3"/>
  <c r="R83" i="3"/>
  <c r="Q83" i="3"/>
  <c r="P83" i="3"/>
  <c r="O83" i="3"/>
  <c r="N83" i="3"/>
  <c r="M83" i="3"/>
  <c r="L83" i="3"/>
  <c r="K83" i="3"/>
  <c r="J83" i="3"/>
  <c r="I83" i="3"/>
  <c r="H83" i="3"/>
  <c r="G83" i="3"/>
  <c r="F83" i="3"/>
  <c r="E83" i="3"/>
  <c r="D83" i="3"/>
  <c r="C83" i="3"/>
  <c r="AJ82" i="3"/>
  <c r="AJ82" i="4" s="1"/>
  <c r="AJ82" i="5" s="1"/>
  <c r="AJ82" i="6" s="1"/>
  <c r="AJ82" i="7" s="1"/>
  <c r="AJ82" i="8" s="1"/>
  <c r="AJ82" i="9" s="1"/>
  <c r="AJ82" i="10" s="1"/>
  <c r="AJ82" i="11" s="1"/>
  <c r="AJ82" i="12" s="1"/>
  <c r="AH82" i="3"/>
  <c r="AH81" i="3"/>
  <c r="AN79" i="3"/>
  <c r="AM79" i="3"/>
  <c r="AH79" i="3"/>
  <c r="AG79" i="3"/>
  <c r="AF79" i="3"/>
  <c r="AE79" i="3"/>
  <c r="AD79" i="3"/>
  <c r="AC79" i="3"/>
  <c r="AB79" i="3"/>
  <c r="AA79" i="3"/>
  <c r="Z79" i="3"/>
  <c r="Y79" i="3"/>
  <c r="X79" i="3"/>
  <c r="W79" i="3"/>
  <c r="V79" i="3"/>
  <c r="U79" i="3"/>
  <c r="T79" i="3"/>
  <c r="S79" i="3"/>
  <c r="R79" i="3"/>
  <c r="Q79" i="3"/>
  <c r="P79" i="3"/>
  <c r="O79" i="3"/>
  <c r="N79" i="3"/>
  <c r="M79" i="3"/>
  <c r="L79" i="3"/>
  <c r="K79" i="3"/>
  <c r="J79" i="3"/>
  <c r="I79" i="3"/>
  <c r="H79" i="3"/>
  <c r="G79" i="3"/>
  <c r="F79" i="3"/>
  <c r="E79" i="3"/>
  <c r="D79" i="3"/>
  <c r="C79" i="3"/>
  <c r="AK78" i="3"/>
  <c r="AK78" i="4" s="1"/>
  <c r="AK78" i="5" s="1"/>
  <c r="AK78" i="6" s="1"/>
  <c r="AK78" i="7" s="1"/>
  <c r="AK78" i="8" s="1"/>
  <c r="AK78" i="9" s="1"/>
  <c r="AK78" i="10" s="1"/>
  <c r="AK78" i="11" s="1"/>
  <c r="AK78" i="12" s="1"/>
  <c r="AH78" i="3"/>
  <c r="AH77" i="3"/>
  <c r="AO75" i="3"/>
  <c r="AN75" i="3"/>
  <c r="AM75" i="3"/>
  <c r="AG75" i="3"/>
  <c r="AF75" i="3"/>
  <c r="AE75" i="3"/>
  <c r="AD75" i="3"/>
  <c r="AC75" i="3"/>
  <c r="AB75" i="3"/>
  <c r="AA75" i="3"/>
  <c r="Z75" i="3"/>
  <c r="Y75" i="3"/>
  <c r="X75" i="3"/>
  <c r="W75" i="3"/>
  <c r="V75" i="3"/>
  <c r="U75" i="3"/>
  <c r="T75" i="3"/>
  <c r="S75" i="3"/>
  <c r="R75" i="3"/>
  <c r="Q75" i="3"/>
  <c r="P75" i="3"/>
  <c r="O75" i="3"/>
  <c r="N75" i="3"/>
  <c r="M75" i="3"/>
  <c r="L75" i="3"/>
  <c r="K75" i="3"/>
  <c r="J75" i="3"/>
  <c r="I75" i="3"/>
  <c r="H75" i="3"/>
  <c r="G75" i="3"/>
  <c r="F75" i="3"/>
  <c r="E75" i="3"/>
  <c r="D75" i="3"/>
  <c r="C75" i="3"/>
  <c r="AH74" i="3"/>
  <c r="AH73" i="3"/>
  <c r="AH75" i="3" s="1"/>
  <c r="AN71" i="3"/>
  <c r="AM71" i="3"/>
  <c r="AG71" i="3"/>
  <c r="AF71" i="3"/>
  <c r="AD71" i="3"/>
  <c r="AC71" i="3"/>
  <c r="AB71" i="3"/>
  <c r="AA71" i="3"/>
  <c r="Z71" i="3"/>
  <c r="Y71" i="3"/>
  <c r="X71" i="3"/>
  <c r="W71" i="3"/>
  <c r="V71" i="3"/>
  <c r="U71" i="3"/>
  <c r="T71" i="3"/>
  <c r="S71" i="3"/>
  <c r="R71" i="3"/>
  <c r="Q71" i="3"/>
  <c r="P71" i="3"/>
  <c r="O71" i="3"/>
  <c r="N71" i="3"/>
  <c r="M71" i="3"/>
  <c r="L71" i="3"/>
  <c r="K71" i="3"/>
  <c r="J71" i="3"/>
  <c r="I71" i="3"/>
  <c r="H71" i="3"/>
  <c r="G71" i="3"/>
  <c r="F71" i="3"/>
  <c r="E71" i="3"/>
  <c r="D71" i="3"/>
  <c r="C71" i="3"/>
  <c r="AH70" i="3"/>
  <c r="AH69" i="3"/>
  <c r="AH71" i="3" s="1"/>
  <c r="AN67" i="3"/>
  <c r="AM67" i="3"/>
  <c r="AH67" i="3"/>
  <c r="AG67" i="3"/>
  <c r="AF67" i="3"/>
  <c r="AE67" i="3"/>
  <c r="AD67" i="3"/>
  <c r="AC67" i="3"/>
  <c r="AB67" i="3"/>
  <c r="AA67" i="3"/>
  <c r="Z67" i="3"/>
  <c r="Y67" i="3"/>
  <c r="X67" i="3"/>
  <c r="W67" i="3"/>
  <c r="V67" i="3"/>
  <c r="U67" i="3"/>
  <c r="T67" i="3"/>
  <c r="S67" i="3"/>
  <c r="R67" i="3"/>
  <c r="Q67" i="3"/>
  <c r="P67" i="3"/>
  <c r="O67" i="3"/>
  <c r="N67" i="3"/>
  <c r="M67" i="3"/>
  <c r="L67" i="3"/>
  <c r="K67" i="3"/>
  <c r="J67" i="3"/>
  <c r="I67" i="3"/>
  <c r="H67" i="3"/>
  <c r="G67" i="3"/>
  <c r="F67" i="3"/>
  <c r="E67" i="3"/>
  <c r="D67" i="3"/>
  <c r="C67" i="3"/>
  <c r="AL66" i="3"/>
  <c r="AL66" i="4" s="1"/>
  <c r="AL66" i="5" s="1"/>
  <c r="AL66" i="6" s="1"/>
  <c r="AL66" i="7" s="1"/>
  <c r="AL66" i="8" s="1"/>
  <c r="AL66" i="9" s="1"/>
  <c r="AL66" i="10" s="1"/>
  <c r="AL66" i="11" s="1"/>
  <c r="AL66" i="12" s="1"/>
  <c r="AH66" i="3"/>
  <c r="AH65" i="3"/>
  <c r="AN63" i="3"/>
  <c r="AM63" i="3"/>
  <c r="AG63" i="3"/>
  <c r="AF63" i="3"/>
  <c r="AE63" i="3"/>
  <c r="AD63" i="3"/>
  <c r="AC63" i="3"/>
  <c r="AB63" i="3"/>
  <c r="AA63" i="3"/>
  <c r="Z63" i="3"/>
  <c r="Y63" i="3"/>
  <c r="X63" i="3"/>
  <c r="W63" i="3"/>
  <c r="V63" i="3"/>
  <c r="U63" i="3"/>
  <c r="T63" i="3"/>
  <c r="S63" i="3"/>
  <c r="R63" i="3"/>
  <c r="Q63" i="3"/>
  <c r="P63" i="3"/>
  <c r="O63" i="3"/>
  <c r="N63" i="3"/>
  <c r="M63" i="3"/>
  <c r="L63" i="3"/>
  <c r="K63" i="3"/>
  <c r="J63" i="3"/>
  <c r="I63" i="3"/>
  <c r="H63" i="3"/>
  <c r="G63" i="3"/>
  <c r="F63" i="3"/>
  <c r="E63" i="3"/>
  <c r="D63" i="3"/>
  <c r="C63" i="3"/>
  <c r="AH62" i="3"/>
  <c r="AH61" i="3"/>
  <c r="AH63" i="3" s="1"/>
  <c r="AN59" i="3"/>
  <c r="AG59" i="3"/>
  <c r="AF59" i="3"/>
  <c r="AE59" i="3"/>
  <c r="AD59" i="3"/>
  <c r="AC59" i="3"/>
  <c r="AB59" i="3"/>
  <c r="AA59" i="3"/>
  <c r="Z59" i="3"/>
  <c r="Y59" i="3"/>
  <c r="X59" i="3"/>
  <c r="W59" i="3"/>
  <c r="V59" i="3"/>
  <c r="U59" i="3"/>
  <c r="T59" i="3"/>
  <c r="S59" i="3"/>
  <c r="R59" i="3"/>
  <c r="Q59" i="3"/>
  <c r="P59" i="3"/>
  <c r="O59" i="3"/>
  <c r="N59" i="3"/>
  <c r="M59" i="3"/>
  <c r="L59" i="3"/>
  <c r="K59" i="3"/>
  <c r="J59" i="3"/>
  <c r="I59" i="3"/>
  <c r="H59" i="3"/>
  <c r="G59" i="3"/>
  <c r="F59" i="3"/>
  <c r="E59" i="3"/>
  <c r="D59" i="3"/>
  <c r="C59" i="3"/>
  <c r="AI58" i="3"/>
  <c r="AI58" i="4" s="1"/>
  <c r="AI58" i="5" s="1"/>
  <c r="AI58" i="6" s="1"/>
  <c r="AI58" i="7" s="1"/>
  <c r="AI58" i="8" s="1"/>
  <c r="AI58" i="9" s="1"/>
  <c r="AI58" i="10" s="1"/>
  <c r="AI58" i="11" s="1"/>
  <c r="AI58" i="12" s="1"/>
  <c r="AH58" i="3"/>
  <c r="AH57" i="3"/>
  <c r="AH59" i="3" s="1"/>
  <c r="AN55" i="3"/>
  <c r="AM55" i="3"/>
  <c r="AH55" i="3"/>
  <c r="AG55" i="3"/>
  <c r="AF55" i="3"/>
  <c r="AE55" i="3"/>
  <c r="AD55" i="3"/>
  <c r="AC55" i="3"/>
  <c r="AB55" i="3"/>
  <c r="AA55" i="3"/>
  <c r="Z55" i="3"/>
  <c r="Y55" i="3"/>
  <c r="X55" i="3"/>
  <c r="W55" i="3"/>
  <c r="V55" i="3"/>
  <c r="U55" i="3"/>
  <c r="T55" i="3"/>
  <c r="S55" i="3"/>
  <c r="R55" i="3"/>
  <c r="Q55" i="3"/>
  <c r="P55" i="3"/>
  <c r="O55" i="3"/>
  <c r="N55" i="3"/>
  <c r="M55" i="3"/>
  <c r="L55" i="3"/>
  <c r="K55" i="3"/>
  <c r="J55" i="3"/>
  <c r="I55" i="3"/>
  <c r="H55" i="3"/>
  <c r="G55" i="3"/>
  <c r="F55" i="3"/>
  <c r="E55" i="3"/>
  <c r="D55" i="3"/>
  <c r="C55" i="3"/>
  <c r="AL54" i="3"/>
  <c r="AL54" i="4" s="1"/>
  <c r="AL54" i="5" s="1"/>
  <c r="AL54" i="6" s="1"/>
  <c r="AL54" i="7" s="1"/>
  <c r="AL54" i="8" s="1"/>
  <c r="AL54" i="9" s="1"/>
  <c r="AL54" i="10" s="1"/>
  <c r="AL54" i="11" s="1"/>
  <c r="AL54" i="12" s="1"/>
  <c r="AH54" i="3"/>
  <c r="AH53" i="3"/>
  <c r="AO51" i="3"/>
  <c r="AO51" i="4" s="1"/>
  <c r="AO51" i="5" s="1"/>
  <c r="AN51" i="3"/>
  <c r="AM51" i="3"/>
  <c r="AG51" i="3"/>
  <c r="AF51" i="3"/>
  <c r="AE51" i="3"/>
  <c r="AD51" i="3"/>
  <c r="AC51" i="3"/>
  <c r="AB51" i="3"/>
  <c r="AA51" i="3"/>
  <c r="Z51" i="3"/>
  <c r="Y51" i="3"/>
  <c r="X51" i="3"/>
  <c r="W51" i="3"/>
  <c r="V51" i="3"/>
  <c r="U51" i="3"/>
  <c r="T51" i="3"/>
  <c r="S51" i="3"/>
  <c r="R51" i="3"/>
  <c r="Q51" i="3"/>
  <c r="P51" i="3"/>
  <c r="O51" i="3"/>
  <c r="N51" i="3"/>
  <c r="M51" i="3"/>
  <c r="L51" i="3"/>
  <c r="K51" i="3"/>
  <c r="J51" i="3"/>
  <c r="I51" i="3"/>
  <c r="H51" i="3"/>
  <c r="G51" i="3"/>
  <c r="F51" i="3"/>
  <c r="E51" i="3"/>
  <c r="D51" i="3"/>
  <c r="C51" i="3"/>
  <c r="AH50" i="3"/>
  <c r="AH49" i="3"/>
  <c r="AH51" i="3" s="1"/>
  <c r="AN47" i="3"/>
  <c r="AM47" i="3"/>
  <c r="AG47" i="3"/>
  <c r="AF47" i="3"/>
  <c r="AE47" i="3"/>
  <c r="AD47" i="3"/>
  <c r="AC47" i="3"/>
  <c r="AB47" i="3"/>
  <c r="AA47" i="3"/>
  <c r="Z47" i="3"/>
  <c r="Y47" i="3"/>
  <c r="X47" i="3"/>
  <c r="W47" i="3"/>
  <c r="V47" i="3"/>
  <c r="U47" i="3"/>
  <c r="T47" i="3"/>
  <c r="S47" i="3"/>
  <c r="R47" i="3"/>
  <c r="Q47" i="3"/>
  <c r="P47" i="3"/>
  <c r="O47" i="3"/>
  <c r="N47" i="3"/>
  <c r="M47" i="3"/>
  <c r="L47" i="3"/>
  <c r="K47" i="3"/>
  <c r="J47" i="3"/>
  <c r="I47" i="3"/>
  <c r="H47" i="3"/>
  <c r="G47" i="3"/>
  <c r="F47" i="3"/>
  <c r="E47" i="3"/>
  <c r="D47" i="3"/>
  <c r="C47" i="3"/>
  <c r="AH46" i="3"/>
  <c r="AH45" i="3"/>
  <c r="AH47" i="3" s="1"/>
  <c r="AL44" i="3"/>
  <c r="AK44" i="3"/>
  <c r="AJ44" i="3"/>
  <c r="AI44" i="3"/>
  <c r="AH44" i="3"/>
  <c r="AN43" i="3"/>
  <c r="AM43" i="3"/>
  <c r="AG43" i="3"/>
  <c r="AF43" i="3"/>
  <c r="AE43" i="3"/>
  <c r="AD43" i="3"/>
  <c r="AC43" i="3"/>
  <c r="AB43" i="3"/>
  <c r="AA43" i="3"/>
  <c r="Z43" i="3"/>
  <c r="Y43" i="3"/>
  <c r="X43" i="3"/>
  <c r="W43" i="3"/>
  <c r="V43" i="3"/>
  <c r="U43" i="3"/>
  <c r="T43" i="3"/>
  <c r="S43" i="3"/>
  <c r="R43" i="3"/>
  <c r="Q43" i="3"/>
  <c r="P43" i="3"/>
  <c r="O43" i="3"/>
  <c r="N43" i="3"/>
  <c r="M43" i="3"/>
  <c r="L43" i="3"/>
  <c r="K43" i="3"/>
  <c r="J43" i="3"/>
  <c r="I43" i="3"/>
  <c r="H43" i="3"/>
  <c r="G43" i="3"/>
  <c r="F43" i="3"/>
  <c r="E43" i="3"/>
  <c r="D43" i="3"/>
  <c r="C43" i="3"/>
  <c r="AJ42" i="3"/>
  <c r="AJ42" i="4" s="1"/>
  <c r="AJ42" i="5" s="1"/>
  <c r="AJ42" i="6" s="1"/>
  <c r="AJ42" i="7" s="1"/>
  <c r="AJ42" i="8" s="1"/>
  <c r="AJ42" i="9" s="1"/>
  <c r="AJ42" i="10" s="1"/>
  <c r="AJ42" i="11" s="1"/>
  <c r="AJ42" i="12" s="1"/>
  <c r="AH42" i="3"/>
  <c r="AH41" i="3"/>
  <c r="AH43" i="3" s="1"/>
  <c r="AN39" i="3"/>
  <c r="AO39" i="3" s="1"/>
  <c r="AO39" i="4" s="1"/>
  <c r="AO39" i="5" s="1"/>
  <c r="AM39" i="3"/>
  <c r="AG39" i="3"/>
  <c r="AF39" i="3"/>
  <c r="AE39" i="3"/>
  <c r="AD39" i="3"/>
  <c r="AC39" i="3"/>
  <c r="AB39" i="3"/>
  <c r="AA39" i="3"/>
  <c r="Z39" i="3"/>
  <c r="Y39" i="3"/>
  <c r="X39" i="3"/>
  <c r="W39" i="3"/>
  <c r="V39" i="3"/>
  <c r="U39" i="3"/>
  <c r="T39" i="3"/>
  <c r="S39" i="3"/>
  <c r="R39" i="3"/>
  <c r="Q39" i="3"/>
  <c r="P39" i="3"/>
  <c r="O39" i="3"/>
  <c r="N39" i="3"/>
  <c r="M39" i="3"/>
  <c r="L39" i="3"/>
  <c r="K39" i="3"/>
  <c r="J39" i="3"/>
  <c r="I39" i="3"/>
  <c r="H39" i="3"/>
  <c r="G39" i="3"/>
  <c r="F39" i="3"/>
  <c r="E39" i="3"/>
  <c r="D39" i="3"/>
  <c r="C39" i="3"/>
  <c r="AH38" i="3"/>
  <c r="AH37" i="3"/>
  <c r="AH39" i="3" s="1"/>
  <c r="AN35" i="3"/>
  <c r="AM35" i="3"/>
  <c r="AG35" i="3"/>
  <c r="AF35" i="3"/>
  <c r="AE35" i="3"/>
  <c r="AD35" i="3"/>
  <c r="AC35" i="3"/>
  <c r="AB35" i="3"/>
  <c r="AA35" i="3"/>
  <c r="Z35" i="3"/>
  <c r="Y35" i="3"/>
  <c r="X35" i="3"/>
  <c r="W35" i="3"/>
  <c r="V35" i="3"/>
  <c r="U35" i="3"/>
  <c r="T35" i="3"/>
  <c r="S35" i="3"/>
  <c r="R35" i="3"/>
  <c r="Q35" i="3"/>
  <c r="P35" i="3"/>
  <c r="O35" i="3"/>
  <c r="N35" i="3"/>
  <c r="M35" i="3"/>
  <c r="L35" i="3"/>
  <c r="K35" i="3"/>
  <c r="J35" i="3"/>
  <c r="I35" i="3"/>
  <c r="H35" i="3"/>
  <c r="G35" i="3"/>
  <c r="F35" i="3"/>
  <c r="E35" i="3"/>
  <c r="D35" i="3"/>
  <c r="C35" i="3"/>
  <c r="AH34" i="3"/>
  <c r="AH35" i="3" s="1"/>
  <c r="AH33" i="3"/>
  <c r="AN31" i="3"/>
  <c r="AM31" i="3"/>
  <c r="AG31" i="3"/>
  <c r="AF31" i="3"/>
  <c r="AE31" i="3"/>
  <c r="AD31" i="3"/>
  <c r="AC31" i="3"/>
  <c r="AB31" i="3"/>
  <c r="AA31" i="3"/>
  <c r="Z31" i="3"/>
  <c r="Y31" i="3"/>
  <c r="X31" i="3"/>
  <c r="W31" i="3"/>
  <c r="V31" i="3"/>
  <c r="U31" i="3"/>
  <c r="T31" i="3"/>
  <c r="S31" i="3"/>
  <c r="R31" i="3"/>
  <c r="Q31" i="3"/>
  <c r="P31" i="3"/>
  <c r="O31" i="3"/>
  <c r="N31" i="3"/>
  <c r="M31" i="3"/>
  <c r="L31" i="3"/>
  <c r="K31" i="3"/>
  <c r="J31" i="3"/>
  <c r="I31" i="3"/>
  <c r="H31" i="3"/>
  <c r="G31" i="3"/>
  <c r="F31" i="3"/>
  <c r="E31" i="3"/>
  <c r="D31" i="3"/>
  <c r="C31" i="3"/>
  <c r="AH30" i="3"/>
  <c r="AL29" i="3"/>
  <c r="AH29" i="3"/>
  <c r="AH31" i="3" s="1"/>
  <c r="AN28" i="3"/>
  <c r="AO28" i="3" s="1"/>
  <c r="AN27" i="3"/>
  <c r="AM27" i="3"/>
  <c r="AG27" i="3"/>
  <c r="AF27" i="3"/>
  <c r="AE27" i="3"/>
  <c r="AD27" i="3"/>
  <c r="AC27" i="3"/>
  <c r="AB27" i="3"/>
  <c r="AA27" i="3"/>
  <c r="Z27" i="3"/>
  <c r="Y27" i="3"/>
  <c r="X27" i="3"/>
  <c r="W27" i="3"/>
  <c r="V27" i="3"/>
  <c r="U27" i="3"/>
  <c r="T27" i="3"/>
  <c r="S27" i="3"/>
  <c r="R27" i="3"/>
  <c r="Q27" i="3"/>
  <c r="P27" i="3"/>
  <c r="O27" i="3"/>
  <c r="N27" i="3"/>
  <c r="M27" i="3"/>
  <c r="L27" i="3"/>
  <c r="K27" i="3"/>
  <c r="J27" i="3"/>
  <c r="I27" i="3"/>
  <c r="H27" i="3"/>
  <c r="G27" i="3"/>
  <c r="F27" i="3"/>
  <c r="E27" i="3"/>
  <c r="D27" i="3"/>
  <c r="C27" i="3"/>
  <c r="AL26" i="3"/>
  <c r="AL26" i="4" s="1"/>
  <c r="AL26" i="5" s="1"/>
  <c r="AL26" i="6" s="1"/>
  <c r="AL26" i="7" s="1"/>
  <c r="AL26" i="8" s="1"/>
  <c r="AL26" i="9" s="1"/>
  <c r="AL26" i="10" s="1"/>
  <c r="AL26" i="11" s="1"/>
  <c r="AL26" i="12" s="1"/>
  <c r="AH26" i="3"/>
  <c r="AH27" i="3" s="1"/>
  <c r="AI25" i="3"/>
  <c r="AH25" i="3"/>
  <c r="AN23" i="3"/>
  <c r="AM23" i="3"/>
  <c r="AG23" i="3"/>
  <c r="AF23" i="3"/>
  <c r="AE23" i="3"/>
  <c r="AD23" i="3"/>
  <c r="AC23" i="3"/>
  <c r="AB23" i="3"/>
  <c r="AA23" i="3"/>
  <c r="Z23" i="3"/>
  <c r="Y23" i="3"/>
  <c r="X23" i="3"/>
  <c r="W23" i="3"/>
  <c r="V23" i="3"/>
  <c r="U23" i="3"/>
  <c r="T23" i="3"/>
  <c r="S23" i="3"/>
  <c r="R23" i="3"/>
  <c r="Q23" i="3"/>
  <c r="P23" i="3"/>
  <c r="O23" i="3"/>
  <c r="N23" i="3"/>
  <c r="M23" i="3"/>
  <c r="L23" i="3"/>
  <c r="K23" i="3"/>
  <c r="J23" i="3"/>
  <c r="I23" i="3"/>
  <c r="H23" i="3"/>
  <c r="G23" i="3"/>
  <c r="F23" i="3"/>
  <c r="E23" i="3"/>
  <c r="D23" i="3"/>
  <c r="C23" i="3"/>
  <c r="AH22" i="3"/>
  <c r="AL21" i="3"/>
  <c r="AH21" i="3"/>
  <c r="AH23" i="3" s="1"/>
  <c r="AN19" i="3"/>
  <c r="AM19" i="3"/>
  <c r="AG19" i="3"/>
  <c r="AF19" i="3"/>
  <c r="AE19" i="3"/>
  <c r="AD19" i="3"/>
  <c r="AC19" i="3"/>
  <c r="AB19" i="3"/>
  <c r="AA19" i="3"/>
  <c r="Z19" i="3"/>
  <c r="Y19" i="3"/>
  <c r="X19" i="3"/>
  <c r="W19" i="3"/>
  <c r="V19" i="3"/>
  <c r="U19" i="3"/>
  <c r="T19" i="3"/>
  <c r="S19" i="3"/>
  <c r="R19" i="3"/>
  <c r="Q19" i="3"/>
  <c r="P19" i="3"/>
  <c r="O19" i="3"/>
  <c r="N19" i="3"/>
  <c r="M19" i="3"/>
  <c r="L19" i="3"/>
  <c r="K19" i="3"/>
  <c r="J19" i="3"/>
  <c r="I19" i="3"/>
  <c r="H19" i="3"/>
  <c r="G19" i="3"/>
  <c r="F19" i="3"/>
  <c r="E19" i="3"/>
  <c r="D19" i="3"/>
  <c r="C19" i="3"/>
  <c r="AH18" i="3"/>
  <c r="AH17" i="3"/>
  <c r="AH19" i="3" s="1"/>
  <c r="AN15" i="3"/>
  <c r="AM15" i="3"/>
  <c r="AG15" i="3"/>
  <c r="AF15" i="3"/>
  <c r="AE15" i="3"/>
  <c r="AD15" i="3"/>
  <c r="AC15" i="3"/>
  <c r="AB15" i="3"/>
  <c r="AA15" i="3"/>
  <c r="Z15" i="3"/>
  <c r="Y15" i="3"/>
  <c r="X15" i="3"/>
  <c r="W15" i="3"/>
  <c r="V15" i="3"/>
  <c r="U15" i="3"/>
  <c r="T15" i="3"/>
  <c r="S15" i="3"/>
  <c r="R15" i="3"/>
  <c r="Q15" i="3"/>
  <c r="P15" i="3"/>
  <c r="O15" i="3"/>
  <c r="N15" i="3"/>
  <c r="M15" i="3"/>
  <c r="L15" i="3"/>
  <c r="K15" i="3"/>
  <c r="J15" i="3"/>
  <c r="I15" i="3"/>
  <c r="H15" i="3"/>
  <c r="G15" i="3"/>
  <c r="F15" i="3"/>
  <c r="E15" i="3"/>
  <c r="D15" i="3"/>
  <c r="C15" i="3"/>
  <c r="AI14" i="3"/>
  <c r="AI14" i="4" s="1"/>
  <c r="AI14" i="5" s="1"/>
  <c r="AI14" i="6" s="1"/>
  <c r="AI14" i="7" s="1"/>
  <c r="AI14" i="8" s="1"/>
  <c r="AI14" i="9" s="1"/>
  <c r="AI14" i="10" s="1"/>
  <c r="AI14" i="11" s="1"/>
  <c r="AI14" i="12" s="1"/>
  <c r="AH14" i="3"/>
  <c r="AH15" i="3" s="1"/>
  <c r="AJ13" i="3"/>
  <c r="AH13" i="3"/>
  <c r="AN11" i="3"/>
  <c r="AM11" i="3"/>
  <c r="AG11" i="3"/>
  <c r="AF11" i="3"/>
  <c r="AE11" i="3"/>
  <c r="AD11" i="3"/>
  <c r="AC11" i="3"/>
  <c r="AB11" i="3"/>
  <c r="AA11" i="3"/>
  <c r="Z11" i="3"/>
  <c r="Y11" i="3"/>
  <c r="X11" i="3"/>
  <c r="W11" i="3"/>
  <c r="V11" i="3"/>
  <c r="U11" i="3"/>
  <c r="T11" i="3"/>
  <c r="S11" i="3"/>
  <c r="R11" i="3"/>
  <c r="Q11" i="3"/>
  <c r="P11" i="3"/>
  <c r="O11" i="3"/>
  <c r="N11" i="3"/>
  <c r="M11" i="3"/>
  <c r="L11" i="3"/>
  <c r="K11" i="3"/>
  <c r="J11" i="3"/>
  <c r="I11" i="3"/>
  <c r="H11" i="3"/>
  <c r="G11" i="3"/>
  <c r="F11" i="3"/>
  <c r="E11" i="3"/>
  <c r="D11" i="3"/>
  <c r="C11" i="3"/>
  <c r="AL10" i="3"/>
  <c r="AL10" i="4" s="1"/>
  <c r="AL10" i="5" s="1"/>
  <c r="AL10" i="6" s="1"/>
  <c r="AL10" i="7" s="1"/>
  <c r="AL10" i="8" s="1"/>
  <c r="AL10" i="9" s="1"/>
  <c r="AL10" i="10" s="1"/>
  <c r="AL10" i="11" s="1"/>
  <c r="AL10" i="12" s="1"/>
  <c r="AH10" i="3"/>
  <c r="AH11" i="3" s="1"/>
  <c r="AI9" i="3"/>
  <c r="AH9" i="3"/>
  <c r="AN7" i="3"/>
  <c r="AM7" i="3"/>
  <c r="AG7" i="3"/>
  <c r="AF7" i="3"/>
  <c r="AE7" i="3"/>
  <c r="AD7" i="3"/>
  <c r="AC7" i="3"/>
  <c r="AB7" i="3"/>
  <c r="AA7" i="3"/>
  <c r="Z7" i="3"/>
  <c r="Y7" i="3"/>
  <c r="X7" i="3"/>
  <c r="W7" i="3"/>
  <c r="V7" i="3"/>
  <c r="U7" i="3"/>
  <c r="T7" i="3"/>
  <c r="S7" i="3"/>
  <c r="R7" i="3"/>
  <c r="Q7" i="3"/>
  <c r="P7" i="3"/>
  <c r="O7" i="3"/>
  <c r="N7" i="3"/>
  <c r="M7" i="3"/>
  <c r="L7" i="3"/>
  <c r="K7" i="3"/>
  <c r="J7" i="3"/>
  <c r="I7" i="3"/>
  <c r="H7" i="3"/>
  <c r="G7" i="3"/>
  <c r="F7" i="3"/>
  <c r="E7" i="3"/>
  <c r="D7" i="3"/>
  <c r="C7" i="3"/>
  <c r="AH6" i="3"/>
  <c r="AH5" i="3"/>
  <c r="AH7" i="3" s="1"/>
  <c r="AG3" i="3"/>
  <c r="AF3" i="3"/>
  <c r="AE3" i="3"/>
  <c r="AD3" i="3"/>
  <c r="AC3" i="3"/>
  <c r="AB3" i="3"/>
  <c r="AA3" i="3"/>
  <c r="Z3" i="3"/>
  <c r="Y3" i="3"/>
  <c r="X3" i="3"/>
  <c r="W3" i="3"/>
  <c r="V3" i="3"/>
  <c r="U3" i="3"/>
  <c r="T3" i="3"/>
  <c r="S3" i="3"/>
  <c r="R3" i="3"/>
  <c r="Q3" i="3"/>
  <c r="P3" i="3"/>
  <c r="O3" i="3"/>
  <c r="N3" i="3"/>
  <c r="M3" i="3"/>
  <c r="L3" i="3"/>
  <c r="K3" i="3"/>
  <c r="J3" i="3"/>
  <c r="I3" i="3"/>
  <c r="H3" i="3"/>
  <c r="G3" i="3"/>
  <c r="F3" i="3"/>
  <c r="E3" i="3"/>
  <c r="D3" i="3"/>
  <c r="C3" i="3"/>
  <c r="AN123" i="2"/>
  <c r="AO123" i="2" s="1"/>
  <c r="AM123" i="2"/>
  <c r="AI123" i="2"/>
  <c r="AG123" i="2"/>
  <c r="AF123" i="2"/>
  <c r="AE123" i="2"/>
  <c r="AD123" i="2"/>
  <c r="AC123" i="2"/>
  <c r="AB123" i="2"/>
  <c r="AA123" i="2"/>
  <c r="Z123" i="2"/>
  <c r="Y123" i="2"/>
  <c r="X123" i="2"/>
  <c r="W123" i="2"/>
  <c r="V123" i="2"/>
  <c r="U123" i="2"/>
  <c r="T123" i="2"/>
  <c r="S123" i="2"/>
  <c r="R123" i="2"/>
  <c r="Q123" i="2"/>
  <c r="P123" i="2"/>
  <c r="O123" i="2"/>
  <c r="N123" i="2"/>
  <c r="M123" i="2"/>
  <c r="L123" i="2"/>
  <c r="K123" i="2"/>
  <c r="J123" i="2"/>
  <c r="I123" i="2"/>
  <c r="H123" i="2"/>
  <c r="G123" i="2"/>
  <c r="F123" i="2"/>
  <c r="E123" i="2"/>
  <c r="D123" i="2"/>
  <c r="C123" i="2"/>
  <c r="AJ122" i="2"/>
  <c r="AJ122" i="3" s="1"/>
  <c r="AJ122" i="4" s="1"/>
  <c r="AJ122" i="5" s="1"/>
  <c r="AJ122" i="6" s="1"/>
  <c r="AJ122" i="7" s="1"/>
  <c r="AJ122" i="8" s="1"/>
  <c r="AJ122" i="9" s="1"/>
  <c r="AJ122" i="10" s="1"/>
  <c r="AJ122" i="11" s="1"/>
  <c r="AJ122" i="12" s="1"/>
  <c r="AI122" i="2"/>
  <c r="AI122" i="3" s="1"/>
  <c r="AI122" i="4" s="1"/>
  <c r="AI122" i="5" s="1"/>
  <c r="AI122" i="6" s="1"/>
  <c r="AI122" i="7" s="1"/>
  <c r="AI122" i="8" s="1"/>
  <c r="AI122" i="9" s="1"/>
  <c r="AI122" i="10" s="1"/>
  <c r="AI122" i="11" s="1"/>
  <c r="AI122" i="12" s="1"/>
  <c r="AH122" i="2"/>
  <c r="AH123" i="2" s="1"/>
  <c r="AK121" i="2"/>
  <c r="AK121" i="3" s="1"/>
  <c r="AJ121" i="2"/>
  <c r="AJ123" i="2" s="1"/>
  <c r="AR123" i="2" s="1"/>
  <c r="AH121" i="2"/>
  <c r="AO119" i="2"/>
  <c r="AN119" i="2"/>
  <c r="AM119" i="2"/>
  <c r="AH119" i="2"/>
  <c r="AG119" i="2"/>
  <c r="AE119" i="2"/>
  <c r="AD119" i="2"/>
  <c r="AC119" i="2"/>
  <c r="AB119" i="2"/>
  <c r="AA119" i="2"/>
  <c r="Z119" i="2"/>
  <c r="W119" i="2"/>
  <c r="V119" i="2"/>
  <c r="U119" i="2"/>
  <c r="T119" i="2"/>
  <c r="S119" i="2"/>
  <c r="R119" i="2"/>
  <c r="Q119" i="2"/>
  <c r="P119" i="2"/>
  <c r="O119" i="2"/>
  <c r="N119" i="2"/>
  <c r="M119" i="2"/>
  <c r="L119" i="2"/>
  <c r="K119" i="2"/>
  <c r="J119" i="2"/>
  <c r="I119" i="2"/>
  <c r="H119" i="2"/>
  <c r="G119" i="2"/>
  <c r="F119" i="2"/>
  <c r="E119" i="2"/>
  <c r="D119" i="2"/>
  <c r="C119" i="2"/>
  <c r="AH118" i="2"/>
  <c r="AH117" i="2"/>
  <c r="AN115" i="2"/>
  <c r="AM115" i="2"/>
  <c r="AH115" i="2"/>
  <c r="AG115" i="2"/>
  <c r="AE115" i="2"/>
  <c r="AD115" i="2"/>
  <c r="AC115" i="2"/>
  <c r="AB115" i="2"/>
  <c r="AA115" i="2"/>
  <c r="Z115" i="2"/>
  <c r="W115" i="2"/>
  <c r="V115" i="2"/>
  <c r="U115" i="2"/>
  <c r="T115" i="2"/>
  <c r="S115" i="2"/>
  <c r="R115" i="2"/>
  <c r="Q115" i="2"/>
  <c r="P115" i="2"/>
  <c r="O115" i="2"/>
  <c r="N115" i="2"/>
  <c r="M115" i="2"/>
  <c r="L115" i="2"/>
  <c r="K115" i="2"/>
  <c r="J115" i="2"/>
  <c r="I115" i="2"/>
  <c r="H115" i="2"/>
  <c r="G115" i="2"/>
  <c r="F115" i="2"/>
  <c r="E115" i="2"/>
  <c r="D115" i="2"/>
  <c r="C115" i="2"/>
  <c r="AJ114" i="2"/>
  <c r="AJ114" i="3" s="1"/>
  <c r="AJ114" i="4" s="1"/>
  <c r="AJ114" i="5" s="1"/>
  <c r="AJ114" i="6" s="1"/>
  <c r="AJ114" i="7" s="1"/>
  <c r="AJ114" i="8" s="1"/>
  <c r="AJ114" i="9" s="1"/>
  <c r="AJ114" i="10" s="1"/>
  <c r="AJ114" i="11" s="1"/>
  <c r="AJ114" i="12" s="1"/>
  <c r="AI114" i="2"/>
  <c r="AI114" i="3" s="1"/>
  <c r="AI114" i="4" s="1"/>
  <c r="AI114" i="5" s="1"/>
  <c r="AI114" i="6" s="1"/>
  <c r="AI114" i="7" s="1"/>
  <c r="AI114" i="8" s="1"/>
  <c r="AI114" i="9" s="1"/>
  <c r="AI114" i="10" s="1"/>
  <c r="AI114" i="11" s="1"/>
  <c r="AI114" i="12" s="1"/>
  <c r="AH114" i="2"/>
  <c r="AK113" i="2"/>
  <c r="AK113" i="3" s="1"/>
  <c r="AJ113" i="2"/>
  <c r="AH113" i="2"/>
  <c r="AN111" i="2"/>
  <c r="AM111" i="2"/>
  <c r="AG111" i="2"/>
  <c r="AF111" i="2"/>
  <c r="AE111" i="2"/>
  <c r="AD111" i="2"/>
  <c r="AC111" i="2"/>
  <c r="AB111" i="2"/>
  <c r="AA111" i="2"/>
  <c r="Z111" i="2"/>
  <c r="Y111" i="2"/>
  <c r="X111" i="2"/>
  <c r="W111" i="2"/>
  <c r="V111" i="2"/>
  <c r="U111" i="2"/>
  <c r="T111" i="2"/>
  <c r="S111" i="2"/>
  <c r="R111" i="2"/>
  <c r="Q111" i="2"/>
  <c r="P111" i="2"/>
  <c r="O111" i="2"/>
  <c r="N111" i="2"/>
  <c r="M111" i="2"/>
  <c r="L111" i="2"/>
  <c r="K111" i="2"/>
  <c r="J111" i="2"/>
  <c r="I111" i="2"/>
  <c r="H111" i="2"/>
  <c r="G111" i="2"/>
  <c r="F111" i="2"/>
  <c r="E111" i="2"/>
  <c r="D111" i="2"/>
  <c r="C111" i="2"/>
  <c r="AL110" i="2"/>
  <c r="AL110" i="3" s="1"/>
  <c r="AH110" i="2"/>
  <c r="AH111" i="2" s="1"/>
  <c r="AI109" i="2"/>
  <c r="AI109" i="3" s="1"/>
  <c r="AH109" i="2"/>
  <c r="AO107" i="2"/>
  <c r="AN107" i="2"/>
  <c r="AM107" i="2"/>
  <c r="AG107" i="2"/>
  <c r="AF107" i="2"/>
  <c r="AE107" i="2"/>
  <c r="AD107" i="2"/>
  <c r="AC107" i="2"/>
  <c r="AB107" i="2"/>
  <c r="AA107" i="2"/>
  <c r="Z107" i="2"/>
  <c r="Y107" i="2"/>
  <c r="X107" i="2"/>
  <c r="W107" i="2"/>
  <c r="V107" i="2"/>
  <c r="U107" i="2"/>
  <c r="T107" i="2"/>
  <c r="S107" i="2"/>
  <c r="R107" i="2"/>
  <c r="Q107" i="2"/>
  <c r="P107" i="2"/>
  <c r="O107" i="2"/>
  <c r="N107" i="2"/>
  <c r="M107" i="2"/>
  <c r="L107" i="2"/>
  <c r="K107" i="2"/>
  <c r="J107" i="2"/>
  <c r="I107" i="2"/>
  <c r="H107" i="2"/>
  <c r="G107" i="2"/>
  <c r="F107" i="2"/>
  <c r="E107" i="2"/>
  <c r="D107" i="2"/>
  <c r="C107" i="2"/>
  <c r="AH106" i="2"/>
  <c r="AL105" i="2"/>
  <c r="AH105" i="2"/>
  <c r="AH107" i="2" s="1"/>
  <c r="AN103" i="2"/>
  <c r="AM103" i="2"/>
  <c r="AG103" i="2"/>
  <c r="AF103" i="2"/>
  <c r="AE103" i="2"/>
  <c r="AD103" i="2"/>
  <c r="AC103" i="2"/>
  <c r="AB103" i="2"/>
  <c r="AA103" i="2"/>
  <c r="Z103" i="2"/>
  <c r="Y103" i="2"/>
  <c r="X103" i="2"/>
  <c r="W103" i="2"/>
  <c r="V103" i="2"/>
  <c r="U103" i="2"/>
  <c r="T103" i="2"/>
  <c r="S103" i="2"/>
  <c r="R103" i="2"/>
  <c r="Q103" i="2"/>
  <c r="P103" i="2"/>
  <c r="O103" i="2"/>
  <c r="N103" i="2"/>
  <c r="M103" i="2"/>
  <c r="L103" i="2"/>
  <c r="K103" i="2"/>
  <c r="J103" i="2"/>
  <c r="I103" i="2"/>
  <c r="H103" i="2"/>
  <c r="G103" i="2"/>
  <c r="F103" i="2"/>
  <c r="E103" i="2"/>
  <c r="D103" i="2"/>
  <c r="C103" i="2"/>
  <c r="AK102" i="2"/>
  <c r="AK102" i="3" s="1"/>
  <c r="AK102" i="4" s="1"/>
  <c r="AK102" i="5" s="1"/>
  <c r="AK102" i="6" s="1"/>
  <c r="AK102" i="7" s="1"/>
  <c r="AK102" i="8" s="1"/>
  <c r="AK102" i="9" s="1"/>
  <c r="AK102" i="10" s="1"/>
  <c r="AK102" i="11" s="1"/>
  <c r="AK102" i="12" s="1"/>
  <c r="AH102" i="2"/>
  <c r="AL101" i="2"/>
  <c r="AL101" i="3" s="1"/>
  <c r="AL101" i="4" s="1"/>
  <c r="AK101" i="2"/>
  <c r="AH101" i="2"/>
  <c r="AH103" i="2" s="1"/>
  <c r="AN99" i="2"/>
  <c r="AO99" i="2" s="1"/>
  <c r="AO99" i="3" s="1"/>
  <c r="AO99" i="4" s="1"/>
  <c r="AM99" i="2"/>
  <c r="AG99" i="2"/>
  <c r="AE99" i="2"/>
  <c r="AD99" i="2"/>
  <c r="AC99" i="2"/>
  <c r="AB99" i="2"/>
  <c r="AA99" i="2"/>
  <c r="Z99" i="2"/>
  <c r="W99" i="2"/>
  <c r="V99" i="2"/>
  <c r="U99" i="2"/>
  <c r="T99" i="2"/>
  <c r="S99" i="2"/>
  <c r="R99" i="2"/>
  <c r="Q99" i="2"/>
  <c r="P99" i="2"/>
  <c r="O99" i="2"/>
  <c r="N99" i="2"/>
  <c r="M99" i="2"/>
  <c r="L99" i="2"/>
  <c r="K99" i="2"/>
  <c r="J99" i="2"/>
  <c r="I99" i="2"/>
  <c r="H99" i="2"/>
  <c r="G99" i="2"/>
  <c r="F99" i="2"/>
  <c r="E99" i="2"/>
  <c r="D99" i="2"/>
  <c r="C99" i="2"/>
  <c r="AJ98" i="2"/>
  <c r="AJ98" i="3" s="1"/>
  <c r="AJ98" i="4" s="1"/>
  <c r="AJ98" i="5" s="1"/>
  <c r="AJ98" i="6" s="1"/>
  <c r="AJ98" i="7" s="1"/>
  <c r="AJ98" i="8" s="1"/>
  <c r="AJ98" i="9" s="1"/>
  <c r="AJ98" i="10" s="1"/>
  <c r="AJ98" i="11" s="1"/>
  <c r="AJ98" i="12" s="1"/>
  <c r="AH98" i="2"/>
  <c r="AK97" i="2"/>
  <c r="AH97" i="2"/>
  <c r="AH99" i="2" s="1"/>
  <c r="AN95" i="2"/>
  <c r="AM95" i="2"/>
  <c r="AG95" i="2"/>
  <c r="AF95" i="2"/>
  <c r="AE95" i="2"/>
  <c r="AD95" i="2"/>
  <c r="AC95" i="2"/>
  <c r="AB95" i="2"/>
  <c r="AA95" i="2"/>
  <c r="Z95" i="2"/>
  <c r="Y95" i="2"/>
  <c r="X95" i="2"/>
  <c r="W95" i="2"/>
  <c r="V95" i="2"/>
  <c r="U95" i="2"/>
  <c r="T95" i="2"/>
  <c r="S95" i="2"/>
  <c r="R95" i="2"/>
  <c r="Q95" i="2"/>
  <c r="P95" i="2"/>
  <c r="O95" i="2"/>
  <c r="N95" i="2"/>
  <c r="M95" i="2"/>
  <c r="L95" i="2"/>
  <c r="K95" i="2"/>
  <c r="J95" i="2"/>
  <c r="I95" i="2"/>
  <c r="H95" i="2"/>
  <c r="G95" i="2"/>
  <c r="F95" i="2"/>
  <c r="E95" i="2"/>
  <c r="D95" i="2"/>
  <c r="C95" i="2"/>
  <c r="AI94" i="2"/>
  <c r="AI94" i="3" s="1"/>
  <c r="AI94" i="4" s="1"/>
  <c r="AI94" i="5" s="1"/>
  <c r="AI94" i="6" s="1"/>
  <c r="AI94" i="7" s="1"/>
  <c r="AI94" i="8" s="1"/>
  <c r="AI94" i="9" s="1"/>
  <c r="AI94" i="10" s="1"/>
  <c r="AI94" i="11" s="1"/>
  <c r="AI94" i="12" s="1"/>
  <c r="AH94" i="2"/>
  <c r="AH95" i="2" s="1"/>
  <c r="AH93" i="2"/>
  <c r="AN91" i="2"/>
  <c r="AM91" i="2"/>
  <c r="AH91" i="2"/>
  <c r="AG91" i="2"/>
  <c r="AF91" i="2"/>
  <c r="AE91" i="2"/>
  <c r="AD91" i="2"/>
  <c r="AC91" i="2"/>
  <c r="AB91" i="2"/>
  <c r="AA91" i="2"/>
  <c r="Z91" i="2"/>
  <c r="Y91" i="2"/>
  <c r="X91" i="2"/>
  <c r="W91" i="2"/>
  <c r="V91" i="2"/>
  <c r="U91" i="2"/>
  <c r="T91" i="2"/>
  <c r="S91" i="2"/>
  <c r="R91" i="2"/>
  <c r="Q91" i="2"/>
  <c r="P91" i="2"/>
  <c r="O91" i="2"/>
  <c r="N91" i="2"/>
  <c r="M91" i="2"/>
  <c r="L91" i="2"/>
  <c r="K91" i="2"/>
  <c r="J91" i="2"/>
  <c r="I91" i="2"/>
  <c r="H91" i="2"/>
  <c r="G91" i="2"/>
  <c r="F91" i="2"/>
  <c r="E91" i="2"/>
  <c r="D91" i="2"/>
  <c r="C91" i="2"/>
  <c r="AI90" i="2"/>
  <c r="AI90" i="3" s="1"/>
  <c r="AI90" i="4" s="1"/>
  <c r="AI90" i="5" s="1"/>
  <c r="AI90" i="6" s="1"/>
  <c r="AI90" i="7" s="1"/>
  <c r="AI90" i="8" s="1"/>
  <c r="AI90" i="9" s="1"/>
  <c r="AI90" i="10" s="1"/>
  <c r="AI90" i="11" s="1"/>
  <c r="AI90" i="12" s="1"/>
  <c r="AH90" i="2"/>
  <c r="AJ89" i="2"/>
  <c r="AJ89" i="3" s="1"/>
  <c r="AJ89" i="4" s="1"/>
  <c r="AJ89" i="5" s="1"/>
  <c r="AH89" i="2"/>
  <c r="AN87" i="2"/>
  <c r="AM87" i="2"/>
  <c r="AG87" i="2"/>
  <c r="AF87" i="2"/>
  <c r="AE87" i="2"/>
  <c r="AD87" i="2"/>
  <c r="AC87" i="2"/>
  <c r="AB87" i="2"/>
  <c r="AA87" i="2"/>
  <c r="Z87" i="2"/>
  <c r="Y87" i="2"/>
  <c r="X87" i="2"/>
  <c r="W87" i="2"/>
  <c r="V87" i="2"/>
  <c r="U87" i="2"/>
  <c r="T87" i="2"/>
  <c r="S87" i="2"/>
  <c r="R87" i="2"/>
  <c r="Q87" i="2"/>
  <c r="P87" i="2"/>
  <c r="O87" i="2"/>
  <c r="N87" i="2"/>
  <c r="M87" i="2"/>
  <c r="L87" i="2"/>
  <c r="K87" i="2"/>
  <c r="J87" i="2"/>
  <c r="I87" i="2"/>
  <c r="H87" i="2"/>
  <c r="G87" i="2"/>
  <c r="F87" i="2"/>
  <c r="E87" i="2"/>
  <c r="D87" i="2"/>
  <c r="C87" i="2"/>
  <c r="AL86" i="2"/>
  <c r="AL86" i="3" s="1"/>
  <c r="AL86" i="4" s="1"/>
  <c r="AL86" i="5" s="1"/>
  <c r="AL86" i="6" s="1"/>
  <c r="AL86" i="7" s="1"/>
  <c r="AL86" i="8" s="1"/>
  <c r="AL86" i="9" s="1"/>
  <c r="AL86" i="10" s="1"/>
  <c r="AL86" i="11" s="1"/>
  <c r="AL86" i="12" s="1"/>
  <c r="AK86" i="2"/>
  <c r="AH86" i="2"/>
  <c r="AL85" i="2"/>
  <c r="AL87" i="2" s="1"/>
  <c r="AI85" i="2"/>
  <c r="AI85" i="3" s="1"/>
  <c r="AI85" i="4" s="1"/>
  <c r="AI85" i="5" s="1"/>
  <c r="AH85" i="2"/>
  <c r="AH87" i="2" s="1"/>
  <c r="AN83" i="2"/>
  <c r="AO83" i="2" s="1"/>
  <c r="AM83" i="2"/>
  <c r="AG83" i="2"/>
  <c r="AF83" i="2"/>
  <c r="AE83" i="2"/>
  <c r="AD83" i="2"/>
  <c r="AC83" i="2"/>
  <c r="AB83" i="2"/>
  <c r="AA83" i="2"/>
  <c r="Z83" i="2"/>
  <c r="Y83" i="2"/>
  <c r="X83" i="2"/>
  <c r="W83" i="2"/>
  <c r="V83" i="2"/>
  <c r="U83" i="2"/>
  <c r="T83" i="2"/>
  <c r="S83" i="2"/>
  <c r="R83" i="2"/>
  <c r="Q83" i="2"/>
  <c r="P83" i="2"/>
  <c r="O83" i="2"/>
  <c r="N83" i="2"/>
  <c r="M83" i="2"/>
  <c r="L83" i="2"/>
  <c r="K83" i="2"/>
  <c r="J83" i="2"/>
  <c r="I83" i="2"/>
  <c r="H83" i="2"/>
  <c r="G83" i="2"/>
  <c r="F83" i="2"/>
  <c r="E83" i="2"/>
  <c r="D83" i="2"/>
  <c r="C83" i="2"/>
  <c r="AJ82" i="2"/>
  <c r="AH82" i="2"/>
  <c r="AK81" i="2"/>
  <c r="AH81" i="2"/>
  <c r="AH83" i="2" s="1"/>
  <c r="AN79" i="2"/>
  <c r="AM79" i="2"/>
  <c r="AG79" i="2"/>
  <c r="AF79" i="2"/>
  <c r="AE79" i="2"/>
  <c r="AD79" i="2"/>
  <c r="AC79" i="2"/>
  <c r="AB79" i="2"/>
  <c r="AA79" i="2"/>
  <c r="Z79" i="2"/>
  <c r="Y79" i="2"/>
  <c r="X79" i="2"/>
  <c r="W79" i="2"/>
  <c r="V79" i="2"/>
  <c r="U79" i="2"/>
  <c r="T79" i="2"/>
  <c r="S79" i="2"/>
  <c r="R79" i="2"/>
  <c r="Q79" i="2"/>
  <c r="P79" i="2"/>
  <c r="O79" i="2"/>
  <c r="N79" i="2"/>
  <c r="M79" i="2"/>
  <c r="L79" i="2"/>
  <c r="K79" i="2"/>
  <c r="J79" i="2"/>
  <c r="I79" i="2"/>
  <c r="H79" i="2"/>
  <c r="G79" i="2"/>
  <c r="F79" i="2"/>
  <c r="E79" i="2"/>
  <c r="D79" i="2"/>
  <c r="C79" i="2"/>
  <c r="AH78" i="2"/>
  <c r="AH79" i="2" s="1"/>
  <c r="AH77" i="2"/>
  <c r="AN75" i="2"/>
  <c r="AM75" i="2"/>
  <c r="AH75" i="2"/>
  <c r="AG75" i="2"/>
  <c r="AF75" i="2"/>
  <c r="AE75" i="2"/>
  <c r="AD75" i="2"/>
  <c r="AC75" i="2"/>
  <c r="AB75" i="2"/>
  <c r="AA75" i="2"/>
  <c r="Z75" i="2"/>
  <c r="Y75" i="2"/>
  <c r="X75" i="2"/>
  <c r="W75" i="2"/>
  <c r="V75" i="2"/>
  <c r="U75" i="2"/>
  <c r="T75" i="2"/>
  <c r="S75" i="2"/>
  <c r="R75" i="2"/>
  <c r="Q75" i="2"/>
  <c r="P75" i="2"/>
  <c r="O75" i="2"/>
  <c r="N75" i="2"/>
  <c r="M75" i="2"/>
  <c r="L75" i="2"/>
  <c r="K75" i="2"/>
  <c r="J75" i="2"/>
  <c r="I75" i="2"/>
  <c r="H75" i="2"/>
  <c r="G75" i="2"/>
  <c r="F75" i="2"/>
  <c r="E75" i="2"/>
  <c r="D75" i="2"/>
  <c r="C75" i="2"/>
  <c r="AI74" i="2"/>
  <c r="AI74" i="3" s="1"/>
  <c r="AI74" i="4" s="1"/>
  <c r="AI74" i="5" s="1"/>
  <c r="AI74" i="6" s="1"/>
  <c r="AI74" i="7" s="1"/>
  <c r="AI74" i="8" s="1"/>
  <c r="AI74" i="9" s="1"/>
  <c r="AI74" i="10" s="1"/>
  <c r="AI74" i="11" s="1"/>
  <c r="AI74" i="12" s="1"/>
  <c r="AH74" i="2"/>
  <c r="AJ73" i="2"/>
  <c r="AJ73" i="3" s="1"/>
  <c r="AJ73" i="4" s="1"/>
  <c r="AJ73" i="5" s="1"/>
  <c r="AH73" i="2"/>
  <c r="AN71" i="2"/>
  <c r="AM71" i="2"/>
  <c r="AH71" i="2"/>
  <c r="AG71" i="2"/>
  <c r="AF71" i="2"/>
  <c r="AD71" i="2"/>
  <c r="AB71" i="2"/>
  <c r="AA71" i="2"/>
  <c r="Z71" i="2"/>
  <c r="Y71" i="2"/>
  <c r="X71" i="2"/>
  <c r="W71" i="2"/>
  <c r="V71" i="2"/>
  <c r="U71" i="2"/>
  <c r="T71" i="2"/>
  <c r="S71" i="2"/>
  <c r="R71" i="2"/>
  <c r="Q71" i="2"/>
  <c r="P71" i="2"/>
  <c r="O71" i="2"/>
  <c r="N71" i="2"/>
  <c r="M71" i="2"/>
  <c r="L71" i="2"/>
  <c r="K71" i="2"/>
  <c r="J71" i="2"/>
  <c r="I71" i="2"/>
  <c r="H71" i="2"/>
  <c r="G71" i="2"/>
  <c r="F71" i="2"/>
  <c r="E71" i="2"/>
  <c r="D71" i="2"/>
  <c r="C71" i="2"/>
  <c r="AH70" i="2"/>
  <c r="AH69" i="2"/>
  <c r="AN67" i="2"/>
  <c r="AM67" i="2"/>
  <c r="AH67" i="2"/>
  <c r="AG67" i="2"/>
  <c r="AF67" i="2"/>
  <c r="AE67" i="2"/>
  <c r="AD67" i="2"/>
  <c r="AC67" i="2"/>
  <c r="AB67" i="2"/>
  <c r="AA67" i="2"/>
  <c r="Z67" i="2"/>
  <c r="Y67" i="2"/>
  <c r="X67" i="2"/>
  <c r="W67" i="2"/>
  <c r="V67" i="2"/>
  <c r="U67" i="2"/>
  <c r="T67" i="2"/>
  <c r="S67" i="2"/>
  <c r="R67" i="2"/>
  <c r="Q67" i="2"/>
  <c r="P67" i="2"/>
  <c r="O67" i="2"/>
  <c r="N67" i="2"/>
  <c r="M67" i="2"/>
  <c r="L67" i="2"/>
  <c r="K67" i="2"/>
  <c r="J67" i="2"/>
  <c r="I67" i="2"/>
  <c r="H67" i="2"/>
  <c r="G67" i="2"/>
  <c r="F67" i="2"/>
  <c r="E67" i="2"/>
  <c r="D67" i="2"/>
  <c r="C67" i="2"/>
  <c r="AL66" i="2"/>
  <c r="AI66" i="2"/>
  <c r="AI66" i="3" s="1"/>
  <c r="AI66" i="4" s="1"/>
  <c r="AI66" i="5" s="1"/>
  <c r="AH66" i="2"/>
  <c r="AJ65" i="2"/>
  <c r="AJ65" i="3" s="1"/>
  <c r="AI65" i="2"/>
  <c r="AI67" i="2" s="1"/>
  <c r="AQ67" i="2" s="1"/>
  <c r="AH65" i="2"/>
  <c r="AN63" i="2"/>
  <c r="AM63" i="2"/>
  <c r="AG63" i="2"/>
  <c r="AF63" i="2"/>
  <c r="AE63" i="2"/>
  <c r="AD63" i="2"/>
  <c r="AC63" i="2"/>
  <c r="AB63" i="2"/>
  <c r="AA63" i="2"/>
  <c r="Z63" i="2"/>
  <c r="Y63" i="2"/>
  <c r="X63" i="2"/>
  <c r="W63" i="2"/>
  <c r="V63" i="2"/>
  <c r="U63" i="2"/>
  <c r="T63" i="2"/>
  <c r="S63" i="2"/>
  <c r="R63" i="2"/>
  <c r="Q63" i="2"/>
  <c r="P63" i="2"/>
  <c r="O63" i="2"/>
  <c r="N63" i="2"/>
  <c r="M63" i="2"/>
  <c r="L63" i="2"/>
  <c r="K63" i="2"/>
  <c r="J63" i="2"/>
  <c r="I63" i="2"/>
  <c r="H63" i="2"/>
  <c r="G63" i="2"/>
  <c r="F63" i="2"/>
  <c r="E63" i="2"/>
  <c r="D63" i="2"/>
  <c r="C63" i="2"/>
  <c r="AL62" i="2"/>
  <c r="AL62" i="3" s="1"/>
  <c r="AL62" i="4" s="1"/>
  <c r="AL62" i="5" s="1"/>
  <c r="AL62" i="6" s="1"/>
  <c r="AL62" i="7" s="1"/>
  <c r="AL62" i="8" s="1"/>
  <c r="AL62" i="9" s="1"/>
  <c r="AL62" i="10" s="1"/>
  <c r="AL62" i="11" s="1"/>
  <c r="AL62" i="12" s="1"/>
  <c r="AK62" i="2"/>
  <c r="AK62" i="3" s="1"/>
  <c r="AK62" i="4" s="1"/>
  <c r="AK62" i="5" s="1"/>
  <c r="AK62" i="6" s="1"/>
  <c r="AK62" i="7" s="1"/>
  <c r="AK62" i="8" s="1"/>
  <c r="AK62" i="9" s="1"/>
  <c r="AK62" i="10" s="1"/>
  <c r="AK62" i="11" s="1"/>
  <c r="AK62" i="12" s="1"/>
  <c r="AH62" i="2"/>
  <c r="AL61" i="2"/>
  <c r="AL63" i="2" s="1"/>
  <c r="AI61" i="2"/>
  <c r="AI61" i="3" s="1"/>
  <c r="AH61" i="2"/>
  <c r="AH63" i="2" s="1"/>
  <c r="AN59" i="2"/>
  <c r="AO59" i="2" s="1"/>
  <c r="AM59" i="2"/>
  <c r="AG59" i="2"/>
  <c r="AF59" i="2"/>
  <c r="AE59" i="2"/>
  <c r="AD59" i="2"/>
  <c r="AC59" i="2"/>
  <c r="AB59" i="2"/>
  <c r="AA59" i="2"/>
  <c r="Z59" i="2"/>
  <c r="Y59" i="2"/>
  <c r="X59" i="2"/>
  <c r="W59" i="2"/>
  <c r="V59" i="2"/>
  <c r="U59" i="2"/>
  <c r="T59" i="2"/>
  <c r="S59" i="2"/>
  <c r="R59" i="2"/>
  <c r="Q59" i="2"/>
  <c r="P59" i="2"/>
  <c r="O59" i="2"/>
  <c r="N59" i="2"/>
  <c r="M59" i="2"/>
  <c r="L59" i="2"/>
  <c r="K59" i="2"/>
  <c r="J59" i="2"/>
  <c r="I59" i="2"/>
  <c r="H59" i="2"/>
  <c r="G59" i="2"/>
  <c r="F59" i="2"/>
  <c r="E59" i="2"/>
  <c r="D59" i="2"/>
  <c r="C59" i="2"/>
  <c r="AJ58" i="2"/>
  <c r="AJ58" i="3" s="1"/>
  <c r="AJ58" i="4" s="1"/>
  <c r="AJ58" i="5" s="1"/>
  <c r="AJ58" i="6" s="1"/>
  <c r="AJ58" i="7" s="1"/>
  <c r="AJ58" i="8" s="1"/>
  <c r="AJ58" i="9" s="1"/>
  <c r="AJ58" i="10" s="1"/>
  <c r="AJ58" i="11" s="1"/>
  <c r="AJ58" i="12" s="1"/>
  <c r="AH58" i="2"/>
  <c r="AK57" i="2"/>
  <c r="AH57" i="2"/>
  <c r="AH59" i="2" s="1"/>
  <c r="AN55" i="2"/>
  <c r="AM55" i="2"/>
  <c r="AG55" i="2"/>
  <c r="AF55" i="2"/>
  <c r="AE55" i="2"/>
  <c r="AD55" i="2"/>
  <c r="AC55" i="2"/>
  <c r="AB55" i="2"/>
  <c r="AA55" i="2"/>
  <c r="Z55" i="2"/>
  <c r="Y55" i="2"/>
  <c r="X55" i="2"/>
  <c r="W55" i="2"/>
  <c r="V55" i="2"/>
  <c r="U55" i="2"/>
  <c r="T55" i="2"/>
  <c r="S55" i="2"/>
  <c r="R55" i="2"/>
  <c r="Q55" i="2"/>
  <c r="P55" i="2"/>
  <c r="O55" i="2"/>
  <c r="N55" i="2"/>
  <c r="M55" i="2"/>
  <c r="L55" i="2"/>
  <c r="K55" i="2"/>
  <c r="J55" i="2"/>
  <c r="I55" i="2"/>
  <c r="H55" i="2"/>
  <c r="G55" i="2"/>
  <c r="F55" i="2"/>
  <c r="E55" i="2"/>
  <c r="D55" i="2"/>
  <c r="C55" i="2"/>
  <c r="AH54" i="2"/>
  <c r="AH55" i="2" s="1"/>
  <c r="AH53" i="2"/>
  <c r="AN51" i="2"/>
  <c r="AM51" i="2"/>
  <c r="AH51" i="2"/>
  <c r="AG51" i="2"/>
  <c r="AF51" i="2"/>
  <c r="AE51" i="2"/>
  <c r="AD51" i="2"/>
  <c r="AC51" i="2"/>
  <c r="AB51" i="2"/>
  <c r="AA51" i="2"/>
  <c r="Z51" i="2"/>
  <c r="Y51" i="2"/>
  <c r="X51" i="2"/>
  <c r="W51" i="2"/>
  <c r="V51" i="2"/>
  <c r="U51" i="2"/>
  <c r="T51" i="2"/>
  <c r="S51" i="2"/>
  <c r="R51" i="2"/>
  <c r="Q51" i="2"/>
  <c r="P51" i="2"/>
  <c r="O51" i="2"/>
  <c r="N51" i="2"/>
  <c r="M51" i="2"/>
  <c r="L51" i="2"/>
  <c r="K51" i="2"/>
  <c r="J51" i="2"/>
  <c r="I51" i="2"/>
  <c r="H51" i="2"/>
  <c r="G51" i="2"/>
  <c r="F51" i="2"/>
  <c r="E51" i="2"/>
  <c r="D51" i="2"/>
  <c r="C51" i="2"/>
  <c r="AL50" i="2"/>
  <c r="AL50" i="3" s="1"/>
  <c r="AL50" i="4" s="1"/>
  <c r="AL50" i="5" s="1"/>
  <c r="AL50" i="6" s="1"/>
  <c r="AL50" i="7" s="1"/>
  <c r="AL50" i="8" s="1"/>
  <c r="AL50" i="9" s="1"/>
  <c r="AL50" i="10" s="1"/>
  <c r="AL50" i="11" s="1"/>
  <c r="AL50" i="12" s="1"/>
  <c r="AH50" i="2"/>
  <c r="AI49" i="2"/>
  <c r="AH49" i="2"/>
  <c r="AO47" i="2"/>
  <c r="AN47" i="2"/>
  <c r="AM47" i="2"/>
  <c r="AG47" i="2"/>
  <c r="AF47" i="2"/>
  <c r="AE47" i="2"/>
  <c r="AD47" i="2"/>
  <c r="AC47" i="2"/>
  <c r="AB47" i="2"/>
  <c r="AA47" i="2"/>
  <c r="Z47" i="2"/>
  <c r="Y47" i="2"/>
  <c r="X47" i="2"/>
  <c r="W47" i="2"/>
  <c r="V47" i="2"/>
  <c r="U47" i="2"/>
  <c r="T47" i="2"/>
  <c r="S47" i="2"/>
  <c r="R47" i="2"/>
  <c r="Q47" i="2"/>
  <c r="P47" i="2"/>
  <c r="O47" i="2"/>
  <c r="N47" i="2"/>
  <c r="M47" i="2"/>
  <c r="L47" i="2"/>
  <c r="K47" i="2"/>
  <c r="J47" i="2"/>
  <c r="I47" i="2"/>
  <c r="H47" i="2"/>
  <c r="G47" i="2"/>
  <c r="F47" i="2"/>
  <c r="E47" i="2"/>
  <c r="D47" i="2"/>
  <c r="C47" i="2"/>
  <c r="AH46" i="2"/>
  <c r="AH45" i="2"/>
  <c r="AH47" i="2" s="1"/>
  <c r="AL44" i="2"/>
  <c r="AK44" i="2"/>
  <c r="AJ44" i="2"/>
  <c r="AI44" i="2"/>
  <c r="AH44" i="2"/>
  <c r="AN43" i="2"/>
  <c r="AM43" i="2"/>
  <c r="AG43" i="2"/>
  <c r="AF43" i="2"/>
  <c r="AE43" i="2"/>
  <c r="AD43" i="2"/>
  <c r="AC43" i="2"/>
  <c r="AB43" i="2"/>
  <c r="AA43" i="2"/>
  <c r="Z43" i="2"/>
  <c r="Y43" i="2"/>
  <c r="X43" i="2"/>
  <c r="W43" i="2"/>
  <c r="V43" i="2"/>
  <c r="U43" i="2"/>
  <c r="T43" i="2"/>
  <c r="S43" i="2"/>
  <c r="R43" i="2"/>
  <c r="Q43" i="2"/>
  <c r="P43" i="2"/>
  <c r="O43" i="2"/>
  <c r="N43" i="2"/>
  <c r="M43" i="2"/>
  <c r="L43" i="2"/>
  <c r="K43" i="2"/>
  <c r="J43" i="2"/>
  <c r="I43" i="2"/>
  <c r="H43" i="2"/>
  <c r="G43" i="2"/>
  <c r="F43" i="2"/>
  <c r="E43" i="2"/>
  <c r="D43" i="2"/>
  <c r="C43" i="2"/>
  <c r="AL42" i="2"/>
  <c r="AL42" i="3" s="1"/>
  <c r="AL42" i="4" s="1"/>
  <c r="AL42" i="5" s="1"/>
  <c r="AL42" i="6" s="1"/>
  <c r="AL42" i="7" s="1"/>
  <c r="AL42" i="8" s="1"/>
  <c r="AL42" i="9" s="1"/>
  <c r="AL42" i="10" s="1"/>
  <c r="AL42" i="11" s="1"/>
  <c r="AL42" i="12" s="1"/>
  <c r="AK42" i="2"/>
  <c r="AK42" i="3" s="1"/>
  <c r="AK42" i="4" s="1"/>
  <c r="AK42" i="5" s="1"/>
  <c r="AK42" i="6" s="1"/>
  <c r="AK42" i="7" s="1"/>
  <c r="AK42" i="8" s="1"/>
  <c r="AK42" i="9" s="1"/>
  <c r="AK42" i="10" s="1"/>
  <c r="AK42" i="11" s="1"/>
  <c r="AK42" i="12" s="1"/>
  <c r="AH42" i="2"/>
  <c r="AL41" i="2"/>
  <c r="AI41" i="2"/>
  <c r="AI41" i="3" s="1"/>
  <c r="AH41" i="2"/>
  <c r="AH43" i="2" s="1"/>
  <c r="AN39" i="2"/>
  <c r="AO39" i="2" s="1"/>
  <c r="AM39" i="2"/>
  <c r="AG39" i="2"/>
  <c r="AF39" i="2"/>
  <c r="AE39" i="2"/>
  <c r="AD39" i="2"/>
  <c r="AC39" i="2"/>
  <c r="AB39" i="2"/>
  <c r="AA39" i="2"/>
  <c r="Z39" i="2"/>
  <c r="Y39" i="2"/>
  <c r="X39" i="2"/>
  <c r="W39" i="2"/>
  <c r="V39" i="2"/>
  <c r="U39" i="2"/>
  <c r="T39" i="2"/>
  <c r="S39" i="2"/>
  <c r="R39" i="2"/>
  <c r="Q39" i="2"/>
  <c r="P39" i="2"/>
  <c r="O39" i="2"/>
  <c r="N39" i="2"/>
  <c r="M39" i="2"/>
  <c r="L39" i="2"/>
  <c r="K39" i="2"/>
  <c r="J39" i="2"/>
  <c r="I39" i="2"/>
  <c r="H39" i="2"/>
  <c r="G39" i="2"/>
  <c r="F39" i="2"/>
  <c r="E39" i="2"/>
  <c r="D39" i="2"/>
  <c r="C39" i="2"/>
  <c r="AJ38" i="2"/>
  <c r="AJ38" i="3" s="1"/>
  <c r="AJ38" i="4" s="1"/>
  <c r="AJ38" i="5" s="1"/>
  <c r="AJ38" i="6" s="1"/>
  <c r="AJ38" i="7" s="1"/>
  <c r="AJ38" i="8" s="1"/>
  <c r="AJ38" i="9" s="1"/>
  <c r="AJ38" i="10" s="1"/>
  <c r="AJ38" i="11" s="1"/>
  <c r="AJ38" i="12" s="1"/>
  <c r="AH38" i="2"/>
  <c r="AK37" i="2"/>
  <c r="AH37" i="2"/>
  <c r="AH39" i="2" s="1"/>
  <c r="AN35" i="2"/>
  <c r="AM35" i="2"/>
  <c r="AG35" i="2"/>
  <c r="AF35" i="2"/>
  <c r="AE35" i="2"/>
  <c r="AD35" i="2"/>
  <c r="AC35" i="2"/>
  <c r="AB35" i="2"/>
  <c r="AA35" i="2"/>
  <c r="Z35" i="2"/>
  <c r="Y35" i="2"/>
  <c r="X35" i="2"/>
  <c r="W35" i="2"/>
  <c r="V35" i="2"/>
  <c r="U35" i="2"/>
  <c r="T35" i="2"/>
  <c r="S35" i="2"/>
  <c r="R35" i="2"/>
  <c r="Q35" i="2"/>
  <c r="P35" i="2"/>
  <c r="O35" i="2"/>
  <c r="N35" i="2"/>
  <c r="M35" i="2"/>
  <c r="L35" i="2"/>
  <c r="K35" i="2"/>
  <c r="J35" i="2"/>
  <c r="I35" i="2"/>
  <c r="H35" i="2"/>
  <c r="G35" i="2"/>
  <c r="F35" i="2"/>
  <c r="E35" i="2"/>
  <c r="D35" i="2"/>
  <c r="C35" i="2"/>
  <c r="AH34" i="2"/>
  <c r="AH35" i="2" s="1"/>
  <c r="AH33" i="2"/>
  <c r="AN31" i="2"/>
  <c r="AM31" i="2"/>
  <c r="AG31" i="2"/>
  <c r="AF31" i="2"/>
  <c r="AE31" i="2"/>
  <c r="AD31" i="2"/>
  <c r="AC31" i="2"/>
  <c r="AB31" i="2"/>
  <c r="AA31" i="2"/>
  <c r="Z31" i="2"/>
  <c r="Y31" i="2"/>
  <c r="X31" i="2"/>
  <c r="W31" i="2"/>
  <c r="V31" i="2"/>
  <c r="U31" i="2"/>
  <c r="T31" i="2"/>
  <c r="S31" i="2"/>
  <c r="R31" i="2"/>
  <c r="Q31" i="2"/>
  <c r="P31" i="2"/>
  <c r="O31" i="2"/>
  <c r="N31" i="2"/>
  <c r="M31" i="2"/>
  <c r="L31" i="2"/>
  <c r="K31" i="2"/>
  <c r="J31" i="2"/>
  <c r="I31" i="2"/>
  <c r="H31" i="2"/>
  <c r="G31" i="2"/>
  <c r="F31" i="2"/>
  <c r="E31" i="2"/>
  <c r="D31" i="2"/>
  <c r="C31" i="2"/>
  <c r="AI30" i="2"/>
  <c r="AI30" i="3" s="1"/>
  <c r="AI30" i="4" s="1"/>
  <c r="AI30" i="5" s="1"/>
  <c r="AI30" i="6" s="1"/>
  <c r="AI30" i="7" s="1"/>
  <c r="AI30" i="8" s="1"/>
  <c r="AI30" i="9" s="1"/>
  <c r="AI30" i="10" s="1"/>
  <c r="AI30" i="11" s="1"/>
  <c r="AI30" i="12" s="1"/>
  <c r="AH30" i="2"/>
  <c r="AH31" i="2" s="1"/>
  <c r="AJ29" i="2"/>
  <c r="AJ29" i="3" s="1"/>
  <c r="AH29" i="2"/>
  <c r="AN27" i="2"/>
  <c r="AM27" i="2"/>
  <c r="AG27" i="2"/>
  <c r="AF27" i="2"/>
  <c r="AE27" i="2"/>
  <c r="AD27" i="2"/>
  <c r="AC27" i="2"/>
  <c r="AB27" i="2"/>
  <c r="AA27" i="2"/>
  <c r="Z27" i="2"/>
  <c r="Y27" i="2"/>
  <c r="X27" i="2"/>
  <c r="W27" i="2"/>
  <c r="V27" i="2"/>
  <c r="U27" i="2"/>
  <c r="T27" i="2"/>
  <c r="S27" i="2"/>
  <c r="R27" i="2"/>
  <c r="Q27" i="2"/>
  <c r="P27" i="2"/>
  <c r="O27" i="2"/>
  <c r="N27" i="2"/>
  <c r="M27" i="2"/>
  <c r="L27" i="2"/>
  <c r="K27" i="2"/>
  <c r="J27" i="2"/>
  <c r="I27" i="2"/>
  <c r="H27" i="2"/>
  <c r="G27" i="2"/>
  <c r="F27" i="2"/>
  <c r="E27" i="2"/>
  <c r="D27" i="2"/>
  <c r="C27" i="2"/>
  <c r="AL26" i="2"/>
  <c r="AK26" i="2"/>
  <c r="AK26" i="3" s="1"/>
  <c r="AK26" i="4" s="1"/>
  <c r="AK26" i="5" s="1"/>
  <c r="AK26" i="6" s="1"/>
  <c r="AK26" i="7" s="1"/>
  <c r="AK26" i="8" s="1"/>
  <c r="AK26" i="9" s="1"/>
  <c r="AK26" i="10" s="1"/>
  <c r="AK26" i="11" s="1"/>
  <c r="AK26" i="12" s="1"/>
  <c r="AH26" i="2"/>
  <c r="AL25" i="2"/>
  <c r="AI25" i="2"/>
  <c r="AI27" i="2" s="1"/>
  <c r="AQ27" i="2" s="1"/>
  <c r="AH25" i="2"/>
  <c r="AH27" i="2" s="1"/>
  <c r="AN23" i="2"/>
  <c r="AO23" i="2" s="1"/>
  <c r="AO23" i="3" s="1"/>
  <c r="AO23" i="4" s="1"/>
  <c r="AO23" i="5" s="1"/>
  <c r="AM23" i="2"/>
  <c r="AG23" i="2"/>
  <c r="AF23" i="2"/>
  <c r="AE23" i="2"/>
  <c r="AD23" i="2"/>
  <c r="AC23" i="2"/>
  <c r="AB23" i="2"/>
  <c r="AA23" i="2"/>
  <c r="Z23" i="2"/>
  <c r="Y23" i="2"/>
  <c r="X23" i="2"/>
  <c r="W23" i="2"/>
  <c r="V23" i="2"/>
  <c r="U23" i="2"/>
  <c r="T23" i="2"/>
  <c r="S23" i="2"/>
  <c r="R23" i="2"/>
  <c r="Q23" i="2"/>
  <c r="P23" i="2"/>
  <c r="O23" i="2"/>
  <c r="N23" i="2"/>
  <c r="M23" i="2"/>
  <c r="L23" i="2"/>
  <c r="K23" i="2"/>
  <c r="J23" i="2"/>
  <c r="I23" i="2"/>
  <c r="H23" i="2"/>
  <c r="G23" i="2"/>
  <c r="F23" i="2"/>
  <c r="E23" i="2"/>
  <c r="D23" i="2"/>
  <c r="C23" i="2"/>
  <c r="AJ22" i="2"/>
  <c r="AJ22" i="3" s="1"/>
  <c r="AJ22" i="4" s="1"/>
  <c r="AJ22" i="5" s="1"/>
  <c r="AJ22" i="6" s="1"/>
  <c r="AJ22" i="7" s="1"/>
  <c r="AJ22" i="8" s="1"/>
  <c r="AJ22" i="9" s="1"/>
  <c r="AJ22" i="10" s="1"/>
  <c r="AJ22" i="11" s="1"/>
  <c r="AJ22" i="12" s="1"/>
  <c r="AH22" i="2"/>
  <c r="AK21" i="2"/>
  <c r="AH21" i="2"/>
  <c r="AH23" i="2" s="1"/>
  <c r="AN19" i="2"/>
  <c r="AM19" i="2"/>
  <c r="AG19" i="2"/>
  <c r="AF19" i="2"/>
  <c r="AE19" i="2"/>
  <c r="AD19" i="2"/>
  <c r="AC19" i="2"/>
  <c r="AB19" i="2"/>
  <c r="AA19" i="2"/>
  <c r="Z19" i="2"/>
  <c r="Y19" i="2"/>
  <c r="X19" i="2"/>
  <c r="W19" i="2"/>
  <c r="V19" i="2"/>
  <c r="U19" i="2"/>
  <c r="T19" i="2"/>
  <c r="S19" i="2"/>
  <c r="R19" i="2"/>
  <c r="Q19" i="2"/>
  <c r="P19" i="2"/>
  <c r="O19" i="2"/>
  <c r="N19" i="2"/>
  <c r="M19" i="2"/>
  <c r="L19" i="2"/>
  <c r="K19" i="2"/>
  <c r="J19" i="2"/>
  <c r="I19" i="2"/>
  <c r="H19" i="2"/>
  <c r="G19" i="2"/>
  <c r="F19" i="2"/>
  <c r="E19" i="2"/>
  <c r="D19" i="2"/>
  <c r="C19" i="2"/>
  <c r="AH18" i="2"/>
  <c r="AH19" i="2" s="1"/>
  <c r="AH17" i="2"/>
  <c r="AN15" i="2"/>
  <c r="AM15" i="2"/>
  <c r="AG15" i="2"/>
  <c r="AF15" i="2"/>
  <c r="AE15" i="2"/>
  <c r="AD15" i="2"/>
  <c r="AC15" i="2"/>
  <c r="AB15" i="2"/>
  <c r="AA15" i="2"/>
  <c r="Z15" i="2"/>
  <c r="Y15" i="2"/>
  <c r="X15" i="2"/>
  <c r="W15" i="2"/>
  <c r="V15" i="2"/>
  <c r="U15" i="2"/>
  <c r="T15" i="2"/>
  <c r="S15" i="2"/>
  <c r="R15" i="2"/>
  <c r="Q15" i="2"/>
  <c r="P15" i="2"/>
  <c r="O15" i="2"/>
  <c r="N15" i="2"/>
  <c r="M15" i="2"/>
  <c r="L15" i="2"/>
  <c r="K15" i="2"/>
  <c r="J15" i="2"/>
  <c r="I15" i="2"/>
  <c r="H15" i="2"/>
  <c r="G15" i="2"/>
  <c r="F15" i="2"/>
  <c r="E15" i="2"/>
  <c r="D15" i="2"/>
  <c r="C15" i="2"/>
  <c r="AI14" i="2"/>
  <c r="AH14" i="2"/>
  <c r="AH15" i="2" s="1"/>
  <c r="AJ13" i="2"/>
  <c r="AH13" i="2"/>
  <c r="AN11" i="2"/>
  <c r="AM11" i="2"/>
  <c r="AG11" i="2"/>
  <c r="AF11" i="2"/>
  <c r="AE11" i="2"/>
  <c r="AD11" i="2"/>
  <c r="AC11" i="2"/>
  <c r="AB11" i="2"/>
  <c r="AA11" i="2"/>
  <c r="Z11" i="2"/>
  <c r="Y11" i="2"/>
  <c r="X11" i="2"/>
  <c r="W11" i="2"/>
  <c r="V11" i="2"/>
  <c r="U11" i="2"/>
  <c r="T11" i="2"/>
  <c r="S11" i="2"/>
  <c r="R11" i="2"/>
  <c r="Q11" i="2"/>
  <c r="P11" i="2"/>
  <c r="O11" i="2"/>
  <c r="N11" i="2"/>
  <c r="M11" i="2"/>
  <c r="L11" i="2"/>
  <c r="K11" i="2"/>
  <c r="J11" i="2"/>
  <c r="I11" i="2"/>
  <c r="H11" i="2"/>
  <c r="G11" i="2"/>
  <c r="F11" i="2"/>
  <c r="E11" i="2"/>
  <c r="D11" i="2"/>
  <c r="C11" i="2"/>
  <c r="AL10" i="2"/>
  <c r="AK10" i="2"/>
  <c r="AK10" i="3" s="1"/>
  <c r="AK10" i="4" s="1"/>
  <c r="AK10" i="5" s="1"/>
  <c r="AK10" i="6" s="1"/>
  <c r="AK10" i="7" s="1"/>
  <c r="AK10" i="8" s="1"/>
  <c r="AK10" i="9" s="1"/>
  <c r="AK10" i="10" s="1"/>
  <c r="AK10" i="11" s="1"/>
  <c r="AK10" i="12" s="1"/>
  <c r="AH10" i="2"/>
  <c r="AL9" i="2"/>
  <c r="AI9" i="2"/>
  <c r="AI11" i="2" s="1"/>
  <c r="AQ11" i="2" s="1"/>
  <c r="AH9" i="2"/>
  <c r="AH11" i="2" s="1"/>
  <c r="AN7" i="2"/>
  <c r="AO7" i="2" s="1"/>
  <c r="AO7" i="3" s="1"/>
  <c r="AO7" i="4" s="1"/>
  <c r="AO7" i="5" s="1"/>
  <c r="AM7" i="2"/>
  <c r="AG7" i="2"/>
  <c r="AF7" i="2"/>
  <c r="AE7" i="2"/>
  <c r="AD7" i="2"/>
  <c r="AC7" i="2"/>
  <c r="AB7" i="2"/>
  <c r="AA7" i="2"/>
  <c r="Z7" i="2"/>
  <c r="Y7" i="2"/>
  <c r="X7" i="2"/>
  <c r="W7" i="2"/>
  <c r="V7" i="2"/>
  <c r="U7" i="2"/>
  <c r="T7" i="2"/>
  <c r="S7" i="2"/>
  <c r="R7" i="2"/>
  <c r="Q7" i="2"/>
  <c r="P7" i="2"/>
  <c r="O7" i="2"/>
  <c r="N7" i="2"/>
  <c r="M7" i="2"/>
  <c r="L7" i="2"/>
  <c r="K7" i="2"/>
  <c r="J7" i="2"/>
  <c r="I7" i="2"/>
  <c r="H7" i="2"/>
  <c r="G7" i="2"/>
  <c r="F7" i="2"/>
  <c r="E7" i="2"/>
  <c r="D7" i="2"/>
  <c r="C7" i="2"/>
  <c r="AJ6" i="2"/>
  <c r="AJ6" i="3" s="1"/>
  <c r="AJ6" i="4" s="1"/>
  <c r="AJ6" i="5" s="1"/>
  <c r="AJ6" i="6" s="1"/>
  <c r="AJ6" i="7" s="1"/>
  <c r="AJ6" i="8" s="1"/>
  <c r="AJ6" i="9" s="1"/>
  <c r="AJ6" i="10" s="1"/>
  <c r="AJ6" i="11" s="1"/>
  <c r="AJ6" i="12" s="1"/>
  <c r="AH6" i="2"/>
  <c r="AK5" i="2"/>
  <c r="AH5" i="2"/>
  <c r="AH7" i="2" s="1"/>
  <c r="AG3" i="2"/>
  <c r="AF3" i="2"/>
  <c r="AE3" i="2"/>
  <c r="AD3" i="2"/>
  <c r="AC3" i="2"/>
  <c r="AB3" i="2"/>
  <c r="AA3" i="2"/>
  <c r="Z3" i="2"/>
  <c r="Y3" i="2"/>
  <c r="X3" i="2"/>
  <c r="W3" i="2"/>
  <c r="V3" i="2"/>
  <c r="U3" i="2"/>
  <c r="T3" i="2"/>
  <c r="S3" i="2"/>
  <c r="R3" i="2"/>
  <c r="Q3" i="2"/>
  <c r="P3" i="2"/>
  <c r="O3" i="2"/>
  <c r="N3" i="2"/>
  <c r="M3" i="2"/>
  <c r="L3" i="2"/>
  <c r="K3" i="2"/>
  <c r="J3" i="2"/>
  <c r="I3" i="2"/>
  <c r="H3" i="2"/>
  <c r="G3" i="2"/>
  <c r="F3" i="2"/>
  <c r="E3" i="2"/>
  <c r="D3" i="2"/>
  <c r="C3" i="2"/>
  <c r="AO123" i="1"/>
  <c r="AN123" i="1"/>
  <c r="AK123" i="1"/>
  <c r="AG123" i="1"/>
  <c r="AF123" i="1"/>
  <c r="AE123" i="1"/>
  <c r="AD123" i="1"/>
  <c r="AC123" i="1"/>
  <c r="AB123" i="1"/>
  <c r="AA123" i="1"/>
  <c r="Z123" i="1"/>
  <c r="Y123" i="1"/>
  <c r="X123" i="1"/>
  <c r="W123" i="1"/>
  <c r="V123" i="1"/>
  <c r="U123" i="1"/>
  <c r="T123" i="1"/>
  <c r="S123" i="1"/>
  <c r="R123" i="1"/>
  <c r="Q123" i="1"/>
  <c r="P123" i="1"/>
  <c r="O123" i="1"/>
  <c r="N123" i="1"/>
  <c r="M123" i="1"/>
  <c r="L123" i="1"/>
  <c r="K123" i="1"/>
  <c r="J123" i="1"/>
  <c r="I123" i="1"/>
  <c r="H123" i="1"/>
  <c r="G123" i="1"/>
  <c r="F123" i="1"/>
  <c r="E123" i="1"/>
  <c r="D123" i="1"/>
  <c r="C123" i="1"/>
  <c r="AL122" i="1"/>
  <c r="AL122" i="2" s="1"/>
  <c r="AL122" i="3" s="1"/>
  <c r="AL122" i="4" s="1"/>
  <c r="AL122" i="5" s="1"/>
  <c r="AL122" i="6" s="1"/>
  <c r="AL122" i="7" s="1"/>
  <c r="AL122" i="8" s="1"/>
  <c r="AL122" i="9" s="1"/>
  <c r="AL122" i="10" s="1"/>
  <c r="AL122" i="11" s="1"/>
  <c r="AL122" i="12" s="1"/>
  <c r="AK122" i="1"/>
  <c r="AK122" i="2" s="1"/>
  <c r="AK122" i="3" s="1"/>
  <c r="AK122" i="4" s="1"/>
  <c r="AK122" i="5" s="1"/>
  <c r="AK122" i="6" s="1"/>
  <c r="AK122" i="7" s="1"/>
  <c r="AK122" i="8" s="1"/>
  <c r="AK122" i="9" s="1"/>
  <c r="AK122" i="10" s="1"/>
  <c r="AK122" i="11" s="1"/>
  <c r="AK122" i="12" s="1"/>
  <c r="AJ122" i="1"/>
  <c r="AI122" i="1"/>
  <c r="AH122" i="1"/>
  <c r="AL121" i="1"/>
  <c r="AK121" i="1"/>
  <c r="AJ121" i="1"/>
  <c r="AJ123" i="1" s="1"/>
  <c r="AR123" i="1" s="1"/>
  <c r="AI121" i="1"/>
  <c r="AI121" i="2" s="1"/>
  <c r="AI121" i="3" s="1"/>
  <c r="AH121" i="1"/>
  <c r="AH123" i="1" s="1"/>
  <c r="AN119" i="1"/>
  <c r="AO119" i="1" s="1"/>
  <c r="AG119" i="1"/>
  <c r="AF119" i="1"/>
  <c r="AE119" i="1"/>
  <c r="AD119" i="1"/>
  <c r="AC119" i="1"/>
  <c r="AB119" i="1"/>
  <c r="AA119" i="1"/>
  <c r="Z119" i="1"/>
  <c r="Y119" i="1"/>
  <c r="X119" i="1"/>
  <c r="W119" i="1"/>
  <c r="V119" i="1"/>
  <c r="U119" i="1"/>
  <c r="T119" i="1"/>
  <c r="S119" i="1"/>
  <c r="R119" i="1"/>
  <c r="Q119" i="1"/>
  <c r="P119" i="1"/>
  <c r="O119" i="1"/>
  <c r="N119" i="1"/>
  <c r="M119" i="1"/>
  <c r="L119" i="1"/>
  <c r="K119" i="1"/>
  <c r="J119" i="1"/>
  <c r="I119" i="1"/>
  <c r="H119" i="1"/>
  <c r="G119" i="1"/>
  <c r="F119" i="1"/>
  <c r="E119" i="1"/>
  <c r="D119" i="1"/>
  <c r="C119" i="1"/>
  <c r="AL118" i="1"/>
  <c r="AL118" i="2" s="1"/>
  <c r="AL118" i="3" s="1"/>
  <c r="AL118" i="4" s="1"/>
  <c r="AL118" i="5" s="1"/>
  <c r="AL118" i="6" s="1"/>
  <c r="AL118" i="7" s="1"/>
  <c r="AL118" i="8" s="1"/>
  <c r="AL118" i="9" s="1"/>
  <c r="AL118" i="10" s="1"/>
  <c r="AL118" i="11" s="1"/>
  <c r="AL118" i="12" s="1"/>
  <c r="AK118" i="1"/>
  <c r="AK118" i="2" s="1"/>
  <c r="AK118" i="3" s="1"/>
  <c r="AK118" i="4" s="1"/>
  <c r="AK118" i="5" s="1"/>
  <c r="AK118" i="6" s="1"/>
  <c r="AK118" i="7" s="1"/>
  <c r="AK118" i="8" s="1"/>
  <c r="AK118" i="9" s="1"/>
  <c r="AK118" i="10" s="1"/>
  <c r="AK118" i="11" s="1"/>
  <c r="AK118" i="12" s="1"/>
  <c r="AJ118" i="1"/>
  <c r="AJ118" i="2" s="1"/>
  <c r="AJ118" i="3" s="1"/>
  <c r="AJ118" i="4" s="1"/>
  <c r="AJ118" i="5" s="1"/>
  <c r="AJ118" i="6" s="1"/>
  <c r="AJ118" i="7" s="1"/>
  <c r="AJ118" i="8" s="1"/>
  <c r="AJ118" i="9" s="1"/>
  <c r="AJ118" i="10" s="1"/>
  <c r="AJ118" i="11" s="1"/>
  <c r="AJ118" i="12" s="1"/>
  <c r="AI118" i="1"/>
  <c r="AI119" i="1" s="1"/>
  <c r="AQ119" i="1" s="1"/>
  <c r="AH118" i="1"/>
  <c r="AL117" i="1"/>
  <c r="AL119" i="1" s="1"/>
  <c r="AK117" i="1"/>
  <c r="AK119" i="1" s="1"/>
  <c r="AJ117" i="1"/>
  <c r="AJ119" i="1" s="1"/>
  <c r="AR119" i="1" s="1"/>
  <c r="AI117" i="1"/>
  <c r="AI117" i="2" s="1"/>
  <c r="AH117" i="1"/>
  <c r="AH119" i="1" s="1"/>
  <c r="AO115" i="1"/>
  <c r="AO115" i="2" s="1"/>
  <c r="AN115" i="1"/>
  <c r="AK115" i="1"/>
  <c r="AG115" i="1"/>
  <c r="AF115" i="1"/>
  <c r="AE115" i="1"/>
  <c r="AD115" i="1"/>
  <c r="AC115" i="1"/>
  <c r="AB115" i="1"/>
  <c r="AA115" i="1"/>
  <c r="Z115" i="1"/>
  <c r="Y115" i="1"/>
  <c r="X115" i="1"/>
  <c r="W115" i="1"/>
  <c r="V115" i="1"/>
  <c r="U115" i="1"/>
  <c r="T115" i="1"/>
  <c r="S115" i="1"/>
  <c r="R115" i="1"/>
  <c r="Q115" i="1"/>
  <c r="P115" i="1"/>
  <c r="O115" i="1"/>
  <c r="N115" i="1"/>
  <c r="M115" i="1"/>
  <c r="L115" i="1"/>
  <c r="K115" i="1"/>
  <c r="J115" i="1"/>
  <c r="I115" i="1"/>
  <c r="H115" i="1"/>
  <c r="G115" i="1"/>
  <c r="F115" i="1"/>
  <c r="E115" i="1"/>
  <c r="D115" i="1"/>
  <c r="C115" i="1"/>
  <c r="AL114" i="1"/>
  <c r="AL114" i="2" s="1"/>
  <c r="AL114" i="3" s="1"/>
  <c r="AL114" i="4" s="1"/>
  <c r="AL114" i="5" s="1"/>
  <c r="AL114" i="6" s="1"/>
  <c r="AL114" i="7" s="1"/>
  <c r="AL114" i="8" s="1"/>
  <c r="AL114" i="9" s="1"/>
  <c r="AL114" i="10" s="1"/>
  <c r="AL114" i="11" s="1"/>
  <c r="AL114" i="12" s="1"/>
  <c r="AK114" i="1"/>
  <c r="AK114" i="2" s="1"/>
  <c r="AK114" i="3" s="1"/>
  <c r="AK114" i="4" s="1"/>
  <c r="AK114" i="5" s="1"/>
  <c r="AK114" i="6" s="1"/>
  <c r="AK114" i="7" s="1"/>
  <c r="AK114" i="8" s="1"/>
  <c r="AK114" i="9" s="1"/>
  <c r="AK114" i="10" s="1"/>
  <c r="AK114" i="11" s="1"/>
  <c r="AK114" i="12" s="1"/>
  <c r="AJ114" i="1"/>
  <c r="AJ115" i="1" s="1"/>
  <c r="AR115" i="1" s="1"/>
  <c r="AI114" i="1"/>
  <c r="AH114" i="1"/>
  <c r="AL113" i="1"/>
  <c r="AK113" i="1"/>
  <c r="AJ113" i="1"/>
  <c r="AI113" i="1"/>
  <c r="AI113" i="2" s="1"/>
  <c r="AH113" i="1"/>
  <c r="AH115" i="1" s="1"/>
  <c r="AN111" i="1"/>
  <c r="AO111" i="1" s="1"/>
  <c r="AO111" i="2" s="1"/>
  <c r="AG111" i="1"/>
  <c r="AF111" i="1"/>
  <c r="AE111" i="1"/>
  <c r="AD111" i="1"/>
  <c r="AC111" i="1"/>
  <c r="AB111" i="1"/>
  <c r="AA111" i="1"/>
  <c r="Z111" i="1"/>
  <c r="Y111" i="1"/>
  <c r="X111" i="1"/>
  <c r="W111" i="1"/>
  <c r="V111" i="1"/>
  <c r="U111" i="1"/>
  <c r="T111" i="1"/>
  <c r="S111" i="1"/>
  <c r="R111" i="1"/>
  <c r="Q111" i="1"/>
  <c r="P111" i="1"/>
  <c r="O111" i="1"/>
  <c r="N111" i="1"/>
  <c r="M111" i="1"/>
  <c r="L111" i="1"/>
  <c r="K111" i="1"/>
  <c r="J111" i="1"/>
  <c r="I111" i="1"/>
  <c r="H111" i="1"/>
  <c r="G111" i="1"/>
  <c r="F111" i="1"/>
  <c r="E111" i="1"/>
  <c r="D111" i="1"/>
  <c r="C111" i="1"/>
  <c r="AL110" i="1"/>
  <c r="AL111" i="1" s="1"/>
  <c r="AK110" i="1"/>
  <c r="AK110" i="2" s="1"/>
  <c r="AK110" i="3" s="1"/>
  <c r="AK110" i="4" s="1"/>
  <c r="AK110" i="5" s="1"/>
  <c r="AK110" i="6" s="1"/>
  <c r="AK110" i="7" s="1"/>
  <c r="AK110" i="8" s="1"/>
  <c r="AK110" i="9" s="1"/>
  <c r="AK110" i="10" s="1"/>
  <c r="AK110" i="11" s="1"/>
  <c r="AK110" i="12" s="1"/>
  <c r="AJ110" i="1"/>
  <c r="AJ110" i="2" s="1"/>
  <c r="AJ110" i="3" s="1"/>
  <c r="AJ110" i="4" s="1"/>
  <c r="AJ110" i="5" s="1"/>
  <c r="AJ110" i="6" s="1"/>
  <c r="AJ110" i="7" s="1"/>
  <c r="AJ110" i="8" s="1"/>
  <c r="AJ110" i="9" s="1"/>
  <c r="AJ110" i="10" s="1"/>
  <c r="AJ110" i="11" s="1"/>
  <c r="AJ110" i="12" s="1"/>
  <c r="AI110" i="1"/>
  <c r="AI110" i="2" s="1"/>
  <c r="AI110" i="3" s="1"/>
  <c r="AI110" i="4" s="1"/>
  <c r="AI110" i="5" s="1"/>
  <c r="AI110" i="6" s="1"/>
  <c r="AI110" i="7" s="1"/>
  <c r="AI110" i="8" s="1"/>
  <c r="AI110" i="9" s="1"/>
  <c r="AI110" i="10" s="1"/>
  <c r="AI110" i="11" s="1"/>
  <c r="AI110" i="12" s="1"/>
  <c r="AH110" i="1"/>
  <c r="AH111" i="1" s="1"/>
  <c r="AL109" i="1"/>
  <c r="AL109" i="2" s="1"/>
  <c r="AL109" i="3" s="1"/>
  <c r="AK109" i="1"/>
  <c r="AK109" i="2" s="1"/>
  <c r="AJ109" i="1"/>
  <c r="AI109" i="1"/>
  <c r="AH109" i="1"/>
  <c r="AO107" i="1"/>
  <c r="AN107" i="1"/>
  <c r="AK107" i="1"/>
  <c r="AG107" i="1"/>
  <c r="AF107" i="1"/>
  <c r="AE107" i="1"/>
  <c r="AD107" i="1"/>
  <c r="AC107" i="1"/>
  <c r="AB107" i="1"/>
  <c r="AA107" i="1"/>
  <c r="Z107" i="1"/>
  <c r="Y107" i="1"/>
  <c r="X107" i="1"/>
  <c r="W107" i="1"/>
  <c r="V107" i="1"/>
  <c r="U107" i="1"/>
  <c r="T107" i="1"/>
  <c r="S107" i="1"/>
  <c r="R107" i="1"/>
  <c r="Q107" i="1"/>
  <c r="P107" i="1"/>
  <c r="O107" i="1"/>
  <c r="N107" i="1"/>
  <c r="M107" i="1"/>
  <c r="L107" i="1"/>
  <c r="K107" i="1"/>
  <c r="J107" i="1"/>
  <c r="I107" i="1"/>
  <c r="H107" i="1"/>
  <c r="G107" i="1"/>
  <c r="F107" i="1"/>
  <c r="E107" i="1"/>
  <c r="D107" i="1"/>
  <c r="C107" i="1"/>
  <c r="AL106" i="1"/>
  <c r="AL106" i="2" s="1"/>
  <c r="AL106" i="3" s="1"/>
  <c r="AL106" i="4" s="1"/>
  <c r="AL106" i="5" s="1"/>
  <c r="AL106" i="6" s="1"/>
  <c r="AL106" i="7" s="1"/>
  <c r="AL106" i="8" s="1"/>
  <c r="AL106" i="9" s="1"/>
  <c r="AL106" i="10" s="1"/>
  <c r="AL106" i="11" s="1"/>
  <c r="AL106" i="12" s="1"/>
  <c r="AK106" i="1"/>
  <c r="AK106" i="2" s="1"/>
  <c r="AK106" i="3" s="1"/>
  <c r="AK106" i="4" s="1"/>
  <c r="AK106" i="5" s="1"/>
  <c r="AK106" i="6" s="1"/>
  <c r="AK106" i="7" s="1"/>
  <c r="AK106" i="8" s="1"/>
  <c r="AK106" i="9" s="1"/>
  <c r="AK106" i="10" s="1"/>
  <c r="AK106" i="11" s="1"/>
  <c r="AK106" i="12" s="1"/>
  <c r="AJ106" i="1"/>
  <c r="AJ106" i="2" s="1"/>
  <c r="AJ106" i="3" s="1"/>
  <c r="AJ106" i="4" s="1"/>
  <c r="AJ106" i="5" s="1"/>
  <c r="AJ106" i="6" s="1"/>
  <c r="AJ106" i="7" s="1"/>
  <c r="AJ106" i="8" s="1"/>
  <c r="AJ106" i="9" s="1"/>
  <c r="AJ106" i="10" s="1"/>
  <c r="AJ106" i="11" s="1"/>
  <c r="AJ106" i="12" s="1"/>
  <c r="AI106" i="1"/>
  <c r="AI106" i="2" s="1"/>
  <c r="AI106" i="3" s="1"/>
  <c r="AI106" i="4" s="1"/>
  <c r="AI106" i="5" s="1"/>
  <c r="AI106" i="6" s="1"/>
  <c r="AI106" i="7" s="1"/>
  <c r="AI106" i="8" s="1"/>
  <c r="AI106" i="9" s="1"/>
  <c r="AI106" i="10" s="1"/>
  <c r="AI106" i="11" s="1"/>
  <c r="AI106" i="12" s="1"/>
  <c r="AH106" i="1"/>
  <c r="AL105" i="1"/>
  <c r="AK105" i="1"/>
  <c r="AK105" i="2" s="1"/>
  <c r="AK105" i="3" s="1"/>
  <c r="AJ105" i="1"/>
  <c r="AJ105" i="2" s="1"/>
  <c r="AI105" i="1"/>
  <c r="AH105" i="1"/>
  <c r="AO103" i="1"/>
  <c r="AN103" i="1"/>
  <c r="AG103" i="1"/>
  <c r="AF103" i="1"/>
  <c r="AE103" i="1"/>
  <c r="AD103" i="1"/>
  <c r="AC103" i="1"/>
  <c r="AB103" i="1"/>
  <c r="AA103" i="1"/>
  <c r="Z103" i="1"/>
  <c r="Y103" i="1"/>
  <c r="X103" i="1"/>
  <c r="W103" i="1"/>
  <c r="V103" i="1"/>
  <c r="U103" i="1"/>
  <c r="T103" i="1"/>
  <c r="S103" i="1"/>
  <c r="R103" i="1"/>
  <c r="Q103" i="1"/>
  <c r="P103" i="1"/>
  <c r="O103" i="1"/>
  <c r="N103" i="1"/>
  <c r="M103" i="1"/>
  <c r="L103" i="1"/>
  <c r="K103" i="1"/>
  <c r="J103" i="1"/>
  <c r="I103" i="1"/>
  <c r="H103" i="1"/>
  <c r="G103" i="1"/>
  <c r="F103" i="1"/>
  <c r="E103" i="1"/>
  <c r="D103" i="1"/>
  <c r="C103" i="1"/>
  <c r="AL102" i="1"/>
  <c r="AL103" i="1" s="1"/>
  <c r="AK102" i="1"/>
  <c r="AJ102" i="1"/>
  <c r="AJ102" i="2" s="1"/>
  <c r="AI102" i="1"/>
  <c r="AI102" i="2" s="1"/>
  <c r="AI102" i="3" s="1"/>
  <c r="AI102" i="4" s="1"/>
  <c r="AI102" i="5" s="1"/>
  <c r="AI102" i="6" s="1"/>
  <c r="AI102" i="7" s="1"/>
  <c r="AI102" i="8" s="1"/>
  <c r="AI102" i="9" s="1"/>
  <c r="AI102" i="10" s="1"/>
  <c r="AI102" i="11" s="1"/>
  <c r="AI102" i="12" s="1"/>
  <c r="AH102" i="1"/>
  <c r="AH103" i="1" s="1"/>
  <c r="AL101" i="1"/>
  <c r="AK101" i="1"/>
  <c r="AK103" i="1" s="1"/>
  <c r="AJ101" i="1"/>
  <c r="AJ101" i="2" s="1"/>
  <c r="AJ101" i="3" s="1"/>
  <c r="AI101" i="1"/>
  <c r="AI101" i="2" s="1"/>
  <c r="AH101" i="1"/>
  <c r="AO99" i="1"/>
  <c r="AN99" i="1"/>
  <c r="AG99" i="1"/>
  <c r="AF99" i="1"/>
  <c r="AE99" i="1"/>
  <c r="AD99" i="1"/>
  <c r="AC99" i="1"/>
  <c r="AB99" i="1"/>
  <c r="AA99" i="1"/>
  <c r="Z99" i="1"/>
  <c r="Y99" i="1"/>
  <c r="X99" i="1"/>
  <c r="W99" i="1"/>
  <c r="V99" i="1"/>
  <c r="U99" i="1"/>
  <c r="T99" i="1"/>
  <c r="S99" i="1"/>
  <c r="R99" i="1"/>
  <c r="Q99" i="1"/>
  <c r="P99" i="1"/>
  <c r="O99" i="1"/>
  <c r="N99" i="1"/>
  <c r="M99" i="1"/>
  <c r="L99" i="1"/>
  <c r="K99" i="1"/>
  <c r="J99" i="1"/>
  <c r="I99" i="1"/>
  <c r="H99" i="1"/>
  <c r="G99" i="1"/>
  <c r="F99" i="1"/>
  <c r="E99" i="1"/>
  <c r="D99" i="1"/>
  <c r="C99" i="1"/>
  <c r="AL98" i="1"/>
  <c r="AL98" i="2" s="1"/>
  <c r="AL98" i="3" s="1"/>
  <c r="AK98" i="1"/>
  <c r="AK98" i="2" s="1"/>
  <c r="AK98" i="3" s="1"/>
  <c r="AK98" i="4" s="1"/>
  <c r="AK98" i="5" s="1"/>
  <c r="AK98" i="6" s="1"/>
  <c r="AK98" i="7" s="1"/>
  <c r="AK98" i="8" s="1"/>
  <c r="AK98" i="9" s="1"/>
  <c r="AK98" i="10" s="1"/>
  <c r="AK98" i="11" s="1"/>
  <c r="AK98" i="12" s="1"/>
  <c r="AJ98" i="1"/>
  <c r="AJ99" i="1" s="1"/>
  <c r="AR99" i="1" s="1"/>
  <c r="AI98" i="1"/>
  <c r="AI98" i="2" s="1"/>
  <c r="AI98" i="3" s="1"/>
  <c r="AI98" i="4" s="1"/>
  <c r="AI98" i="5" s="1"/>
  <c r="AI98" i="6" s="1"/>
  <c r="AI98" i="7" s="1"/>
  <c r="AI98" i="8" s="1"/>
  <c r="AI98" i="9" s="1"/>
  <c r="AI98" i="10" s="1"/>
  <c r="AI98" i="11" s="1"/>
  <c r="AI98" i="12" s="1"/>
  <c r="AH98" i="1"/>
  <c r="AL97" i="1"/>
  <c r="AL97" i="2" s="1"/>
  <c r="AK97" i="1"/>
  <c r="AJ97" i="1"/>
  <c r="AJ97" i="2" s="1"/>
  <c r="AJ99" i="2" s="1"/>
  <c r="AR99" i="2" s="1"/>
  <c r="AI97" i="1"/>
  <c r="AH97" i="1"/>
  <c r="AH99" i="1" s="1"/>
  <c r="AO95" i="1"/>
  <c r="AN95" i="1"/>
  <c r="AI95" i="1"/>
  <c r="AQ95" i="1" s="1"/>
  <c r="AG95" i="1"/>
  <c r="AF95" i="1"/>
  <c r="AE95" i="1"/>
  <c r="AD95" i="1"/>
  <c r="AC95" i="1"/>
  <c r="AB95" i="1"/>
  <c r="AA95" i="1"/>
  <c r="Z95" i="1"/>
  <c r="Y95" i="1"/>
  <c r="X95" i="1"/>
  <c r="W95" i="1"/>
  <c r="V95" i="1"/>
  <c r="U95" i="1"/>
  <c r="T95" i="1"/>
  <c r="S95" i="1"/>
  <c r="R95" i="1"/>
  <c r="Q95" i="1"/>
  <c r="P95" i="1"/>
  <c r="O95" i="1"/>
  <c r="N95" i="1"/>
  <c r="M95" i="1"/>
  <c r="L95" i="1"/>
  <c r="K95" i="1"/>
  <c r="J95" i="1"/>
  <c r="I95" i="1"/>
  <c r="H95" i="1"/>
  <c r="G95" i="1"/>
  <c r="F95" i="1"/>
  <c r="E95" i="1"/>
  <c r="D95" i="1"/>
  <c r="C95" i="1"/>
  <c r="AL94" i="1"/>
  <c r="AL94" i="2" s="1"/>
  <c r="AL94" i="3" s="1"/>
  <c r="AL94" i="4" s="1"/>
  <c r="AL94" i="5" s="1"/>
  <c r="AL94" i="6" s="1"/>
  <c r="AL94" i="7" s="1"/>
  <c r="AL94" i="8" s="1"/>
  <c r="AL94" i="9" s="1"/>
  <c r="AL94" i="10" s="1"/>
  <c r="AL94" i="11" s="1"/>
  <c r="AL94" i="12" s="1"/>
  <c r="AK94" i="1"/>
  <c r="AK94" i="2" s="1"/>
  <c r="AK94" i="3" s="1"/>
  <c r="AK94" i="4" s="1"/>
  <c r="AK94" i="5" s="1"/>
  <c r="AK94" i="6" s="1"/>
  <c r="AK94" i="7" s="1"/>
  <c r="AK94" i="8" s="1"/>
  <c r="AK94" i="9" s="1"/>
  <c r="AK94" i="10" s="1"/>
  <c r="AK94" i="11" s="1"/>
  <c r="AK94" i="12" s="1"/>
  <c r="AJ94" i="1"/>
  <c r="AJ94" i="2" s="1"/>
  <c r="AJ94" i="3" s="1"/>
  <c r="AJ94" i="4" s="1"/>
  <c r="AJ94" i="5" s="1"/>
  <c r="AJ94" i="6" s="1"/>
  <c r="AJ94" i="7" s="1"/>
  <c r="AJ94" i="8" s="1"/>
  <c r="AJ94" i="9" s="1"/>
  <c r="AJ94" i="10" s="1"/>
  <c r="AJ94" i="11" s="1"/>
  <c r="AJ94" i="12" s="1"/>
  <c r="AI94" i="1"/>
  <c r="AH94" i="1"/>
  <c r="AH95" i="1" s="1"/>
  <c r="AL93" i="1"/>
  <c r="AL93" i="2" s="1"/>
  <c r="AK93" i="1"/>
  <c r="AJ93" i="1"/>
  <c r="AJ93" i="2" s="1"/>
  <c r="AI93" i="1"/>
  <c r="AI93" i="2" s="1"/>
  <c r="AI93" i="3" s="1"/>
  <c r="AI95" i="3" s="1"/>
  <c r="AQ95" i="3" s="1"/>
  <c r="AH93" i="1"/>
  <c r="AO91" i="1"/>
  <c r="AO91" i="2" s="1"/>
  <c r="AO91" i="3" s="1"/>
  <c r="AN91" i="1"/>
  <c r="AG91" i="1"/>
  <c r="AF91" i="1"/>
  <c r="AE91" i="1"/>
  <c r="AD91" i="1"/>
  <c r="AC91" i="1"/>
  <c r="AB91" i="1"/>
  <c r="AA91" i="1"/>
  <c r="Z91" i="1"/>
  <c r="Y91" i="1"/>
  <c r="X91" i="1"/>
  <c r="W91" i="1"/>
  <c r="V91" i="1"/>
  <c r="U91" i="1"/>
  <c r="T91" i="1"/>
  <c r="S91" i="1"/>
  <c r="R91" i="1"/>
  <c r="Q91" i="1"/>
  <c r="P91" i="1"/>
  <c r="O91" i="1"/>
  <c r="N91" i="1"/>
  <c r="M91" i="1"/>
  <c r="L91" i="1"/>
  <c r="K91" i="1"/>
  <c r="J91" i="1"/>
  <c r="I91" i="1"/>
  <c r="H91" i="1"/>
  <c r="G91" i="1"/>
  <c r="F91" i="1"/>
  <c r="E91" i="1"/>
  <c r="D91" i="1"/>
  <c r="C91" i="1"/>
  <c r="AL90" i="1"/>
  <c r="AL90" i="2" s="1"/>
  <c r="AK90" i="1"/>
  <c r="AK90" i="2" s="1"/>
  <c r="AK90" i="3" s="1"/>
  <c r="AK90" i="4" s="1"/>
  <c r="AK90" i="5" s="1"/>
  <c r="AK90" i="6" s="1"/>
  <c r="AK90" i="7" s="1"/>
  <c r="AK90" i="8" s="1"/>
  <c r="AK90" i="9" s="1"/>
  <c r="AK90" i="10" s="1"/>
  <c r="AK90" i="11" s="1"/>
  <c r="AK90" i="12" s="1"/>
  <c r="AJ90" i="1"/>
  <c r="AJ91" i="1" s="1"/>
  <c r="AR91" i="1" s="1"/>
  <c r="AI90" i="1"/>
  <c r="AH90" i="1"/>
  <c r="AH91" i="1" s="1"/>
  <c r="AL89" i="1"/>
  <c r="AL89" i="2" s="1"/>
  <c r="AL89" i="3" s="1"/>
  <c r="AK89" i="1"/>
  <c r="AK89" i="2" s="1"/>
  <c r="AJ89" i="1"/>
  <c r="AI89" i="1"/>
  <c r="AI91" i="1" s="1"/>
  <c r="AQ91" i="1" s="1"/>
  <c r="AH89" i="1"/>
  <c r="AO87" i="1"/>
  <c r="AO87" i="2" s="1"/>
  <c r="AN87" i="1"/>
  <c r="AG87" i="1"/>
  <c r="AF87" i="1"/>
  <c r="AE87" i="1"/>
  <c r="AD87" i="1"/>
  <c r="AC87" i="1"/>
  <c r="AB87" i="1"/>
  <c r="AA87" i="1"/>
  <c r="Z87" i="1"/>
  <c r="Y87" i="1"/>
  <c r="X87" i="1"/>
  <c r="W87" i="1"/>
  <c r="V87" i="1"/>
  <c r="U87" i="1"/>
  <c r="T87" i="1"/>
  <c r="S87" i="1"/>
  <c r="R87" i="1"/>
  <c r="Q87" i="1"/>
  <c r="P87" i="1"/>
  <c r="O87" i="1"/>
  <c r="N87" i="1"/>
  <c r="M87" i="1"/>
  <c r="L87" i="1"/>
  <c r="K87" i="1"/>
  <c r="J87" i="1"/>
  <c r="I87" i="1"/>
  <c r="H87" i="1"/>
  <c r="G87" i="1"/>
  <c r="F87" i="1"/>
  <c r="E87" i="1"/>
  <c r="D87" i="1"/>
  <c r="C87" i="1"/>
  <c r="AL86" i="1"/>
  <c r="AL87" i="1" s="1"/>
  <c r="AK86" i="1"/>
  <c r="AJ86" i="1"/>
  <c r="AJ86" i="2" s="1"/>
  <c r="AJ86" i="3" s="1"/>
  <c r="AI86" i="1"/>
  <c r="AI86" i="2" s="1"/>
  <c r="AI86" i="3" s="1"/>
  <c r="AI86" i="4" s="1"/>
  <c r="AI86" i="5" s="1"/>
  <c r="AI86" i="6" s="1"/>
  <c r="AI86" i="7" s="1"/>
  <c r="AI86" i="8" s="1"/>
  <c r="AI86" i="9" s="1"/>
  <c r="AI86" i="10" s="1"/>
  <c r="AI86" i="11" s="1"/>
  <c r="AI86" i="12" s="1"/>
  <c r="AH86" i="1"/>
  <c r="AH87" i="1" s="1"/>
  <c r="AL85" i="1"/>
  <c r="AK85" i="1"/>
  <c r="AJ85" i="1"/>
  <c r="AJ85" i="2" s="1"/>
  <c r="AI85" i="1"/>
  <c r="AH85" i="1"/>
  <c r="AO83" i="1"/>
  <c r="AN83" i="1"/>
  <c r="AK83" i="1"/>
  <c r="AG83" i="1"/>
  <c r="AF83" i="1"/>
  <c r="AE83" i="1"/>
  <c r="AD83" i="1"/>
  <c r="AC83" i="1"/>
  <c r="AB83" i="1"/>
  <c r="AA83" i="1"/>
  <c r="Z83" i="1"/>
  <c r="Y83" i="1"/>
  <c r="X83" i="1"/>
  <c r="W83" i="1"/>
  <c r="V83" i="1"/>
  <c r="U83" i="1"/>
  <c r="T83" i="1"/>
  <c r="S83" i="1"/>
  <c r="R83" i="1"/>
  <c r="Q83" i="1"/>
  <c r="P83" i="1"/>
  <c r="O83" i="1"/>
  <c r="N83" i="1"/>
  <c r="M83" i="1"/>
  <c r="L83" i="1"/>
  <c r="K83" i="1"/>
  <c r="J83" i="1"/>
  <c r="I83" i="1"/>
  <c r="H83" i="1"/>
  <c r="G83" i="1"/>
  <c r="F83" i="1"/>
  <c r="E83" i="1"/>
  <c r="D83" i="1"/>
  <c r="C83" i="1"/>
  <c r="AL82" i="1"/>
  <c r="AL82" i="2" s="1"/>
  <c r="AL82" i="3" s="1"/>
  <c r="AL82" i="4" s="1"/>
  <c r="AL82" i="5" s="1"/>
  <c r="AL82" i="6" s="1"/>
  <c r="AL82" i="7" s="1"/>
  <c r="AL82" i="8" s="1"/>
  <c r="AL82" i="9" s="1"/>
  <c r="AL82" i="10" s="1"/>
  <c r="AL82" i="11" s="1"/>
  <c r="AL82" i="12" s="1"/>
  <c r="AK82" i="1"/>
  <c r="AK82" i="2" s="1"/>
  <c r="AK82" i="3" s="1"/>
  <c r="AK82" i="4" s="1"/>
  <c r="AK82" i="5" s="1"/>
  <c r="AK82" i="6" s="1"/>
  <c r="AK82" i="7" s="1"/>
  <c r="AK82" i="8" s="1"/>
  <c r="AK82" i="9" s="1"/>
  <c r="AK82" i="10" s="1"/>
  <c r="AK82" i="11" s="1"/>
  <c r="AK82" i="12" s="1"/>
  <c r="AJ82" i="1"/>
  <c r="AJ83" i="1" s="1"/>
  <c r="AR83" i="1" s="1"/>
  <c r="AI82" i="1"/>
  <c r="AI82" i="2" s="1"/>
  <c r="AI82" i="3" s="1"/>
  <c r="AI82" i="4" s="1"/>
  <c r="AI82" i="5" s="1"/>
  <c r="AI82" i="6" s="1"/>
  <c r="AI82" i="7" s="1"/>
  <c r="AI82" i="8" s="1"/>
  <c r="AI82" i="9" s="1"/>
  <c r="AI82" i="10" s="1"/>
  <c r="AI82" i="11" s="1"/>
  <c r="AI82" i="12" s="1"/>
  <c r="AH82" i="1"/>
  <c r="AH83" i="1" s="1"/>
  <c r="AL81" i="1"/>
  <c r="AL81" i="2" s="1"/>
  <c r="AK81" i="1"/>
  <c r="AJ81" i="1"/>
  <c r="AJ81" i="2" s="1"/>
  <c r="AJ81" i="3" s="1"/>
  <c r="AI81" i="1"/>
  <c r="AH81" i="1"/>
  <c r="AN79" i="1"/>
  <c r="AO79" i="1" s="1"/>
  <c r="AG79" i="1"/>
  <c r="AF79" i="1"/>
  <c r="AE79" i="1"/>
  <c r="AD79" i="1"/>
  <c r="AC79" i="1"/>
  <c r="AB79" i="1"/>
  <c r="AA79" i="1"/>
  <c r="Z79" i="1"/>
  <c r="Y79" i="1"/>
  <c r="X79" i="1"/>
  <c r="W79" i="1"/>
  <c r="V79" i="1"/>
  <c r="U79" i="1"/>
  <c r="T79" i="1"/>
  <c r="S79" i="1"/>
  <c r="R79" i="1"/>
  <c r="Q79" i="1"/>
  <c r="P79" i="1"/>
  <c r="O79" i="1"/>
  <c r="N79" i="1"/>
  <c r="M79" i="1"/>
  <c r="L79" i="1"/>
  <c r="K79" i="1"/>
  <c r="J79" i="1"/>
  <c r="I79" i="1"/>
  <c r="H79" i="1"/>
  <c r="G79" i="1"/>
  <c r="F79" i="1"/>
  <c r="E79" i="1"/>
  <c r="D79" i="1"/>
  <c r="C79" i="1"/>
  <c r="AL78" i="1"/>
  <c r="AL78" i="2" s="1"/>
  <c r="AL78" i="3" s="1"/>
  <c r="AL78" i="4" s="1"/>
  <c r="AL78" i="5" s="1"/>
  <c r="AL78" i="6" s="1"/>
  <c r="AL78" i="7" s="1"/>
  <c r="AL78" i="8" s="1"/>
  <c r="AL78" i="9" s="1"/>
  <c r="AL78" i="10" s="1"/>
  <c r="AL78" i="11" s="1"/>
  <c r="AL78" i="12" s="1"/>
  <c r="AK78" i="1"/>
  <c r="AK78" i="2" s="1"/>
  <c r="AJ78" i="1"/>
  <c r="AJ78" i="2" s="1"/>
  <c r="AJ78" i="3" s="1"/>
  <c r="AJ78" i="4" s="1"/>
  <c r="AJ78" i="5" s="1"/>
  <c r="AJ78" i="6" s="1"/>
  <c r="AJ78" i="7" s="1"/>
  <c r="AJ78" i="8" s="1"/>
  <c r="AJ78" i="9" s="1"/>
  <c r="AJ78" i="10" s="1"/>
  <c r="AJ78" i="11" s="1"/>
  <c r="AJ78" i="12" s="1"/>
  <c r="AI78" i="1"/>
  <c r="AI78" i="2" s="1"/>
  <c r="AI78" i="3" s="1"/>
  <c r="AI78" i="4" s="1"/>
  <c r="AI78" i="5" s="1"/>
  <c r="AI78" i="6" s="1"/>
  <c r="AI78" i="7" s="1"/>
  <c r="AI78" i="8" s="1"/>
  <c r="AI78" i="9" s="1"/>
  <c r="AI78" i="10" s="1"/>
  <c r="AI78" i="11" s="1"/>
  <c r="AI78" i="12" s="1"/>
  <c r="AH78" i="1"/>
  <c r="AH79" i="1" s="1"/>
  <c r="AL77" i="1"/>
  <c r="AL77" i="2" s="1"/>
  <c r="AK77" i="1"/>
  <c r="AJ77" i="1"/>
  <c r="AJ79" i="1" s="1"/>
  <c r="AR79" i="1" s="1"/>
  <c r="AI77" i="1"/>
  <c r="AI77" i="2" s="1"/>
  <c r="AI77" i="3" s="1"/>
  <c r="AH77" i="1"/>
  <c r="AQ75" i="1"/>
  <c r="AO75" i="1"/>
  <c r="AO75" i="2" s="1"/>
  <c r="AN75" i="1"/>
  <c r="AL75" i="1"/>
  <c r="AK75" i="1"/>
  <c r="AG75" i="1"/>
  <c r="AF75" i="1"/>
  <c r="AE75" i="1"/>
  <c r="AD75" i="1"/>
  <c r="AC75" i="1"/>
  <c r="AB75" i="1"/>
  <c r="AA75" i="1"/>
  <c r="Z75" i="1"/>
  <c r="Y75" i="1"/>
  <c r="X75" i="1"/>
  <c r="W75" i="1"/>
  <c r="V75" i="1"/>
  <c r="U75" i="1"/>
  <c r="T75" i="1"/>
  <c r="S75" i="1"/>
  <c r="R75" i="1"/>
  <c r="Q75" i="1"/>
  <c r="P75" i="1"/>
  <c r="O75" i="1"/>
  <c r="N75" i="1"/>
  <c r="M75" i="1"/>
  <c r="L75" i="1"/>
  <c r="K75" i="1"/>
  <c r="J75" i="1"/>
  <c r="I75" i="1"/>
  <c r="H75" i="1"/>
  <c r="G75" i="1"/>
  <c r="F75" i="1"/>
  <c r="E75" i="1"/>
  <c r="D75" i="1"/>
  <c r="C75" i="1"/>
  <c r="AL74" i="1"/>
  <c r="AL74" i="2" s="1"/>
  <c r="AK74" i="1"/>
  <c r="AK74" i="2" s="1"/>
  <c r="AK74" i="3" s="1"/>
  <c r="AK74" i="4" s="1"/>
  <c r="AK74" i="5" s="1"/>
  <c r="AK74" i="6" s="1"/>
  <c r="AK74" i="7" s="1"/>
  <c r="AK74" i="8" s="1"/>
  <c r="AK74" i="9" s="1"/>
  <c r="AK74" i="10" s="1"/>
  <c r="AK74" i="11" s="1"/>
  <c r="AK74" i="12" s="1"/>
  <c r="AJ74" i="1"/>
  <c r="AJ75" i="1" s="1"/>
  <c r="AR75" i="1" s="1"/>
  <c r="AI74" i="1"/>
  <c r="AH74" i="1"/>
  <c r="AH75" i="1" s="1"/>
  <c r="AL73" i="1"/>
  <c r="AL73" i="2" s="1"/>
  <c r="AL73" i="3" s="1"/>
  <c r="AK73" i="1"/>
  <c r="AK73" i="2" s="1"/>
  <c r="AJ73" i="1"/>
  <c r="AI73" i="1"/>
  <c r="AI75" i="1" s="1"/>
  <c r="AH73" i="1"/>
  <c r="AO71" i="1"/>
  <c r="AO71" i="2" s="1"/>
  <c r="AN71" i="1"/>
  <c r="AG71" i="1"/>
  <c r="AF71" i="1"/>
  <c r="AE71" i="1"/>
  <c r="AD71" i="1"/>
  <c r="AC71" i="1"/>
  <c r="AB71" i="1"/>
  <c r="AA71" i="1"/>
  <c r="Z71" i="1"/>
  <c r="Y71" i="1"/>
  <c r="X71" i="1"/>
  <c r="W71" i="1"/>
  <c r="V71" i="1"/>
  <c r="U71" i="1"/>
  <c r="T71" i="1"/>
  <c r="S71" i="1"/>
  <c r="R71" i="1"/>
  <c r="Q71" i="1"/>
  <c r="P71" i="1"/>
  <c r="O71" i="1"/>
  <c r="N71" i="1"/>
  <c r="M71" i="1"/>
  <c r="L71" i="1"/>
  <c r="K71" i="1"/>
  <c r="J71" i="1"/>
  <c r="I71" i="1"/>
  <c r="H71" i="1"/>
  <c r="G71" i="1"/>
  <c r="F71" i="1"/>
  <c r="E71" i="1"/>
  <c r="D71" i="1"/>
  <c r="C71" i="1"/>
  <c r="AL70" i="1"/>
  <c r="AL70" i="2" s="1"/>
  <c r="AL70" i="3" s="1"/>
  <c r="AL70" i="4" s="1"/>
  <c r="AL70" i="5" s="1"/>
  <c r="AL70" i="6" s="1"/>
  <c r="AL70" i="7" s="1"/>
  <c r="AL70" i="8" s="1"/>
  <c r="AL70" i="9" s="1"/>
  <c r="AL70" i="10" s="1"/>
  <c r="AL70" i="11" s="1"/>
  <c r="AL70" i="12" s="1"/>
  <c r="AK70" i="1"/>
  <c r="AK70" i="2" s="1"/>
  <c r="AK70" i="3" s="1"/>
  <c r="AK70" i="4" s="1"/>
  <c r="AK70" i="5" s="1"/>
  <c r="AK70" i="6" s="1"/>
  <c r="AK70" i="7" s="1"/>
  <c r="AK70" i="8" s="1"/>
  <c r="AK70" i="9" s="1"/>
  <c r="AK70" i="10" s="1"/>
  <c r="AK70" i="11" s="1"/>
  <c r="AK70" i="12" s="1"/>
  <c r="AJ70" i="1"/>
  <c r="AJ70" i="2" s="1"/>
  <c r="AJ70" i="3" s="1"/>
  <c r="AJ70" i="4" s="1"/>
  <c r="AJ70" i="5" s="1"/>
  <c r="AJ70" i="6" s="1"/>
  <c r="AJ70" i="7" s="1"/>
  <c r="AJ70" i="8" s="1"/>
  <c r="AJ70" i="9" s="1"/>
  <c r="AJ70" i="10" s="1"/>
  <c r="AJ70" i="11" s="1"/>
  <c r="AJ70" i="12" s="1"/>
  <c r="AI70" i="1"/>
  <c r="AI70" i="2" s="1"/>
  <c r="AI70" i="3" s="1"/>
  <c r="AI70" i="4" s="1"/>
  <c r="AI70" i="5" s="1"/>
  <c r="AI70" i="6" s="1"/>
  <c r="AI70" i="7" s="1"/>
  <c r="AI70" i="8" s="1"/>
  <c r="AI70" i="9" s="1"/>
  <c r="AI70" i="10" s="1"/>
  <c r="AI70" i="11" s="1"/>
  <c r="AI70" i="12" s="1"/>
  <c r="AH70" i="1"/>
  <c r="AH71" i="1" s="1"/>
  <c r="AL69" i="1"/>
  <c r="AL69" i="2" s="1"/>
  <c r="AK69" i="1"/>
  <c r="AJ69" i="1"/>
  <c r="AJ71" i="1" s="1"/>
  <c r="AR71" i="1" s="1"/>
  <c r="AI69" i="1"/>
  <c r="AI69" i="2" s="1"/>
  <c r="AH69" i="1"/>
  <c r="AQ67" i="1"/>
  <c r="AO67" i="1"/>
  <c r="AO67" i="2" s="1"/>
  <c r="AO67" i="3" s="1"/>
  <c r="AO67" i="4" s="1"/>
  <c r="AO67" i="5" s="1"/>
  <c r="AN67" i="1"/>
  <c r="AG67" i="1"/>
  <c r="AF67" i="1"/>
  <c r="AE67" i="1"/>
  <c r="AD67" i="1"/>
  <c r="AC67" i="1"/>
  <c r="AB67" i="1"/>
  <c r="AA67" i="1"/>
  <c r="Z67" i="1"/>
  <c r="Y67" i="1"/>
  <c r="X67" i="1"/>
  <c r="W67" i="1"/>
  <c r="V67" i="1"/>
  <c r="U67" i="1"/>
  <c r="T67" i="1"/>
  <c r="S67" i="1"/>
  <c r="R67" i="1"/>
  <c r="Q67" i="1"/>
  <c r="P67" i="1"/>
  <c r="O67" i="1"/>
  <c r="N67" i="1"/>
  <c r="M67" i="1"/>
  <c r="L67" i="1"/>
  <c r="K67" i="1"/>
  <c r="J67" i="1"/>
  <c r="I67" i="1"/>
  <c r="H67" i="1"/>
  <c r="G67" i="1"/>
  <c r="F67" i="1"/>
  <c r="E67" i="1"/>
  <c r="D67" i="1"/>
  <c r="C67" i="1"/>
  <c r="AL66" i="1"/>
  <c r="AK66" i="1"/>
  <c r="AK66" i="2" s="1"/>
  <c r="AK66" i="3" s="1"/>
  <c r="AK66" i="4" s="1"/>
  <c r="AK66" i="5" s="1"/>
  <c r="AK66" i="6" s="1"/>
  <c r="AK66" i="7" s="1"/>
  <c r="AK66" i="8" s="1"/>
  <c r="AK66" i="9" s="1"/>
  <c r="AK66" i="10" s="1"/>
  <c r="AK66" i="11" s="1"/>
  <c r="AK66" i="12" s="1"/>
  <c r="AJ66" i="1"/>
  <c r="AJ67" i="1" s="1"/>
  <c r="AR67" i="1" s="1"/>
  <c r="AI66" i="1"/>
  <c r="AH66" i="1"/>
  <c r="AL65" i="1"/>
  <c r="AL65" i="2" s="1"/>
  <c r="AL65" i="3" s="1"/>
  <c r="AL65" i="4" s="1"/>
  <c r="AK65" i="1"/>
  <c r="AK65" i="2" s="1"/>
  <c r="AJ65" i="1"/>
  <c r="AI65" i="1"/>
  <c r="AI67" i="1" s="1"/>
  <c r="AH65" i="1"/>
  <c r="AH67" i="1" s="1"/>
  <c r="AO63" i="1"/>
  <c r="AO63" i="2" s="1"/>
  <c r="AO63" i="3" s="1"/>
  <c r="AO63" i="4" s="1"/>
  <c r="AO63" i="5" s="1"/>
  <c r="AN63" i="1"/>
  <c r="AI63" i="1"/>
  <c r="AQ63" i="1" s="1"/>
  <c r="AG63" i="1"/>
  <c r="AF63" i="1"/>
  <c r="AE63" i="1"/>
  <c r="AD63" i="1"/>
  <c r="AC63" i="1"/>
  <c r="AB63" i="1"/>
  <c r="AA63" i="1"/>
  <c r="Z63" i="1"/>
  <c r="Y63" i="1"/>
  <c r="X63" i="1"/>
  <c r="W63" i="1"/>
  <c r="V63" i="1"/>
  <c r="U63" i="1"/>
  <c r="T63" i="1"/>
  <c r="S63" i="1"/>
  <c r="R63" i="1"/>
  <c r="Q63" i="1"/>
  <c r="P63" i="1"/>
  <c r="O63" i="1"/>
  <c r="N63" i="1"/>
  <c r="M63" i="1"/>
  <c r="L63" i="1"/>
  <c r="K63" i="1"/>
  <c r="J63" i="1"/>
  <c r="I63" i="1"/>
  <c r="H63" i="1"/>
  <c r="G63" i="1"/>
  <c r="F63" i="1"/>
  <c r="E63" i="1"/>
  <c r="D63" i="1"/>
  <c r="C63" i="1"/>
  <c r="AL62" i="1"/>
  <c r="AL63" i="1" s="1"/>
  <c r="AK62" i="1"/>
  <c r="AJ62" i="1"/>
  <c r="AJ62" i="2" s="1"/>
  <c r="AJ62" i="3" s="1"/>
  <c r="AJ62" i="4" s="1"/>
  <c r="AJ62" i="5" s="1"/>
  <c r="AJ62" i="6" s="1"/>
  <c r="AJ62" i="7" s="1"/>
  <c r="AJ62" i="8" s="1"/>
  <c r="AJ62" i="9" s="1"/>
  <c r="AJ62" i="10" s="1"/>
  <c r="AJ62" i="11" s="1"/>
  <c r="AJ62" i="12" s="1"/>
  <c r="AI62" i="1"/>
  <c r="AI62" i="2" s="1"/>
  <c r="AI62" i="3" s="1"/>
  <c r="AI62" i="4" s="1"/>
  <c r="AI62" i="5" s="1"/>
  <c r="AI62" i="6" s="1"/>
  <c r="AI62" i="7" s="1"/>
  <c r="AI62" i="8" s="1"/>
  <c r="AI62" i="9" s="1"/>
  <c r="AI62" i="10" s="1"/>
  <c r="AI62" i="11" s="1"/>
  <c r="AI62" i="12" s="1"/>
  <c r="AH62" i="1"/>
  <c r="AH63" i="1" s="1"/>
  <c r="AL61" i="1"/>
  <c r="AK61" i="1"/>
  <c r="AJ61" i="1"/>
  <c r="AJ61" i="2" s="1"/>
  <c r="AI61" i="1"/>
  <c r="AH61" i="1"/>
  <c r="AO59" i="1"/>
  <c r="AN59" i="1"/>
  <c r="AG59" i="1"/>
  <c r="AF59" i="1"/>
  <c r="AE59" i="1"/>
  <c r="AD59" i="1"/>
  <c r="AC59" i="1"/>
  <c r="AB59" i="1"/>
  <c r="AA59" i="1"/>
  <c r="Z59" i="1"/>
  <c r="Y59" i="1"/>
  <c r="X59" i="1"/>
  <c r="W59" i="1"/>
  <c r="V59" i="1"/>
  <c r="U59" i="1"/>
  <c r="T59" i="1"/>
  <c r="S59" i="1"/>
  <c r="R59" i="1"/>
  <c r="Q59" i="1"/>
  <c r="P59" i="1"/>
  <c r="O59" i="1"/>
  <c r="N59" i="1"/>
  <c r="M59" i="1"/>
  <c r="L59" i="1"/>
  <c r="K59" i="1"/>
  <c r="J59" i="1"/>
  <c r="I59" i="1"/>
  <c r="H59" i="1"/>
  <c r="G59" i="1"/>
  <c r="F59" i="1"/>
  <c r="E59" i="1"/>
  <c r="D59" i="1"/>
  <c r="C59" i="1"/>
  <c r="AL58" i="1"/>
  <c r="AL58" i="2" s="1"/>
  <c r="AL58" i="3" s="1"/>
  <c r="AL58" i="4" s="1"/>
  <c r="AL58" i="5" s="1"/>
  <c r="AL58" i="6" s="1"/>
  <c r="AL58" i="7" s="1"/>
  <c r="AL58" i="8" s="1"/>
  <c r="AL58" i="9" s="1"/>
  <c r="AL58" i="10" s="1"/>
  <c r="AL58" i="11" s="1"/>
  <c r="AL58" i="12" s="1"/>
  <c r="AK58" i="1"/>
  <c r="AK58" i="2" s="1"/>
  <c r="AK58" i="3" s="1"/>
  <c r="AK58" i="4" s="1"/>
  <c r="AK58" i="5" s="1"/>
  <c r="AK58" i="6" s="1"/>
  <c r="AK58" i="7" s="1"/>
  <c r="AK58" i="8" s="1"/>
  <c r="AK58" i="9" s="1"/>
  <c r="AK58" i="10" s="1"/>
  <c r="AK58" i="11" s="1"/>
  <c r="AK58" i="12" s="1"/>
  <c r="AJ58" i="1"/>
  <c r="AJ59" i="1" s="1"/>
  <c r="AR59" i="1" s="1"/>
  <c r="AI58" i="1"/>
  <c r="AI58" i="2" s="1"/>
  <c r="AH58" i="1"/>
  <c r="AH59" i="1" s="1"/>
  <c r="AL57" i="1"/>
  <c r="AL57" i="2" s="1"/>
  <c r="AK57" i="1"/>
  <c r="AJ57" i="1"/>
  <c r="AJ57" i="2" s="1"/>
  <c r="AJ57" i="3" s="1"/>
  <c r="AI57" i="1"/>
  <c r="AH57" i="1"/>
  <c r="AO55" i="1"/>
  <c r="AN55" i="1"/>
  <c r="AG55" i="1"/>
  <c r="AF55" i="1"/>
  <c r="AE55" i="1"/>
  <c r="AD55" i="1"/>
  <c r="AC55" i="1"/>
  <c r="AB55" i="1"/>
  <c r="AA55" i="1"/>
  <c r="Z55" i="1"/>
  <c r="Y55" i="1"/>
  <c r="X55" i="1"/>
  <c r="W55" i="1"/>
  <c r="V55" i="1"/>
  <c r="U55" i="1"/>
  <c r="T55" i="1"/>
  <c r="S55" i="1"/>
  <c r="R55" i="1"/>
  <c r="Q55" i="1"/>
  <c r="P55" i="1"/>
  <c r="O55" i="1"/>
  <c r="N55" i="1"/>
  <c r="M55" i="1"/>
  <c r="L55" i="1"/>
  <c r="K55" i="1"/>
  <c r="J55" i="1"/>
  <c r="I55" i="1"/>
  <c r="H55" i="1"/>
  <c r="G55" i="1"/>
  <c r="F55" i="1"/>
  <c r="E55" i="1"/>
  <c r="D55" i="1"/>
  <c r="C55" i="1"/>
  <c r="AL54" i="1"/>
  <c r="AL54" i="2" s="1"/>
  <c r="AK54" i="1"/>
  <c r="AK54" i="2" s="1"/>
  <c r="AK54" i="3" s="1"/>
  <c r="AK54" i="4" s="1"/>
  <c r="AK54" i="5" s="1"/>
  <c r="AK54" i="6" s="1"/>
  <c r="AK54" i="7" s="1"/>
  <c r="AK54" i="8" s="1"/>
  <c r="AK54" i="9" s="1"/>
  <c r="AK54" i="10" s="1"/>
  <c r="AK54" i="11" s="1"/>
  <c r="AK54" i="12" s="1"/>
  <c r="AJ54" i="1"/>
  <c r="AJ54" i="2" s="1"/>
  <c r="AJ54" i="3" s="1"/>
  <c r="AJ54" i="4" s="1"/>
  <c r="AJ54" i="5" s="1"/>
  <c r="AJ54" i="6" s="1"/>
  <c r="AJ54" i="7" s="1"/>
  <c r="AJ54" i="8" s="1"/>
  <c r="AJ54" i="9" s="1"/>
  <c r="AJ54" i="10" s="1"/>
  <c r="AJ54" i="11" s="1"/>
  <c r="AJ54" i="12" s="1"/>
  <c r="AI54" i="1"/>
  <c r="AI54" i="2" s="1"/>
  <c r="AI54" i="3" s="1"/>
  <c r="AI54" i="4" s="1"/>
  <c r="AI54" i="5" s="1"/>
  <c r="AI54" i="6" s="1"/>
  <c r="AI54" i="7" s="1"/>
  <c r="AI54" i="8" s="1"/>
  <c r="AI54" i="9" s="1"/>
  <c r="AI54" i="10" s="1"/>
  <c r="AI54" i="11" s="1"/>
  <c r="AI54" i="12" s="1"/>
  <c r="AH54" i="1"/>
  <c r="AH55" i="1" s="1"/>
  <c r="AL53" i="1"/>
  <c r="AL53" i="2" s="1"/>
  <c r="AK53" i="1"/>
  <c r="AJ53" i="1"/>
  <c r="AJ55" i="1" s="1"/>
  <c r="AR55" i="1" s="1"/>
  <c r="AI53" i="1"/>
  <c r="AI53" i="2" s="1"/>
  <c r="AH53" i="1"/>
  <c r="AO51" i="1"/>
  <c r="AO51" i="2" s="1"/>
  <c r="AN51" i="1"/>
  <c r="AL51" i="1"/>
  <c r="AK51" i="1"/>
  <c r="AH51" i="1"/>
  <c r="AG51" i="1"/>
  <c r="AF51" i="1"/>
  <c r="AE51" i="1"/>
  <c r="AD51" i="1"/>
  <c r="AC51" i="1"/>
  <c r="AB51" i="1"/>
  <c r="AA51" i="1"/>
  <c r="Z51" i="1"/>
  <c r="Y51" i="1"/>
  <c r="X51" i="1"/>
  <c r="W51" i="1"/>
  <c r="V51" i="1"/>
  <c r="U51" i="1"/>
  <c r="T51" i="1"/>
  <c r="S51" i="1"/>
  <c r="R51" i="1"/>
  <c r="Q51" i="1"/>
  <c r="P51" i="1"/>
  <c r="O51" i="1"/>
  <c r="N51" i="1"/>
  <c r="M51" i="1"/>
  <c r="L51" i="1"/>
  <c r="K51" i="1"/>
  <c r="J51" i="1"/>
  <c r="I51" i="1"/>
  <c r="H51" i="1"/>
  <c r="G51" i="1"/>
  <c r="F51" i="1"/>
  <c r="E51" i="1"/>
  <c r="D51" i="1"/>
  <c r="C51" i="1"/>
  <c r="AN50" i="1"/>
  <c r="AO50" i="1" s="1"/>
  <c r="AL50" i="1"/>
  <c r="AK50" i="1"/>
  <c r="AK50" i="2" s="1"/>
  <c r="AK50" i="3" s="1"/>
  <c r="AK50" i="4" s="1"/>
  <c r="AK50" i="5" s="1"/>
  <c r="AK50" i="6" s="1"/>
  <c r="AK50" i="7" s="1"/>
  <c r="AK50" i="8" s="1"/>
  <c r="AK50" i="9" s="1"/>
  <c r="AK50" i="10" s="1"/>
  <c r="AK50" i="11" s="1"/>
  <c r="AK50" i="12" s="1"/>
  <c r="AJ50" i="1"/>
  <c r="AJ50" i="2" s="1"/>
  <c r="AJ50" i="3" s="1"/>
  <c r="AJ50" i="4" s="1"/>
  <c r="AJ50" i="5" s="1"/>
  <c r="AJ50" i="6" s="1"/>
  <c r="AJ50" i="7" s="1"/>
  <c r="AJ50" i="8" s="1"/>
  <c r="AJ50" i="9" s="1"/>
  <c r="AJ50" i="10" s="1"/>
  <c r="AJ50" i="11" s="1"/>
  <c r="AJ50" i="12" s="1"/>
  <c r="AI50" i="1"/>
  <c r="AI50" i="2" s="1"/>
  <c r="AI50" i="3" s="1"/>
  <c r="AI50" i="4" s="1"/>
  <c r="AI50" i="5" s="1"/>
  <c r="AI50" i="6" s="1"/>
  <c r="AI50" i="7" s="1"/>
  <c r="AI50" i="8" s="1"/>
  <c r="AI50" i="9" s="1"/>
  <c r="AI50" i="10" s="1"/>
  <c r="AI50" i="11" s="1"/>
  <c r="AI50" i="12" s="1"/>
  <c r="AH50" i="1"/>
  <c r="AL49" i="1"/>
  <c r="AL49" i="2" s="1"/>
  <c r="AL49" i="3" s="1"/>
  <c r="AK49" i="1"/>
  <c r="AK49" i="2" s="1"/>
  <c r="AJ49" i="1"/>
  <c r="AI49" i="1"/>
  <c r="AH49" i="1"/>
  <c r="AO47" i="1"/>
  <c r="AN47" i="1"/>
  <c r="AG47" i="1"/>
  <c r="AF47" i="1"/>
  <c r="AE47" i="1"/>
  <c r="AD47" i="1"/>
  <c r="AC47" i="1"/>
  <c r="AB47" i="1"/>
  <c r="AA47" i="1"/>
  <c r="Z47" i="1"/>
  <c r="Y47" i="1"/>
  <c r="X47" i="1"/>
  <c r="W47" i="1"/>
  <c r="V47" i="1"/>
  <c r="U47" i="1"/>
  <c r="T47" i="1"/>
  <c r="S47" i="1"/>
  <c r="R47" i="1"/>
  <c r="Q47" i="1"/>
  <c r="P47" i="1"/>
  <c r="O47" i="1"/>
  <c r="N47" i="1"/>
  <c r="M47" i="1"/>
  <c r="L47" i="1"/>
  <c r="K47" i="1"/>
  <c r="J47" i="1"/>
  <c r="I47" i="1"/>
  <c r="H47" i="1"/>
  <c r="G47" i="1"/>
  <c r="F47" i="1"/>
  <c r="E47" i="1"/>
  <c r="D47" i="1"/>
  <c r="C47" i="1"/>
  <c r="AL46" i="1"/>
  <c r="AL46" i="2" s="1"/>
  <c r="AL46" i="3" s="1"/>
  <c r="AL46" i="4" s="1"/>
  <c r="AL46" i="5" s="1"/>
  <c r="AL46" i="6" s="1"/>
  <c r="AL46" i="7" s="1"/>
  <c r="AL46" i="8" s="1"/>
  <c r="AL46" i="9" s="1"/>
  <c r="AL46" i="10" s="1"/>
  <c r="AL46" i="11" s="1"/>
  <c r="AL46" i="12" s="1"/>
  <c r="AK46" i="1"/>
  <c r="AK47" i="1" s="1"/>
  <c r="AJ46" i="1"/>
  <c r="AJ46" i="2" s="1"/>
  <c r="AJ46" i="3" s="1"/>
  <c r="AJ46" i="4" s="1"/>
  <c r="AJ46" i="5" s="1"/>
  <c r="AJ46" i="6" s="1"/>
  <c r="AJ46" i="7" s="1"/>
  <c r="AJ46" i="8" s="1"/>
  <c r="AJ46" i="9" s="1"/>
  <c r="AJ46" i="10" s="1"/>
  <c r="AJ46" i="11" s="1"/>
  <c r="AJ46" i="12" s="1"/>
  <c r="AI46" i="1"/>
  <c r="AI46" i="2" s="1"/>
  <c r="AI46" i="3" s="1"/>
  <c r="AI46" i="4" s="1"/>
  <c r="AI46" i="5" s="1"/>
  <c r="AI46" i="6" s="1"/>
  <c r="AI46" i="7" s="1"/>
  <c r="AI46" i="8" s="1"/>
  <c r="AI46" i="9" s="1"/>
  <c r="AI46" i="10" s="1"/>
  <c r="AI46" i="11" s="1"/>
  <c r="AI46" i="12" s="1"/>
  <c r="AH46" i="1"/>
  <c r="AL45" i="1"/>
  <c r="AL47" i="1" s="1"/>
  <c r="AK45" i="1"/>
  <c r="AK45" i="2" s="1"/>
  <c r="AK45" i="3" s="1"/>
  <c r="AJ45" i="1"/>
  <c r="AJ45" i="2" s="1"/>
  <c r="AI45" i="1"/>
  <c r="AH45" i="1"/>
  <c r="AH47" i="1" s="1"/>
  <c r="AO43" i="1"/>
  <c r="AO43" i="2" s="1"/>
  <c r="AN43" i="1"/>
  <c r="AI43" i="1"/>
  <c r="AQ43" i="1" s="1"/>
  <c r="AG43" i="1"/>
  <c r="AF43" i="1"/>
  <c r="AE43" i="1"/>
  <c r="AD43" i="1"/>
  <c r="AC43" i="1"/>
  <c r="AB43" i="1"/>
  <c r="AA43" i="1"/>
  <c r="Z43" i="1"/>
  <c r="Y43" i="1"/>
  <c r="X43" i="1"/>
  <c r="W43" i="1"/>
  <c r="V43" i="1"/>
  <c r="U43" i="1"/>
  <c r="T43" i="1"/>
  <c r="S43" i="1"/>
  <c r="R43" i="1"/>
  <c r="Q43" i="1"/>
  <c r="P43" i="1"/>
  <c r="O43" i="1"/>
  <c r="N43" i="1"/>
  <c r="M43" i="1"/>
  <c r="L43" i="1"/>
  <c r="K43" i="1"/>
  <c r="J43" i="1"/>
  <c r="I43" i="1"/>
  <c r="H43" i="1"/>
  <c r="G43" i="1"/>
  <c r="F43" i="1"/>
  <c r="E43" i="1"/>
  <c r="D43" i="1"/>
  <c r="C43" i="1"/>
  <c r="AL42" i="1"/>
  <c r="AL43" i="1" s="1"/>
  <c r="AK42" i="1"/>
  <c r="AJ42" i="1"/>
  <c r="AJ42" i="2" s="1"/>
  <c r="AI42" i="1"/>
  <c r="AI42" i="2" s="1"/>
  <c r="AI42" i="3" s="1"/>
  <c r="AI42" i="4" s="1"/>
  <c r="AI42" i="5" s="1"/>
  <c r="AI42" i="6" s="1"/>
  <c r="AI42" i="7" s="1"/>
  <c r="AI42" i="8" s="1"/>
  <c r="AI42" i="9" s="1"/>
  <c r="AI42" i="10" s="1"/>
  <c r="AI42" i="11" s="1"/>
  <c r="AI42" i="12" s="1"/>
  <c r="AH42" i="1"/>
  <c r="AH43" i="1" s="1"/>
  <c r="AL41" i="1"/>
  <c r="AK41" i="1"/>
  <c r="AJ41" i="1"/>
  <c r="AJ41" i="2" s="1"/>
  <c r="AI41" i="1"/>
  <c r="AH41" i="1"/>
  <c r="AO39" i="1"/>
  <c r="AN39" i="1"/>
  <c r="AG39" i="1"/>
  <c r="AF39" i="1"/>
  <c r="AE39" i="1"/>
  <c r="AD39" i="1"/>
  <c r="AC39" i="1"/>
  <c r="AB39" i="1"/>
  <c r="AA39" i="1"/>
  <c r="Z39" i="1"/>
  <c r="Y39" i="1"/>
  <c r="X39" i="1"/>
  <c r="W39" i="1"/>
  <c r="V39" i="1"/>
  <c r="U39" i="1"/>
  <c r="T39" i="1"/>
  <c r="S39" i="1"/>
  <c r="R39" i="1"/>
  <c r="Q39" i="1"/>
  <c r="P39" i="1"/>
  <c r="O39" i="1"/>
  <c r="N39" i="1"/>
  <c r="M39" i="1"/>
  <c r="L39" i="1"/>
  <c r="K39" i="1"/>
  <c r="J39" i="1"/>
  <c r="I39" i="1"/>
  <c r="H39" i="1"/>
  <c r="G39" i="1"/>
  <c r="F39" i="1"/>
  <c r="E39" i="1"/>
  <c r="D39" i="1"/>
  <c r="C39" i="1"/>
  <c r="AL38" i="1"/>
  <c r="AL38" i="2" s="1"/>
  <c r="AL38" i="3" s="1"/>
  <c r="AL38" i="4" s="1"/>
  <c r="AL38" i="5" s="1"/>
  <c r="AL38" i="6" s="1"/>
  <c r="AL38" i="7" s="1"/>
  <c r="AL38" i="8" s="1"/>
  <c r="AL38" i="9" s="1"/>
  <c r="AL38" i="10" s="1"/>
  <c r="AL38" i="11" s="1"/>
  <c r="AL38" i="12" s="1"/>
  <c r="AK38" i="1"/>
  <c r="AK38" i="2" s="1"/>
  <c r="AK38" i="3" s="1"/>
  <c r="AK38" i="4" s="1"/>
  <c r="AK38" i="5" s="1"/>
  <c r="AK38" i="6" s="1"/>
  <c r="AK38" i="7" s="1"/>
  <c r="AK38" i="8" s="1"/>
  <c r="AK38" i="9" s="1"/>
  <c r="AK38" i="10" s="1"/>
  <c r="AK38" i="11" s="1"/>
  <c r="AK38" i="12" s="1"/>
  <c r="AJ38" i="1"/>
  <c r="AJ39" i="1" s="1"/>
  <c r="AR39" i="1" s="1"/>
  <c r="AI38" i="1"/>
  <c r="AI38" i="2" s="1"/>
  <c r="AI38" i="3" s="1"/>
  <c r="AI38" i="4" s="1"/>
  <c r="AI38" i="5" s="1"/>
  <c r="AI38" i="6" s="1"/>
  <c r="AI38" i="7" s="1"/>
  <c r="AI38" i="8" s="1"/>
  <c r="AI38" i="9" s="1"/>
  <c r="AI38" i="10" s="1"/>
  <c r="AI38" i="11" s="1"/>
  <c r="AI38" i="12" s="1"/>
  <c r="AH38" i="1"/>
  <c r="AH39" i="1" s="1"/>
  <c r="AL37" i="1"/>
  <c r="AL37" i="2" s="1"/>
  <c r="AK37" i="1"/>
  <c r="AJ37" i="1"/>
  <c r="AJ37" i="2" s="1"/>
  <c r="AJ37" i="3" s="1"/>
  <c r="AI37" i="1"/>
  <c r="AH37" i="1"/>
  <c r="AO35" i="1"/>
  <c r="AN35" i="1"/>
  <c r="AG35" i="1"/>
  <c r="AF35" i="1"/>
  <c r="AE35" i="1"/>
  <c r="AD35" i="1"/>
  <c r="AC35" i="1"/>
  <c r="AB35" i="1"/>
  <c r="AA35" i="1"/>
  <c r="Z35" i="1"/>
  <c r="Y35" i="1"/>
  <c r="X35" i="1"/>
  <c r="W35" i="1"/>
  <c r="V35" i="1"/>
  <c r="U35" i="1"/>
  <c r="T35" i="1"/>
  <c r="S35" i="1"/>
  <c r="R35" i="1"/>
  <c r="Q35" i="1"/>
  <c r="P35" i="1"/>
  <c r="O35" i="1"/>
  <c r="N35" i="1"/>
  <c r="M35" i="1"/>
  <c r="L35" i="1"/>
  <c r="K35" i="1"/>
  <c r="J35" i="1"/>
  <c r="I35" i="1"/>
  <c r="H35" i="1"/>
  <c r="G35" i="1"/>
  <c r="F35" i="1"/>
  <c r="E35" i="1"/>
  <c r="D35" i="1"/>
  <c r="C35" i="1"/>
  <c r="AL34" i="1"/>
  <c r="AL34" i="2" s="1"/>
  <c r="AL34" i="3" s="1"/>
  <c r="AL34" i="4" s="1"/>
  <c r="AL34" i="5" s="1"/>
  <c r="AL34" i="6" s="1"/>
  <c r="AL34" i="7" s="1"/>
  <c r="AL34" i="8" s="1"/>
  <c r="AL34" i="9" s="1"/>
  <c r="AL34" i="10" s="1"/>
  <c r="AL34" i="11" s="1"/>
  <c r="AL34" i="12" s="1"/>
  <c r="AK34" i="1"/>
  <c r="AK34" i="2" s="1"/>
  <c r="AK34" i="3" s="1"/>
  <c r="AK34" i="4" s="1"/>
  <c r="AK34" i="5" s="1"/>
  <c r="AK34" i="6" s="1"/>
  <c r="AK34" i="7" s="1"/>
  <c r="AK34" i="8" s="1"/>
  <c r="AK34" i="9" s="1"/>
  <c r="AK34" i="10" s="1"/>
  <c r="AK34" i="11" s="1"/>
  <c r="AK34" i="12" s="1"/>
  <c r="AJ34" i="1"/>
  <c r="AJ34" i="2" s="1"/>
  <c r="AJ34" i="3" s="1"/>
  <c r="AJ34" i="4" s="1"/>
  <c r="AJ34" i="5" s="1"/>
  <c r="AJ34" i="6" s="1"/>
  <c r="AJ34" i="7" s="1"/>
  <c r="AJ34" i="8" s="1"/>
  <c r="AJ34" i="9" s="1"/>
  <c r="AJ34" i="10" s="1"/>
  <c r="AJ34" i="11" s="1"/>
  <c r="AJ34" i="12" s="1"/>
  <c r="AI34" i="1"/>
  <c r="AI35" i="1" s="1"/>
  <c r="AQ35" i="1" s="1"/>
  <c r="AH34" i="1"/>
  <c r="AH35" i="1" s="1"/>
  <c r="AL33" i="1"/>
  <c r="AL33" i="2" s="1"/>
  <c r="AK33" i="1"/>
  <c r="AJ33" i="1"/>
  <c r="AJ33" i="2" s="1"/>
  <c r="AI33" i="1"/>
  <c r="AI33" i="2" s="1"/>
  <c r="AI33" i="3" s="1"/>
  <c r="AH33" i="1"/>
  <c r="AQ31" i="1"/>
  <c r="AO31" i="1"/>
  <c r="AO31" i="2" s="1"/>
  <c r="AO31" i="3" s="1"/>
  <c r="AN31" i="1"/>
  <c r="AK31" i="1"/>
  <c r="AG31" i="1"/>
  <c r="AF31" i="1"/>
  <c r="AE31" i="1"/>
  <c r="AD31" i="1"/>
  <c r="AC31" i="1"/>
  <c r="AB31" i="1"/>
  <c r="AA31" i="1"/>
  <c r="Z31" i="1"/>
  <c r="Y31" i="1"/>
  <c r="X31" i="1"/>
  <c r="W31" i="1"/>
  <c r="V31" i="1"/>
  <c r="U31" i="1"/>
  <c r="T31" i="1"/>
  <c r="S31" i="1"/>
  <c r="R31" i="1"/>
  <c r="Q31" i="1"/>
  <c r="P31" i="1"/>
  <c r="O31" i="1"/>
  <c r="N31" i="1"/>
  <c r="M31" i="1"/>
  <c r="L31" i="1"/>
  <c r="K31" i="1"/>
  <c r="J31" i="1"/>
  <c r="I31" i="1"/>
  <c r="H31" i="1"/>
  <c r="G31" i="1"/>
  <c r="F31" i="1"/>
  <c r="E31" i="1"/>
  <c r="D31" i="1"/>
  <c r="C31" i="1"/>
  <c r="AL30" i="1"/>
  <c r="AL30" i="2" s="1"/>
  <c r="AL30" i="3" s="1"/>
  <c r="AL30" i="4" s="1"/>
  <c r="AL30" i="5" s="1"/>
  <c r="AL30" i="6" s="1"/>
  <c r="AL30" i="7" s="1"/>
  <c r="AL30" i="8" s="1"/>
  <c r="AL30" i="9" s="1"/>
  <c r="AL30" i="10" s="1"/>
  <c r="AL30" i="11" s="1"/>
  <c r="AL30" i="12" s="1"/>
  <c r="AK30" i="1"/>
  <c r="AK30" i="2" s="1"/>
  <c r="AK30" i="3" s="1"/>
  <c r="AK30" i="4" s="1"/>
  <c r="AK30" i="5" s="1"/>
  <c r="AK30" i="6" s="1"/>
  <c r="AK30" i="7" s="1"/>
  <c r="AK30" i="8" s="1"/>
  <c r="AK30" i="9" s="1"/>
  <c r="AK30" i="10" s="1"/>
  <c r="AK30" i="11" s="1"/>
  <c r="AK30" i="12" s="1"/>
  <c r="AJ30" i="1"/>
  <c r="AJ31" i="1" s="1"/>
  <c r="AR31" i="1" s="1"/>
  <c r="AI30" i="1"/>
  <c r="AH30" i="1"/>
  <c r="AH31" i="1" s="1"/>
  <c r="AL29" i="1"/>
  <c r="AL29" i="2" s="1"/>
  <c r="AL31" i="2" s="1"/>
  <c r="AK29" i="1"/>
  <c r="AK29" i="2" s="1"/>
  <c r="AJ29" i="1"/>
  <c r="AI29" i="1"/>
  <c r="AI31" i="1" s="1"/>
  <c r="AH29" i="1"/>
  <c r="AN27" i="1"/>
  <c r="AO27" i="1" s="1"/>
  <c r="AO27" i="2" s="1"/>
  <c r="AG27" i="1"/>
  <c r="AF27" i="1"/>
  <c r="AE27" i="1"/>
  <c r="AD27" i="1"/>
  <c r="AC27" i="1"/>
  <c r="AB27" i="1"/>
  <c r="AA27" i="1"/>
  <c r="Z27" i="1"/>
  <c r="Y27" i="1"/>
  <c r="X27" i="1"/>
  <c r="W27" i="1"/>
  <c r="V27" i="1"/>
  <c r="U27" i="1"/>
  <c r="T27" i="1"/>
  <c r="S27" i="1"/>
  <c r="R27" i="1"/>
  <c r="Q27" i="1"/>
  <c r="P27" i="1"/>
  <c r="O27" i="1"/>
  <c r="N27" i="1"/>
  <c r="M27" i="1"/>
  <c r="L27" i="1"/>
  <c r="K27" i="1"/>
  <c r="J27" i="1"/>
  <c r="I27" i="1"/>
  <c r="H27" i="1"/>
  <c r="G27" i="1"/>
  <c r="F27" i="1"/>
  <c r="E27" i="1"/>
  <c r="D27" i="1"/>
  <c r="C27" i="1"/>
  <c r="AL26" i="1"/>
  <c r="AL27" i="1" s="1"/>
  <c r="AK26" i="1"/>
  <c r="AJ26" i="1"/>
  <c r="AJ26" i="2" s="1"/>
  <c r="AJ26" i="3" s="1"/>
  <c r="AJ26" i="4" s="1"/>
  <c r="AJ26" i="5" s="1"/>
  <c r="AJ26" i="6" s="1"/>
  <c r="AJ26" i="7" s="1"/>
  <c r="AJ26" i="8" s="1"/>
  <c r="AJ26" i="9" s="1"/>
  <c r="AJ26" i="10" s="1"/>
  <c r="AJ26" i="11" s="1"/>
  <c r="AJ26" i="12" s="1"/>
  <c r="AI26" i="1"/>
  <c r="AI26" i="2" s="1"/>
  <c r="AI26" i="3" s="1"/>
  <c r="AI26" i="4" s="1"/>
  <c r="AI26" i="5" s="1"/>
  <c r="AI26" i="6" s="1"/>
  <c r="AI26" i="7" s="1"/>
  <c r="AI26" i="8" s="1"/>
  <c r="AI26" i="9" s="1"/>
  <c r="AI26" i="10" s="1"/>
  <c r="AI26" i="11" s="1"/>
  <c r="AI26" i="12" s="1"/>
  <c r="AH26" i="1"/>
  <c r="AH27" i="1" s="1"/>
  <c r="AL25" i="1"/>
  <c r="AK25" i="1"/>
  <c r="AJ25" i="1"/>
  <c r="AJ25" i="2" s="1"/>
  <c r="AI25" i="1"/>
  <c r="AH25" i="1"/>
  <c r="AO23" i="1"/>
  <c r="AN23" i="1"/>
  <c r="AL23" i="1"/>
  <c r="AK23" i="1"/>
  <c r="AG23" i="1"/>
  <c r="AF23" i="1"/>
  <c r="AE23" i="1"/>
  <c r="AD23" i="1"/>
  <c r="AC23" i="1"/>
  <c r="AB23" i="1"/>
  <c r="AA23" i="1"/>
  <c r="Z23" i="1"/>
  <c r="Y23" i="1"/>
  <c r="X23" i="1"/>
  <c r="W23" i="1"/>
  <c r="V23" i="1"/>
  <c r="U23" i="1"/>
  <c r="T23" i="1"/>
  <c r="S23" i="1"/>
  <c r="R23" i="1"/>
  <c r="Q23" i="1"/>
  <c r="P23" i="1"/>
  <c r="O23" i="1"/>
  <c r="N23" i="1"/>
  <c r="M23" i="1"/>
  <c r="L23" i="1"/>
  <c r="K23" i="1"/>
  <c r="J23" i="1"/>
  <c r="I23" i="1"/>
  <c r="H23" i="1"/>
  <c r="G23" i="1"/>
  <c r="F23" i="1"/>
  <c r="E23" i="1"/>
  <c r="D23" i="1"/>
  <c r="C23" i="1"/>
  <c r="AL22" i="1"/>
  <c r="AL22" i="2" s="1"/>
  <c r="AL22" i="3" s="1"/>
  <c r="AL22" i="4" s="1"/>
  <c r="AL22" i="5" s="1"/>
  <c r="AL22" i="6" s="1"/>
  <c r="AL22" i="7" s="1"/>
  <c r="AL22" i="8" s="1"/>
  <c r="AL22" i="9" s="1"/>
  <c r="AL22" i="10" s="1"/>
  <c r="AL22" i="11" s="1"/>
  <c r="AL22" i="12" s="1"/>
  <c r="AK22" i="1"/>
  <c r="AK22" i="2" s="1"/>
  <c r="AK22" i="3" s="1"/>
  <c r="AK22" i="4" s="1"/>
  <c r="AK22" i="5" s="1"/>
  <c r="AK22" i="6" s="1"/>
  <c r="AK22" i="7" s="1"/>
  <c r="AK22" i="8" s="1"/>
  <c r="AK22" i="9" s="1"/>
  <c r="AK22" i="10" s="1"/>
  <c r="AK22" i="11" s="1"/>
  <c r="AK22" i="12" s="1"/>
  <c r="AJ22" i="1"/>
  <c r="AJ23" i="1" s="1"/>
  <c r="AR23" i="1" s="1"/>
  <c r="AI22" i="1"/>
  <c r="AI22" i="2" s="1"/>
  <c r="AI22" i="3" s="1"/>
  <c r="AI22" i="4" s="1"/>
  <c r="AI22" i="5" s="1"/>
  <c r="AI22" i="6" s="1"/>
  <c r="AI22" i="7" s="1"/>
  <c r="AI22" i="8" s="1"/>
  <c r="AI22" i="9" s="1"/>
  <c r="AI22" i="10" s="1"/>
  <c r="AI22" i="11" s="1"/>
  <c r="AI22" i="12" s="1"/>
  <c r="AH22" i="1"/>
  <c r="AH23" i="1" s="1"/>
  <c r="AL21" i="1"/>
  <c r="AL21" i="2" s="1"/>
  <c r="AK21" i="1"/>
  <c r="AJ21" i="1"/>
  <c r="AJ21" i="2" s="1"/>
  <c r="AJ21" i="3" s="1"/>
  <c r="AJ21" i="4" s="1"/>
  <c r="AI21" i="1"/>
  <c r="AH21" i="1"/>
  <c r="AO19" i="1"/>
  <c r="AN19" i="1"/>
  <c r="AG19" i="1"/>
  <c r="AF19" i="1"/>
  <c r="AE19" i="1"/>
  <c r="AD19" i="1"/>
  <c r="AC19" i="1"/>
  <c r="AB19" i="1"/>
  <c r="AA19" i="1"/>
  <c r="Z19" i="1"/>
  <c r="Y19" i="1"/>
  <c r="X19" i="1"/>
  <c r="W19" i="1"/>
  <c r="V19" i="1"/>
  <c r="U19" i="1"/>
  <c r="T19" i="1"/>
  <c r="S19" i="1"/>
  <c r="R19" i="1"/>
  <c r="Q19" i="1"/>
  <c r="P19" i="1"/>
  <c r="O19" i="1"/>
  <c r="N19" i="1"/>
  <c r="M19" i="1"/>
  <c r="L19" i="1"/>
  <c r="K19" i="1"/>
  <c r="J19" i="1"/>
  <c r="I19" i="1"/>
  <c r="H19" i="1"/>
  <c r="G19" i="1"/>
  <c r="F19" i="1"/>
  <c r="E19" i="1"/>
  <c r="D19" i="1"/>
  <c r="C19" i="1"/>
  <c r="AL18" i="1"/>
  <c r="AL18" i="2" s="1"/>
  <c r="AL18" i="3" s="1"/>
  <c r="AL18" i="4" s="1"/>
  <c r="AL18" i="5" s="1"/>
  <c r="AL18" i="6" s="1"/>
  <c r="AL18" i="7" s="1"/>
  <c r="AL18" i="8" s="1"/>
  <c r="AL18" i="9" s="1"/>
  <c r="AL18" i="10" s="1"/>
  <c r="AL18" i="11" s="1"/>
  <c r="AL18" i="12" s="1"/>
  <c r="AK18" i="1"/>
  <c r="AK18" i="2" s="1"/>
  <c r="AK18" i="3" s="1"/>
  <c r="AK18" i="4" s="1"/>
  <c r="AK18" i="5" s="1"/>
  <c r="AK18" i="6" s="1"/>
  <c r="AK18" i="7" s="1"/>
  <c r="AK18" i="8" s="1"/>
  <c r="AK18" i="9" s="1"/>
  <c r="AK18" i="10" s="1"/>
  <c r="AK18" i="11" s="1"/>
  <c r="AK18" i="12" s="1"/>
  <c r="AJ18" i="1"/>
  <c r="AJ18" i="2" s="1"/>
  <c r="AJ18" i="3" s="1"/>
  <c r="AJ18" i="4" s="1"/>
  <c r="AJ18" i="5" s="1"/>
  <c r="AJ18" i="6" s="1"/>
  <c r="AJ18" i="7" s="1"/>
  <c r="AJ18" i="8" s="1"/>
  <c r="AJ18" i="9" s="1"/>
  <c r="AJ18" i="10" s="1"/>
  <c r="AJ18" i="11" s="1"/>
  <c r="AJ18" i="12" s="1"/>
  <c r="AI18" i="1"/>
  <c r="AI18" i="2" s="1"/>
  <c r="AI18" i="3" s="1"/>
  <c r="AI18" i="4" s="1"/>
  <c r="AI18" i="5" s="1"/>
  <c r="AI18" i="6" s="1"/>
  <c r="AI18" i="7" s="1"/>
  <c r="AI18" i="8" s="1"/>
  <c r="AI18" i="9" s="1"/>
  <c r="AI18" i="10" s="1"/>
  <c r="AI18" i="11" s="1"/>
  <c r="AI18" i="12" s="1"/>
  <c r="AH18" i="1"/>
  <c r="AH19" i="1" s="1"/>
  <c r="AL17" i="1"/>
  <c r="AL17" i="2" s="1"/>
  <c r="AK17" i="1"/>
  <c r="AJ17" i="1"/>
  <c r="AJ17" i="2" s="1"/>
  <c r="AI17" i="1"/>
  <c r="AI17" i="2" s="1"/>
  <c r="AI17" i="3" s="1"/>
  <c r="AH17" i="1"/>
  <c r="AQ15" i="1"/>
  <c r="AO15" i="1"/>
  <c r="AO15" i="2" s="1"/>
  <c r="AN15" i="1"/>
  <c r="AG15" i="1"/>
  <c r="AF15" i="1"/>
  <c r="AE15" i="1"/>
  <c r="AD15" i="1"/>
  <c r="AC15" i="1"/>
  <c r="AB15" i="1"/>
  <c r="AA15" i="1"/>
  <c r="Z15" i="1"/>
  <c r="Y15" i="1"/>
  <c r="X15" i="1"/>
  <c r="W15" i="1"/>
  <c r="V15" i="1"/>
  <c r="U15" i="1"/>
  <c r="T15" i="1"/>
  <c r="S15" i="1"/>
  <c r="R15" i="1"/>
  <c r="Q15" i="1"/>
  <c r="P15" i="1"/>
  <c r="O15" i="1"/>
  <c r="N15" i="1"/>
  <c r="M15" i="1"/>
  <c r="L15" i="1"/>
  <c r="K15" i="1"/>
  <c r="J15" i="1"/>
  <c r="I15" i="1"/>
  <c r="H15" i="1"/>
  <c r="G15" i="1"/>
  <c r="F15" i="1"/>
  <c r="E15" i="1"/>
  <c r="D15" i="1"/>
  <c r="C15" i="1"/>
  <c r="AL14" i="1"/>
  <c r="AL14" i="2" s="1"/>
  <c r="AL14" i="3" s="1"/>
  <c r="AL14" i="4" s="1"/>
  <c r="AL14" i="5" s="1"/>
  <c r="AL14" i="6" s="1"/>
  <c r="AL14" i="7" s="1"/>
  <c r="AL14" i="8" s="1"/>
  <c r="AL14" i="9" s="1"/>
  <c r="AL14" i="10" s="1"/>
  <c r="AL14" i="11" s="1"/>
  <c r="AL14" i="12" s="1"/>
  <c r="AK14" i="1"/>
  <c r="AK14" i="2" s="1"/>
  <c r="AK14" i="3" s="1"/>
  <c r="AK14" i="4" s="1"/>
  <c r="AK14" i="5" s="1"/>
  <c r="AK14" i="6" s="1"/>
  <c r="AK14" i="7" s="1"/>
  <c r="AK14" i="8" s="1"/>
  <c r="AK14" i="9" s="1"/>
  <c r="AK14" i="10" s="1"/>
  <c r="AK14" i="11" s="1"/>
  <c r="AK14" i="12" s="1"/>
  <c r="AJ14" i="1"/>
  <c r="AJ15" i="1" s="1"/>
  <c r="AR15" i="1" s="1"/>
  <c r="AI14" i="1"/>
  <c r="AH14" i="1"/>
  <c r="AL13" i="1"/>
  <c r="AL13" i="2" s="1"/>
  <c r="AL13" i="3" s="1"/>
  <c r="AK13" i="1"/>
  <c r="AK13" i="2" s="1"/>
  <c r="AJ13" i="1"/>
  <c r="AI13" i="1"/>
  <c r="AI15" i="1" s="1"/>
  <c r="AH13" i="1"/>
  <c r="AH15" i="1" s="1"/>
  <c r="AO11" i="1"/>
  <c r="AO11" i="2" s="1"/>
  <c r="AO11" i="3" s="1"/>
  <c r="AN11" i="1"/>
  <c r="AI11" i="1"/>
  <c r="AQ11" i="1" s="1"/>
  <c r="AG11" i="1"/>
  <c r="AF11" i="1"/>
  <c r="AE11" i="1"/>
  <c r="AD11" i="1"/>
  <c r="AC11" i="1"/>
  <c r="AB11" i="1"/>
  <c r="AA11" i="1"/>
  <c r="Z11" i="1"/>
  <c r="Y11" i="1"/>
  <c r="X11" i="1"/>
  <c r="W11" i="1"/>
  <c r="V11" i="1"/>
  <c r="U11" i="1"/>
  <c r="T11" i="1"/>
  <c r="S11" i="1"/>
  <c r="R11" i="1"/>
  <c r="Q11" i="1"/>
  <c r="P11" i="1"/>
  <c r="O11" i="1"/>
  <c r="N11" i="1"/>
  <c r="M11" i="1"/>
  <c r="L11" i="1"/>
  <c r="K11" i="1"/>
  <c r="J11" i="1"/>
  <c r="I11" i="1"/>
  <c r="H11" i="1"/>
  <c r="G11" i="1"/>
  <c r="F11" i="1"/>
  <c r="E11" i="1"/>
  <c r="D11" i="1"/>
  <c r="C11" i="1"/>
  <c r="AL10" i="1"/>
  <c r="AL11" i="1" s="1"/>
  <c r="AK10" i="1"/>
  <c r="AJ10" i="1"/>
  <c r="AJ10" i="2" s="1"/>
  <c r="AJ10" i="3" s="1"/>
  <c r="AJ10" i="4" s="1"/>
  <c r="AJ10" i="5" s="1"/>
  <c r="AJ10" i="6" s="1"/>
  <c r="AJ10" i="7" s="1"/>
  <c r="AJ10" i="8" s="1"/>
  <c r="AJ10" i="9" s="1"/>
  <c r="AJ10" i="10" s="1"/>
  <c r="AJ10" i="11" s="1"/>
  <c r="AJ10" i="12" s="1"/>
  <c r="AI10" i="1"/>
  <c r="AI10" i="2" s="1"/>
  <c r="AI10" i="3" s="1"/>
  <c r="AI10" i="4" s="1"/>
  <c r="AI10" i="5" s="1"/>
  <c r="AI10" i="6" s="1"/>
  <c r="AI10" i="7" s="1"/>
  <c r="AI10" i="8" s="1"/>
  <c r="AI10" i="9" s="1"/>
  <c r="AI10" i="10" s="1"/>
  <c r="AI10" i="11" s="1"/>
  <c r="AI10" i="12" s="1"/>
  <c r="AH10" i="1"/>
  <c r="AH11" i="1" s="1"/>
  <c r="AL9" i="1"/>
  <c r="AK9" i="1"/>
  <c r="AJ9" i="1"/>
  <c r="AJ9" i="2" s="1"/>
  <c r="AI9" i="1"/>
  <c r="AH9" i="1"/>
  <c r="AO7" i="1"/>
  <c r="AN7" i="1"/>
  <c r="AG7" i="1"/>
  <c r="AF7" i="1"/>
  <c r="AE7" i="1"/>
  <c r="AD7" i="1"/>
  <c r="AC7" i="1"/>
  <c r="AB7" i="1"/>
  <c r="AA7" i="1"/>
  <c r="Z7" i="1"/>
  <c r="Y7" i="1"/>
  <c r="X7" i="1"/>
  <c r="W7" i="1"/>
  <c r="V7" i="1"/>
  <c r="U7" i="1"/>
  <c r="T7" i="1"/>
  <c r="S7" i="1"/>
  <c r="R7" i="1"/>
  <c r="Q7" i="1"/>
  <c r="P7" i="1"/>
  <c r="O7" i="1"/>
  <c r="N7" i="1"/>
  <c r="M7" i="1"/>
  <c r="L7" i="1"/>
  <c r="K7" i="1"/>
  <c r="J7" i="1"/>
  <c r="I7" i="1"/>
  <c r="H7" i="1"/>
  <c r="G7" i="1"/>
  <c r="F7" i="1"/>
  <c r="E7" i="1"/>
  <c r="D7" i="1"/>
  <c r="C7" i="1"/>
  <c r="AL6" i="1"/>
  <c r="AL6" i="2" s="1"/>
  <c r="AL6" i="3" s="1"/>
  <c r="AL6" i="4" s="1"/>
  <c r="AL6" i="5" s="1"/>
  <c r="AL6" i="6" s="1"/>
  <c r="AL6" i="7" s="1"/>
  <c r="AL6" i="8" s="1"/>
  <c r="AL6" i="9" s="1"/>
  <c r="AL6" i="10" s="1"/>
  <c r="AL6" i="11" s="1"/>
  <c r="AL6" i="12" s="1"/>
  <c r="AK6" i="1"/>
  <c r="AK6" i="2" s="1"/>
  <c r="AK6" i="3" s="1"/>
  <c r="AK6" i="4" s="1"/>
  <c r="AK6" i="5" s="1"/>
  <c r="AK6" i="6" s="1"/>
  <c r="AK6" i="7" s="1"/>
  <c r="AK6" i="8" s="1"/>
  <c r="AK6" i="9" s="1"/>
  <c r="AK6" i="10" s="1"/>
  <c r="AK6" i="11" s="1"/>
  <c r="AK6" i="12" s="1"/>
  <c r="AJ6" i="1"/>
  <c r="AJ7" i="1" s="1"/>
  <c r="AR7" i="1" s="1"/>
  <c r="AI6" i="1"/>
  <c r="AI6" i="2" s="1"/>
  <c r="AI6" i="3" s="1"/>
  <c r="AI6" i="4" s="1"/>
  <c r="AI6" i="5" s="1"/>
  <c r="AI6" i="6" s="1"/>
  <c r="AI6" i="7" s="1"/>
  <c r="AI6" i="8" s="1"/>
  <c r="AI6" i="9" s="1"/>
  <c r="AI6" i="10" s="1"/>
  <c r="AI6" i="11" s="1"/>
  <c r="AI6" i="12" s="1"/>
  <c r="AH6" i="1"/>
  <c r="AH7" i="1" s="1"/>
  <c r="AL5" i="1"/>
  <c r="AL5" i="2" s="1"/>
  <c r="AL5" i="3" s="1"/>
  <c r="AK5" i="1"/>
  <c r="AJ5" i="1"/>
  <c r="AJ5" i="2" s="1"/>
  <c r="AJ5" i="3" s="1"/>
  <c r="AI5" i="1"/>
  <c r="AH5" i="1"/>
  <c r="AF3" i="1"/>
  <c r="AE3" i="1"/>
  <c r="AD3" i="1"/>
  <c r="AC3" i="1"/>
  <c r="AB3" i="1"/>
  <c r="AA3" i="1"/>
  <c r="Z3" i="1"/>
  <c r="Y3" i="1"/>
  <c r="X3" i="1"/>
  <c r="W3" i="1"/>
  <c r="V3" i="1"/>
  <c r="U3" i="1"/>
  <c r="T3" i="1"/>
  <c r="S3" i="1"/>
  <c r="R3" i="1"/>
  <c r="Q3" i="1"/>
  <c r="P3" i="1"/>
  <c r="O3" i="1"/>
  <c r="N3" i="1"/>
  <c r="M3" i="1"/>
  <c r="L3" i="1"/>
  <c r="K3" i="1"/>
  <c r="J3" i="1"/>
  <c r="I3" i="1"/>
  <c r="H3" i="1"/>
  <c r="G3" i="1"/>
  <c r="F3" i="1"/>
  <c r="E3" i="1"/>
  <c r="D3" i="1"/>
  <c r="C3" i="1"/>
  <c r="AJ17" i="3" l="1"/>
  <c r="AJ19" i="2"/>
  <c r="AR19" i="2" s="1"/>
  <c r="AL5" i="4"/>
  <c r="AL7" i="3"/>
  <c r="AJ23" i="4"/>
  <c r="AR23" i="4" s="1"/>
  <c r="AJ21" i="5"/>
  <c r="AJ33" i="3"/>
  <c r="AJ35" i="2"/>
  <c r="AR35" i="2" s="1"/>
  <c r="AI55" i="2"/>
  <c r="AQ55" i="2" s="1"/>
  <c r="AJ57" i="4"/>
  <c r="AJ59" i="3"/>
  <c r="AR59" i="3" s="1"/>
  <c r="AL90" i="3"/>
  <c r="AL90" i="4" s="1"/>
  <c r="AL90" i="5" s="1"/>
  <c r="AL90" i="6" s="1"/>
  <c r="AL90" i="7" s="1"/>
  <c r="AL90" i="8" s="1"/>
  <c r="AL90" i="9" s="1"/>
  <c r="AL90" i="10" s="1"/>
  <c r="AL90" i="11" s="1"/>
  <c r="AL90" i="12" s="1"/>
  <c r="AL91" i="2"/>
  <c r="AJ95" i="2"/>
  <c r="AR95" i="2" s="1"/>
  <c r="AJ93" i="3"/>
  <c r="AJ102" i="3"/>
  <c r="AJ102" i="4" s="1"/>
  <c r="AJ102" i="5" s="1"/>
  <c r="AJ102" i="6" s="1"/>
  <c r="AJ102" i="7" s="1"/>
  <c r="AJ102" i="8" s="1"/>
  <c r="AJ102" i="9" s="1"/>
  <c r="AJ102" i="10" s="1"/>
  <c r="AJ102" i="11" s="1"/>
  <c r="AJ102" i="12" s="1"/>
  <c r="AJ103" i="2"/>
  <c r="AR103" i="2" s="1"/>
  <c r="AI111" i="3"/>
  <c r="AQ111" i="3" s="1"/>
  <c r="AI109" i="4"/>
  <c r="AL74" i="3"/>
  <c r="AL74" i="4" s="1"/>
  <c r="AL74" i="5" s="1"/>
  <c r="AL74" i="6" s="1"/>
  <c r="AL74" i="7" s="1"/>
  <c r="AL74" i="8" s="1"/>
  <c r="AL74" i="9" s="1"/>
  <c r="AL74" i="10" s="1"/>
  <c r="AL74" i="11" s="1"/>
  <c r="AL74" i="12" s="1"/>
  <c r="AL75" i="2"/>
  <c r="AJ83" i="3"/>
  <c r="AR83" i="3" s="1"/>
  <c r="AJ81" i="4"/>
  <c r="AI33" i="4"/>
  <c r="AI35" i="3"/>
  <c r="AQ35" i="3" s="1"/>
  <c r="AJ39" i="3"/>
  <c r="AR39" i="3" s="1"/>
  <c r="AJ37" i="4"/>
  <c r="AK45" i="4"/>
  <c r="AL51" i="3"/>
  <c r="AL49" i="4"/>
  <c r="AK107" i="3"/>
  <c r="AK105" i="4"/>
  <c r="AO7" i="6"/>
  <c r="AO7" i="7" s="1"/>
  <c r="AO23" i="6"/>
  <c r="AO23" i="7" s="1"/>
  <c r="AK79" i="1"/>
  <c r="AK77" i="2"/>
  <c r="AJ87" i="2"/>
  <c r="AR87" i="2" s="1"/>
  <c r="AJ85" i="3"/>
  <c r="AK81" i="3"/>
  <c r="AK83" i="2"/>
  <c r="AQ95" i="2"/>
  <c r="AL105" i="3"/>
  <c r="AL107" i="2"/>
  <c r="AI118" i="2"/>
  <c r="AI118" i="3" s="1"/>
  <c r="AI118" i="4" s="1"/>
  <c r="AI118" i="5" s="1"/>
  <c r="AI118" i="6" s="1"/>
  <c r="AI118" i="7" s="1"/>
  <c r="AI118" i="8" s="1"/>
  <c r="AI118" i="9" s="1"/>
  <c r="AI118" i="10" s="1"/>
  <c r="AI118" i="11" s="1"/>
  <c r="AI118" i="12" s="1"/>
  <c r="AO115" i="3"/>
  <c r="AO115" i="4" s="1"/>
  <c r="AO115" i="5" s="1"/>
  <c r="AO15" i="4"/>
  <c r="AO15" i="5" s="1"/>
  <c r="AI63" i="4"/>
  <c r="AQ63" i="4" s="1"/>
  <c r="AI61" i="5"/>
  <c r="AO75" i="4"/>
  <c r="AI87" i="4"/>
  <c r="AQ87" i="4" s="1"/>
  <c r="AI93" i="4"/>
  <c r="AJ101" i="4"/>
  <c r="AI5" i="2"/>
  <c r="AI7" i="1"/>
  <c r="AQ7" i="1" s="1"/>
  <c r="AL15" i="3"/>
  <c r="AL13" i="4"/>
  <c r="AI37" i="2"/>
  <c r="AI39" i="1"/>
  <c r="AQ39" i="1" s="1"/>
  <c r="AL65" i="5"/>
  <c r="AL67" i="4"/>
  <c r="AL69" i="3"/>
  <c r="AL71" i="2"/>
  <c r="AK75" i="2"/>
  <c r="AK73" i="3"/>
  <c r="AJ109" i="2"/>
  <c r="AJ111" i="1"/>
  <c r="AR111" i="1" s="1"/>
  <c r="AJ23" i="2"/>
  <c r="AR23" i="2" s="1"/>
  <c r="AJ39" i="2"/>
  <c r="AR39" i="2" s="1"/>
  <c r="AI41" i="4"/>
  <c r="AI43" i="3"/>
  <c r="AK57" i="3"/>
  <c r="AK59" i="2"/>
  <c r="AJ65" i="4"/>
  <c r="AL67" i="2"/>
  <c r="AL21" i="4"/>
  <c r="AL23" i="3"/>
  <c r="AO27" i="3"/>
  <c r="AO27" i="4" s="1"/>
  <c r="AO27" i="5" s="1"/>
  <c r="AI87" i="3"/>
  <c r="AJ7" i="3"/>
  <c r="AR7" i="3" s="1"/>
  <c r="AK7" i="1"/>
  <c r="AJ11" i="2"/>
  <c r="AR11" i="2" s="1"/>
  <c r="AJ9" i="3"/>
  <c r="AJ11" i="1"/>
  <c r="AR11" i="1" s="1"/>
  <c r="AI17" i="4"/>
  <c r="AI19" i="3"/>
  <c r="AQ19" i="3" s="1"/>
  <c r="AI19" i="1"/>
  <c r="AQ19" i="1" s="1"/>
  <c r="AL23" i="2"/>
  <c r="AK29" i="3"/>
  <c r="AK31" i="2"/>
  <c r="AL31" i="1"/>
  <c r="AK35" i="1"/>
  <c r="AK33" i="2"/>
  <c r="AK39" i="1"/>
  <c r="AJ41" i="3"/>
  <c r="AJ43" i="2"/>
  <c r="AR43" i="2" s="1"/>
  <c r="AJ43" i="1"/>
  <c r="AR43" i="1" s="1"/>
  <c r="AI47" i="1"/>
  <c r="AQ47" i="1" s="1"/>
  <c r="AI45" i="2"/>
  <c r="AI51" i="1"/>
  <c r="AQ51" i="1" s="1"/>
  <c r="AK55" i="1"/>
  <c r="AK53" i="2"/>
  <c r="AK59" i="1"/>
  <c r="AJ63" i="2"/>
  <c r="AR63" i="2" s="1"/>
  <c r="AJ61" i="3"/>
  <c r="AJ63" i="1"/>
  <c r="AR63" i="1" s="1"/>
  <c r="AI69" i="3"/>
  <c r="AI71" i="2"/>
  <c r="AQ71" i="2" s="1"/>
  <c r="AI71" i="1"/>
  <c r="AQ71" i="1" s="1"/>
  <c r="AL73" i="4"/>
  <c r="AL75" i="3"/>
  <c r="AL79" i="2"/>
  <c r="AL77" i="3"/>
  <c r="AL83" i="1"/>
  <c r="AK85" i="2"/>
  <c r="AK87" i="1"/>
  <c r="AK91" i="1"/>
  <c r="AJ95" i="1"/>
  <c r="AR95" i="1" s="1"/>
  <c r="AI97" i="2"/>
  <c r="AI99" i="1"/>
  <c r="AQ99" i="1" s="1"/>
  <c r="AI103" i="2"/>
  <c r="AI103" i="1"/>
  <c r="AQ103" i="1" s="1"/>
  <c r="AH107" i="1"/>
  <c r="AL107" i="1"/>
  <c r="AK109" i="3"/>
  <c r="AK111" i="2"/>
  <c r="AL115" i="1"/>
  <c r="AL113" i="2"/>
  <c r="AL121" i="2"/>
  <c r="AL123" i="1"/>
  <c r="AL9" i="3"/>
  <c r="AL11" i="2"/>
  <c r="AI13" i="2"/>
  <c r="AI19" i="2"/>
  <c r="AL25" i="3"/>
  <c r="AL27" i="2"/>
  <c r="AI29" i="2"/>
  <c r="AI34" i="2"/>
  <c r="AI34" i="3" s="1"/>
  <c r="AI34" i="4" s="1"/>
  <c r="AI34" i="5" s="1"/>
  <c r="AI34" i="6" s="1"/>
  <c r="AI34" i="7" s="1"/>
  <c r="AI34" i="8" s="1"/>
  <c r="AI34" i="9" s="1"/>
  <c r="AI34" i="10" s="1"/>
  <c r="AI34" i="11" s="1"/>
  <c r="AI34" i="12" s="1"/>
  <c r="AI35" i="2"/>
  <c r="AQ35" i="2" s="1"/>
  <c r="AL41" i="3"/>
  <c r="AL43" i="2"/>
  <c r="AI49" i="3"/>
  <c r="AI51" i="2"/>
  <c r="AQ51" i="2" s="1"/>
  <c r="AJ53" i="2"/>
  <c r="AO55" i="2"/>
  <c r="AO55" i="3" s="1"/>
  <c r="AO55" i="4" s="1"/>
  <c r="AO55" i="5" s="1"/>
  <c r="AJ69" i="2"/>
  <c r="AJ77" i="2"/>
  <c r="AO79" i="2"/>
  <c r="AO79" i="3" s="1"/>
  <c r="AO79" i="4" s="1"/>
  <c r="AO79" i="5" s="1"/>
  <c r="AO95" i="2"/>
  <c r="AO95" i="3" s="1"/>
  <c r="AO95" i="4" s="1"/>
  <c r="AQ103" i="2"/>
  <c r="AK123" i="3"/>
  <c r="AQ123" i="2"/>
  <c r="AQ43" i="3"/>
  <c r="AO47" i="3"/>
  <c r="AO59" i="3"/>
  <c r="AL67" i="3"/>
  <c r="AO71" i="3"/>
  <c r="AH119" i="3"/>
  <c r="AO31" i="4"/>
  <c r="AO31" i="5" s="1"/>
  <c r="AO67" i="6"/>
  <c r="AO67" i="7" s="1"/>
  <c r="AO67" i="8" s="1"/>
  <c r="AK25" i="2"/>
  <c r="AK27" i="1"/>
  <c r="AJ35" i="1"/>
  <c r="AR35" i="1" s="1"/>
  <c r="AI57" i="2"/>
  <c r="AI59" i="1"/>
  <c r="AQ59" i="1" s="1"/>
  <c r="AJ7" i="2"/>
  <c r="AR7" i="2" s="1"/>
  <c r="AK46" i="2"/>
  <c r="AL51" i="2"/>
  <c r="AK97" i="3"/>
  <c r="AK99" i="2"/>
  <c r="AK103" i="2"/>
  <c r="AK101" i="3"/>
  <c r="AK115" i="3"/>
  <c r="AK113" i="4"/>
  <c r="AL29" i="4"/>
  <c r="AL31" i="3"/>
  <c r="AL7" i="1"/>
  <c r="AK9" i="2"/>
  <c r="AK11" i="1"/>
  <c r="AK15" i="1"/>
  <c r="AJ19" i="1"/>
  <c r="AR19" i="1" s="1"/>
  <c r="AI21" i="2"/>
  <c r="AI23" i="1"/>
  <c r="AQ23" i="1" s="1"/>
  <c r="AI27" i="1"/>
  <c r="AQ27" i="1" s="1"/>
  <c r="AL33" i="3"/>
  <c r="AL35" i="2"/>
  <c r="AL39" i="1"/>
  <c r="AK41" i="2"/>
  <c r="AK43" i="1"/>
  <c r="AJ45" i="3"/>
  <c r="AJ47" i="2"/>
  <c r="AR47" i="2" s="1"/>
  <c r="AJ51" i="1"/>
  <c r="AR51" i="1" s="1"/>
  <c r="AJ49" i="2"/>
  <c r="AL53" i="3"/>
  <c r="AL55" i="2"/>
  <c r="AL59" i="1"/>
  <c r="AK61" i="2"/>
  <c r="AK63" i="1"/>
  <c r="AK67" i="1"/>
  <c r="AI79" i="3"/>
  <c r="AQ79" i="3" s="1"/>
  <c r="AI79" i="1"/>
  <c r="AQ79" i="1" s="1"/>
  <c r="AL81" i="3"/>
  <c r="AL83" i="2"/>
  <c r="AK91" i="2"/>
  <c r="AK89" i="3"/>
  <c r="AL91" i="1"/>
  <c r="AK93" i="2"/>
  <c r="AK95" i="1"/>
  <c r="AK99" i="1"/>
  <c r="AJ103" i="1"/>
  <c r="AR103" i="1" s="1"/>
  <c r="AI105" i="2"/>
  <c r="AI107" i="1"/>
  <c r="AQ107" i="1" s="1"/>
  <c r="AL109" i="4"/>
  <c r="AL111" i="3"/>
  <c r="AI113" i="3"/>
  <c r="AI115" i="2"/>
  <c r="AQ115" i="2" s="1"/>
  <c r="AI121" i="4"/>
  <c r="AI123" i="3"/>
  <c r="AQ123" i="3" s="1"/>
  <c r="AK5" i="3"/>
  <c r="AK7" i="2"/>
  <c r="AL15" i="2"/>
  <c r="AQ19" i="2"/>
  <c r="AK21" i="3"/>
  <c r="AK23" i="2"/>
  <c r="AJ29" i="4"/>
  <c r="AJ31" i="3"/>
  <c r="AR31" i="3" s="1"/>
  <c r="AK37" i="3"/>
  <c r="AK39" i="2"/>
  <c r="AL45" i="2"/>
  <c r="AJ59" i="2"/>
  <c r="AR59" i="2" s="1"/>
  <c r="AI63" i="3"/>
  <c r="AQ63" i="3" s="1"/>
  <c r="AJ83" i="2"/>
  <c r="AR83" i="2" s="1"/>
  <c r="AI87" i="5"/>
  <c r="AQ87" i="5" s="1"/>
  <c r="AI85" i="6"/>
  <c r="AO103" i="2"/>
  <c r="AK107" i="2"/>
  <c r="AL111" i="2"/>
  <c r="AJ117" i="2"/>
  <c r="AO43" i="3"/>
  <c r="AI53" i="3"/>
  <c r="AI65" i="3"/>
  <c r="AL85" i="3"/>
  <c r="AO87" i="3"/>
  <c r="AO87" i="4" s="1"/>
  <c r="AO87" i="5" s="1"/>
  <c r="AO47" i="4"/>
  <c r="AO47" i="5" s="1"/>
  <c r="AO59" i="4"/>
  <c r="AO59" i="5" s="1"/>
  <c r="AI77" i="4"/>
  <c r="AO91" i="4"/>
  <c r="AO91" i="5" s="1"/>
  <c r="AL19" i="2"/>
  <c r="AL17" i="3"/>
  <c r="AJ87" i="1"/>
  <c r="AR87" i="1" s="1"/>
  <c r="AL97" i="3"/>
  <c r="AL99" i="2"/>
  <c r="AL7" i="2"/>
  <c r="AK15" i="2"/>
  <c r="AK13" i="3"/>
  <c r="AL15" i="1"/>
  <c r="AK17" i="2"/>
  <c r="AK19" i="1"/>
  <c r="AJ23" i="3"/>
  <c r="AR23" i="3" s="1"/>
  <c r="AJ27" i="2"/>
  <c r="AR27" i="2" s="1"/>
  <c r="AJ25" i="3"/>
  <c r="AJ27" i="1"/>
  <c r="AR27" i="1" s="1"/>
  <c r="AL37" i="3"/>
  <c r="AL39" i="2"/>
  <c r="AK49" i="3"/>
  <c r="AK51" i="2"/>
  <c r="AI55" i="1"/>
  <c r="AQ55" i="1" s="1"/>
  <c r="AL57" i="3"/>
  <c r="AL59" i="2"/>
  <c r="AK67" i="2"/>
  <c r="AK65" i="3"/>
  <c r="AL67" i="1"/>
  <c r="AK71" i="1"/>
  <c r="AK69" i="2"/>
  <c r="AI81" i="2"/>
  <c r="AI83" i="1"/>
  <c r="AQ83" i="1" s="1"/>
  <c r="AI87" i="1"/>
  <c r="AQ87" i="1" s="1"/>
  <c r="AL89" i="4"/>
  <c r="AL95" i="2"/>
  <c r="AL93" i="3"/>
  <c r="AL99" i="1"/>
  <c r="AJ105" i="3"/>
  <c r="AJ107" i="2"/>
  <c r="AR107" i="2" s="1"/>
  <c r="AI111" i="1"/>
  <c r="AQ111" i="1" s="1"/>
  <c r="AI117" i="3"/>
  <c r="AO19" i="2"/>
  <c r="AO19" i="3" s="1"/>
  <c r="AO19" i="4" s="1"/>
  <c r="AO19" i="5" s="1"/>
  <c r="AO35" i="2"/>
  <c r="AO35" i="3" s="1"/>
  <c r="AO35" i="4" s="1"/>
  <c r="AO35" i="5" s="1"/>
  <c r="AI73" i="2"/>
  <c r="AI79" i="2"/>
  <c r="AQ79" i="2" s="1"/>
  <c r="AI89" i="2"/>
  <c r="AI95" i="2"/>
  <c r="AI111" i="2"/>
  <c r="AQ111" i="2" s="1"/>
  <c r="AJ113" i="3"/>
  <c r="AJ115" i="2"/>
  <c r="AR115" i="2" s="1"/>
  <c r="AI9" i="4"/>
  <c r="AI11" i="3"/>
  <c r="AQ11" i="3" s="1"/>
  <c r="AJ13" i="4"/>
  <c r="AO15" i="3"/>
  <c r="AI25" i="4"/>
  <c r="AI27" i="3"/>
  <c r="AQ27" i="3" s="1"/>
  <c r="AL61" i="3"/>
  <c r="AJ97" i="3"/>
  <c r="AI101" i="4"/>
  <c r="AI103" i="3"/>
  <c r="AQ103" i="3" s="1"/>
  <c r="AJ121" i="3"/>
  <c r="AJ5" i="4"/>
  <c r="AO99" i="5"/>
  <c r="AO39" i="6"/>
  <c r="AO39" i="7" s="1"/>
  <c r="AO39" i="8" s="1"/>
  <c r="AO39" i="9" s="1"/>
  <c r="AO39" i="10" s="1"/>
  <c r="AO39" i="11" s="1"/>
  <c r="AO39" i="12" s="1"/>
  <c r="AK117" i="2"/>
  <c r="AO95" i="5"/>
  <c r="AO107" i="6"/>
  <c r="AJ73" i="6"/>
  <c r="AJ89" i="6"/>
  <c r="AK111" i="1"/>
  <c r="AI115" i="1"/>
  <c r="AQ115" i="1" s="1"/>
  <c r="AI123" i="1"/>
  <c r="AQ123" i="1" s="1"/>
  <c r="AJ14" i="2"/>
  <c r="AJ14" i="3" s="1"/>
  <c r="AJ14" i="4" s="1"/>
  <c r="AJ14" i="5" s="1"/>
  <c r="AJ14" i="6" s="1"/>
  <c r="AJ14" i="7" s="1"/>
  <c r="AJ14" i="8" s="1"/>
  <c r="AJ14" i="9" s="1"/>
  <c r="AJ14" i="10" s="1"/>
  <c r="AJ14" i="11" s="1"/>
  <c r="AJ14" i="12" s="1"/>
  <c r="AJ30" i="2"/>
  <c r="AJ30" i="3" s="1"/>
  <c r="AJ30" i="4" s="1"/>
  <c r="AJ30" i="5" s="1"/>
  <c r="AJ30" i="6" s="1"/>
  <c r="AJ30" i="7" s="1"/>
  <c r="AJ30" i="8" s="1"/>
  <c r="AJ30" i="9" s="1"/>
  <c r="AJ30" i="10" s="1"/>
  <c r="AJ30" i="11" s="1"/>
  <c r="AJ30" i="12" s="1"/>
  <c r="AJ31" i="2"/>
  <c r="AR31" i="2" s="1"/>
  <c r="AI43" i="2"/>
  <c r="AQ43" i="2" s="1"/>
  <c r="AI63" i="2"/>
  <c r="AQ63" i="2" s="1"/>
  <c r="AJ66" i="2"/>
  <c r="AJ66" i="3" s="1"/>
  <c r="AJ66" i="4" s="1"/>
  <c r="AJ66" i="5" s="1"/>
  <c r="AJ66" i="6" s="1"/>
  <c r="AJ66" i="7" s="1"/>
  <c r="AJ66" i="8" s="1"/>
  <c r="AJ66" i="9" s="1"/>
  <c r="AJ66" i="10" s="1"/>
  <c r="AJ66" i="11" s="1"/>
  <c r="AJ66" i="12" s="1"/>
  <c r="AJ67" i="2"/>
  <c r="AR67" i="2" s="1"/>
  <c r="AJ74" i="2"/>
  <c r="AJ74" i="3" s="1"/>
  <c r="AJ74" i="4" s="1"/>
  <c r="AJ74" i="5" s="1"/>
  <c r="AJ74" i="6" s="1"/>
  <c r="AJ74" i="7" s="1"/>
  <c r="AJ74" i="8" s="1"/>
  <c r="AJ74" i="9" s="1"/>
  <c r="AJ74" i="10" s="1"/>
  <c r="AJ74" i="11" s="1"/>
  <c r="AJ74" i="12" s="1"/>
  <c r="AJ75" i="2"/>
  <c r="AR75" i="2" s="1"/>
  <c r="AI87" i="2"/>
  <c r="AQ87" i="2" s="1"/>
  <c r="AJ90" i="2"/>
  <c r="AJ90" i="3" s="1"/>
  <c r="AJ90" i="4" s="1"/>
  <c r="AJ90" i="5" s="1"/>
  <c r="AJ90" i="6" s="1"/>
  <c r="AJ90" i="7" s="1"/>
  <c r="AJ90" i="8" s="1"/>
  <c r="AJ90" i="9" s="1"/>
  <c r="AJ90" i="10" s="1"/>
  <c r="AJ90" i="11" s="1"/>
  <c r="AJ90" i="12" s="1"/>
  <c r="AL102" i="2"/>
  <c r="AL102" i="3" s="1"/>
  <c r="AL102" i="4" s="1"/>
  <c r="AL102" i="5" s="1"/>
  <c r="AL102" i="6" s="1"/>
  <c r="AL102" i="7" s="1"/>
  <c r="AL102" i="8" s="1"/>
  <c r="AL102" i="9" s="1"/>
  <c r="AL102" i="10" s="1"/>
  <c r="AL102" i="11" s="1"/>
  <c r="AL102" i="12" s="1"/>
  <c r="AL117" i="2"/>
  <c r="AK123" i="2"/>
  <c r="AO83" i="3"/>
  <c r="AO83" i="4" s="1"/>
  <c r="AO83" i="5" s="1"/>
  <c r="AO111" i="3"/>
  <c r="AO11" i="4"/>
  <c r="AO11" i="5" s="1"/>
  <c r="AO43" i="4"/>
  <c r="AO43" i="5" s="1"/>
  <c r="AJ75" i="4"/>
  <c r="AR75" i="4" s="1"/>
  <c r="AJ91" i="4"/>
  <c r="AR91" i="4" s="1"/>
  <c r="AK121" i="4"/>
  <c r="AO75" i="5"/>
  <c r="AL101" i="5"/>
  <c r="AL19" i="1"/>
  <c r="AL35" i="1"/>
  <c r="AJ47" i="1"/>
  <c r="AR47" i="1" s="1"/>
  <c r="AL55" i="1"/>
  <c r="AL71" i="1"/>
  <c r="AL79" i="1"/>
  <c r="AL95" i="1"/>
  <c r="AJ107" i="1"/>
  <c r="AR107" i="1" s="1"/>
  <c r="AK115" i="2"/>
  <c r="AJ75" i="3"/>
  <c r="AR75" i="3" s="1"/>
  <c r="AQ87" i="3"/>
  <c r="AO103" i="3"/>
  <c r="AO71" i="4"/>
  <c r="AO71" i="5" s="1"/>
  <c r="AO103" i="4"/>
  <c r="AO111" i="4"/>
  <c r="AO103" i="5"/>
  <c r="AO103" i="6" s="1"/>
  <c r="AO103" i="7" s="1"/>
  <c r="AO103" i="8" s="1"/>
  <c r="AO103" i="9" s="1"/>
  <c r="AO103" i="10" s="1"/>
  <c r="AO103" i="11" s="1"/>
  <c r="AO103" i="12" s="1"/>
  <c r="AO51" i="6"/>
  <c r="AO63" i="7"/>
  <c r="AO63" i="8" s="1"/>
  <c r="AO111" i="5"/>
  <c r="AO63" i="6"/>
  <c r="AO95" i="6"/>
  <c r="AO95" i="7" s="1"/>
  <c r="AO95" i="8" s="1"/>
  <c r="AO95" i="9" s="1"/>
  <c r="AO95" i="10" s="1"/>
  <c r="AO95" i="11" s="1"/>
  <c r="AO95" i="12" s="1"/>
  <c r="AO111" i="6"/>
  <c r="AH11" i="7"/>
  <c r="AO111" i="7"/>
  <c r="AO111" i="8" s="1"/>
  <c r="AO111" i="9" s="1"/>
  <c r="AO111" i="10" s="1"/>
  <c r="AO111" i="11" s="1"/>
  <c r="AO111" i="12" s="1"/>
  <c r="AP7" i="9"/>
  <c r="AP11" i="9"/>
  <c r="AP15" i="9"/>
  <c r="AR15" i="8"/>
  <c r="AP19" i="9"/>
  <c r="AP23" i="9"/>
  <c r="AP27" i="9"/>
  <c r="AP31" i="9"/>
  <c r="AP35" i="9"/>
  <c r="AP39" i="9"/>
  <c r="AP43" i="9"/>
  <c r="AP47" i="9"/>
  <c r="AP51" i="9"/>
  <c r="AP55" i="9"/>
  <c r="AO119" i="5"/>
  <c r="AO63" i="9"/>
  <c r="AO51" i="7"/>
  <c r="AO107" i="7"/>
  <c r="AO107" i="8" s="1"/>
  <c r="AO107" i="9" s="1"/>
  <c r="AO107" i="10" s="1"/>
  <c r="AO107" i="11" s="1"/>
  <c r="AO107" i="12" s="1"/>
  <c r="AO7" i="8"/>
  <c r="AO7" i="9" s="1"/>
  <c r="AO7" i="10" s="1"/>
  <c r="AO7" i="11" s="1"/>
  <c r="AO7" i="12" s="1"/>
  <c r="AO23" i="8"/>
  <c r="AO51" i="8"/>
  <c r="AO51" i="9"/>
  <c r="AO51" i="10" s="1"/>
  <c r="AO51" i="11" s="1"/>
  <c r="AO51" i="12" s="1"/>
  <c r="AP75" i="11"/>
  <c r="AP79" i="11"/>
  <c r="AO23" i="9"/>
  <c r="AO23" i="10" s="1"/>
  <c r="AO23" i="11" s="1"/>
  <c r="AO23" i="12" s="1"/>
  <c r="AO67" i="9"/>
  <c r="AO67" i="10" s="1"/>
  <c r="AO67" i="11" s="1"/>
  <c r="AO67" i="12" s="1"/>
  <c r="AO63" i="10"/>
  <c r="AO63" i="11" s="1"/>
  <c r="AP59" i="11"/>
  <c r="AP63" i="11"/>
  <c r="AP67" i="11"/>
  <c r="AP71" i="11"/>
  <c r="AH123" i="11"/>
  <c r="AO63" i="12"/>
  <c r="AO79" i="6" l="1"/>
  <c r="AO79" i="7" s="1"/>
  <c r="AO79" i="8" s="1"/>
  <c r="AO79" i="9" s="1"/>
  <c r="AO79" i="10" s="1"/>
  <c r="AO79" i="11" s="1"/>
  <c r="AO79" i="12" s="1"/>
  <c r="AO83" i="6"/>
  <c r="AO83" i="7" s="1"/>
  <c r="AO83" i="8" s="1"/>
  <c r="AO83" i="9" s="1"/>
  <c r="AO83" i="10" s="1"/>
  <c r="AO83" i="11" s="1"/>
  <c r="AO83" i="12" s="1"/>
  <c r="AO35" i="6"/>
  <c r="AO35" i="7" s="1"/>
  <c r="AO35" i="8" s="1"/>
  <c r="AO35" i="9" s="1"/>
  <c r="AO35" i="10" s="1"/>
  <c r="AO35" i="11" s="1"/>
  <c r="AO35" i="12" s="1"/>
  <c r="AO91" i="6"/>
  <c r="AO91" i="7" s="1"/>
  <c r="AO91" i="8" s="1"/>
  <c r="AO91" i="9" s="1"/>
  <c r="AO91" i="10" s="1"/>
  <c r="AO91" i="11" s="1"/>
  <c r="AO91" i="12" s="1"/>
  <c r="AS87" i="5"/>
  <c r="AO87" i="6"/>
  <c r="AO87" i="7" s="1"/>
  <c r="AO87" i="8" s="1"/>
  <c r="AO87" i="9" s="1"/>
  <c r="AO87" i="10" s="1"/>
  <c r="AO87" i="11" s="1"/>
  <c r="AO87" i="12" s="1"/>
  <c r="AO43" i="6"/>
  <c r="AO43" i="7" s="1"/>
  <c r="AO43" i="8" s="1"/>
  <c r="AO43" i="9" s="1"/>
  <c r="AO43" i="10" s="1"/>
  <c r="AO43" i="11" s="1"/>
  <c r="AO43" i="12" s="1"/>
  <c r="AO19" i="6"/>
  <c r="AO19" i="7" s="1"/>
  <c r="AO19" i="8" s="1"/>
  <c r="AO19" i="9" s="1"/>
  <c r="AO19" i="10" s="1"/>
  <c r="AO19" i="11" s="1"/>
  <c r="AO19" i="12" s="1"/>
  <c r="AO27" i="6"/>
  <c r="AO27" i="7" s="1"/>
  <c r="AO27" i="8" s="1"/>
  <c r="AO27" i="9" s="1"/>
  <c r="AO27" i="10" s="1"/>
  <c r="AO27" i="11" s="1"/>
  <c r="AO27" i="12" s="1"/>
  <c r="AL103" i="4"/>
  <c r="AK123" i="4"/>
  <c r="AK121" i="5"/>
  <c r="AL117" i="3"/>
  <c r="AL119" i="2"/>
  <c r="AP71" i="12"/>
  <c r="AP63" i="12"/>
  <c r="AP75" i="12"/>
  <c r="AP55" i="10"/>
  <c r="AP47" i="10"/>
  <c r="AP39" i="10"/>
  <c r="AP31" i="10"/>
  <c r="AP23" i="10"/>
  <c r="AP15" i="10"/>
  <c r="AR15" i="9"/>
  <c r="AP7" i="10"/>
  <c r="AJ91" i="3"/>
  <c r="AR91" i="3" s="1"/>
  <c r="AL101" i="6"/>
  <c r="AL103" i="5"/>
  <c r="AL103" i="2"/>
  <c r="AJ91" i="5"/>
  <c r="AR91" i="5" s="1"/>
  <c r="AI101" i="5"/>
  <c r="AI103" i="4"/>
  <c r="AQ103" i="4" s="1"/>
  <c r="AJ13" i="5"/>
  <c r="AJ15" i="4"/>
  <c r="AR15" i="4" s="1"/>
  <c r="AJ113" i="4"/>
  <c r="AJ115" i="3"/>
  <c r="AR115" i="3" s="1"/>
  <c r="AL93" i="4"/>
  <c r="AL95" i="3"/>
  <c r="AK49" i="4"/>
  <c r="AK51" i="3"/>
  <c r="AJ25" i="4"/>
  <c r="AJ27" i="3"/>
  <c r="AR27" i="3" s="1"/>
  <c r="AK19" i="2"/>
  <c r="AK17" i="3"/>
  <c r="AL19" i="3"/>
  <c r="AL17" i="4"/>
  <c r="AO47" i="6"/>
  <c r="AO47" i="7" s="1"/>
  <c r="AO47" i="8" s="1"/>
  <c r="AO47" i="9" s="1"/>
  <c r="AO47" i="10" s="1"/>
  <c r="AO47" i="11" s="1"/>
  <c r="AO47" i="12" s="1"/>
  <c r="AI67" i="3"/>
  <c r="AQ67" i="3" s="1"/>
  <c r="AI65" i="4"/>
  <c r="AJ29" i="5"/>
  <c r="AJ31" i="4"/>
  <c r="AR31" i="4" s="1"/>
  <c r="AL81" i="4"/>
  <c r="AL83" i="3"/>
  <c r="AL53" i="4"/>
  <c r="AL55" i="3"/>
  <c r="AJ45" i="4"/>
  <c r="AJ47" i="3"/>
  <c r="AR47" i="3" s="1"/>
  <c r="AI23" i="2"/>
  <c r="AQ23" i="2" s="1"/>
  <c r="AI21" i="3"/>
  <c r="AK9" i="3"/>
  <c r="AK11" i="2"/>
  <c r="AL31" i="4"/>
  <c r="AL29" i="5"/>
  <c r="AK25" i="3"/>
  <c r="AK27" i="2"/>
  <c r="AO71" i="6"/>
  <c r="AO71" i="7" s="1"/>
  <c r="AO71" i="8" s="1"/>
  <c r="AO71" i="9" s="1"/>
  <c r="AO71" i="10" s="1"/>
  <c r="AO71" i="11" s="1"/>
  <c r="AO71" i="12" s="1"/>
  <c r="AO55" i="6"/>
  <c r="AO55" i="7" s="1"/>
  <c r="AO55" i="8" s="1"/>
  <c r="AO55" i="9" s="1"/>
  <c r="AO55" i="10" s="1"/>
  <c r="AO55" i="11" s="1"/>
  <c r="AO55" i="12" s="1"/>
  <c r="AL9" i="4"/>
  <c r="AL11" i="3"/>
  <c r="AL115" i="2"/>
  <c r="AL113" i="3"/>
  <c r="AJ61" i="4"/>
  <c r="AJ63" i="3"/>
  <c r="AR63" i="3" s="1"/>
  <c r="AK33" i="3"/>
  <c r="AK35" i="2"/>
  <c r="AK29" i="4"/>
  <c r="AK31" i="3"/>
  <c r="AI17" i="5"/>
  <c r="AI19" i="4"/>
  <c r="AQ19" i="4" s="1"/>
  <c r="AK59" i="3"/>
  <c r="AK57" i="4"/>
  <c r="AL65" i="6"/>
  <c r="AL67" i="5"/>
  <c r="AO115" i="6"/>
  <c r="AO115" i="7" s="1"/>
  <c r="AO115" i="8" s="1"/>
  <c r="AO115" i="9" s="1"/>
  <c r="AO115" i="10" s="1"/>
  <c r="AO115" i="11" s="1"/>
  <c r="AO115" i="12" s="1"/>
  <c r="AJ87" i="3"/>
  <c r="AR87" i="3" s="1"/>
  <c r="AJ85" i="4"/>
  <c r="AK105" i="5"/>
  <c r="AK107" i="4"/>
  <c r="AI109" i="5"/>
  <c r="AI111" i="4"/>
  <c r="AQ111" i="4" s="1"/>
  <c r="AJ93" i="4"/>
  <c r="AJ95" i="3"/>
  <c r="AR95" i="3" s="1"/>
  <c r="AJ89" i="7"/>
  <c r="AJ91" i="6"/>
  <c r="AR91" i="6" s="1"/>
  <c r="AK119" i="2"/>
  <c r="AK117" i="3"/>
  <c r="AJ7" i="4"/>
  <c r="AR7" i="4" s="1"/>
  <c r="AJ5" i="5"/>
  <c r="AJ99" i="3"/>
  <c r="AR99" i="3" s="1"/>
  <c r="AJ97" i="4"/>
  <c r="AI25" i="5"/>
  <c r="AI27" i="4"/>
  <c r="AQ27" i="4" s="1"/>
  <c r="AL57" i="4"/>
  <c r="AL59" i="3"/>
  <c r="AI53" i="4"/>
  <c r="AI55" i="3"/>
  <c r="AQ55" i="3" s="1"/>
  <c r="AK37" i="4"/>
  <c r="AK39" i="3"/>
  <c r="AJ15" i="2"/>
  <c r="AR15" i="2" s="1"/>
  <c r="AI121" i="5"/>
  <c r="AI123" i="4"/>
  <c r="AQ123" i="4" s="1"/>
  <c r="AL111" i="4"/>
  <c r="AL109" i="5"/>
  <c r="AK89" i="4"/>
  <c r="AK91" i="3"/>
  <c r="AK61" i="3"/>
  <c r="AK63" i="2"/>
  <c r="AJ49" i="3"/>
  <c r="AJ51" i="2"/>
  <c r="AR51" i="2" s="1"/>
  <c r="AL33" i="4"/>
  <c r="AL35" i="3"/>
  <c r="AK113" i="5"/>
  <c r="AK115" i="4"/>
  <c r="AI57" i="3"/>
  <c r="AI59" i="2"/>
  <c r="AQ59" i="2" s="1"/>
  <c r="AO31" i="6"/>
  <c r="AO31" i="7" s="1"/>
  <c r="AO31" i="8" s="1"/>
  <c r="AO31" i="9" s="1"/>
  <c r="AO31" i="10" s="1"/>
  <c r="AO31" i="11" s="1"/>
  <c r="AO31" i="12" s="1"/>
  <c r="AJ53" i="3"/>
  <c r="AJ55" i="2"/>
  <c r="AR55" i="2" s="1"/>
  <c r="AL41" i="4"/>
  <c r="AL43" i="3"/>
  <c r="AI29" i="3"/>
  <c r="AI31" i="2"/>
  <c r="AQ31" i="2" s="1"/>
  <c r="AI97" i="3"/>
  <c r="AI99" i="2"/>
  <c r="AQ99" i="2" s="1"/>
  <c r="AK85" i="3"/>
  <c r="AK87" i="2"/>
  <c r="AI69" i="4"/>
  <c r="AI71" i="3"/>
  <c r="AQ71" i="3" s="1"/>
  <c r="AJ65" i="5"/>
  <c r="AJ67" i="4"/>
  <c r="AR67" i="4" s="1"/>
  <c r="AJ101" i="5"/>
  <c r="AJ103" i="4"/>
  <c r="AR103" i="4" s="1"/>
  <c r="AI63" i="5"/>
  <c r="AQ63" i="5" s="1"/>
  <c r="AS63" i="5" s="1"/>
  <c r="AI61" i="6"/>
  <c r="AK45" i="5"/>
  <c r="AJ33" i="4"/>
  <c r="AJ35" i="3"/>
  <c r="AR35" i="3" s="1"/>
  <c r="AL7" i="4"/>
  <c r="AL5" i="5"/>
  <c r="AP67" i="12"/>
  <c r="AP59" i="12"/>
  <c r="AP79" i="12"/>
  <c r="AO11" i="6"/>
  <c r="AO11" i="7" s="1"/>
  <c r="AO11" i="8" s="1"/>
  <c r="AO11" i="9" s="1"/>
  <c r="AO11" i="10" s="1"/>
  <c r="AO11" i="11" s="1"/>
  <c r="AO11" i="12" s="1"/>
  <c r="AP51" i="10"/>
  <c r="AP43" i="10"/>
  <c r="AP35" i="10"/>
  <c r="AP27" i="10"/>
  <c r="AP19" i="10"/>
  <c r="AP11" i="10"/>
  <c r="AL103" i="3"/>
  <c r="AJ91" i="2"/>
  <c r="AR91" i="2" s="1"/>
  <c r="AJ75" i="5"/>
  <c r="AR75" i="5" s="1"/>
  <c r="AO99" i="6"/>
  <c r="AO99" i="7" s="1"/>
  <c r="AO99" i="8" s="1"/>
  <c r="AO99" i="9" s="1"/>
  <c r="AO99" i="10" s="1"/>
  <c r="AO99" i="11" s="1"/>
  <c r="AO99" i="12" s="1"/>
  <c r="AJ121" i="4"/>
  <c r="AJ123" i="3"/>
  <c r="AR123" i="3" s="1"/>
  <c r="AL63" i="3"/>
  <c r="AL61" i="4"/>
  <c r="AI9" i="5"/>
  <c r="AI11" i="4"/>
  <c r="AQ11" i="4" s="1"/>
  <c r="AI75" i="2"/>
  <c r="AQ75" i="2" s="1"/>
  <c r="AI73" i="3"/>
  <c r="AI119" i="2"/>
  <c r="AQ119" i="2" s="1"/>
  <c r="AJ105" i="4"/>
  <c r="AJ107" i="3"/>
  <c r="AR107" i="3" s="1"/>
  <c r="AL91" i="3"/>
  <c r="AI81" i="3"/>
  <c r="AI83" i="2"/>
  <c r="AQ83" i="2" s="1"/>
  <c r="AK65" i="4"/>
  <c r="AK67" i="3"/>
  <c r="AL37" i="4"/>
  <c r="AL39" i="3"/>
  <c r="AK13" i="4"/>
  <c r="AK15" i="3"/>
  <c r="AL97" i="4"/>
  <c r="AL99" i="3"/>
  <c r="AI79" i="4"/>
  <c r="AQ79" i="4" s="1"/>
  <c r="AI77" i="5"/>
  <c r="AL85" i="4"/>
  <c r="AL87" i="3"/>
  <c r="AJ117" i="3"/>
  <c r="AJ119" i="2"/>
  <c r="AR119" i="2" s="1"/>
  <c r="AI87" i="6"/>
  <c r="AQ87" i="6" s="1"/>
  <c r="AI85" i="7"/>
  <c r="AK21" i="4"/>
  <c r="AK23" i="3"/>
  <c r="AK41" i="3"/>
  <c r="AK43" i="2"/>
  <c r="AK97" i="4"/>
  <c r="AK99" i="3"/>
  <c r="AK46" i="3"/>
  <c r="AK47" i="2"/>
  <c r="AJ79" i="2"/>
  <c r="AR79" i="2" s="1"/>
  <c r="AJ77" i="3"/>
  <c r="AI13" i="3"/>
  <c r="AI15" i="2"/>
  <c r="AQ15" i="2" s="1"/>
  <c r="AL73" i="5"/>
  <c r="AL75" i="4"/>
  <c r="AI45" i="3"/>
  <c r="AI47" i="2"/>
  <c r="AQ47" i="2" s="1"/>
  <c r="AJ41" i="4"/>
  <c r="AJ43" i="3"/>
  <c r="AR43" i="3" s="1"/>
  <c r="AJ9" i="4"/>
  <c r="AJ11" i="3"/>
  <c r="AR11" i="3" s="1"/>
  <c r="AJ67" i="3"/>
  <c r="AR67" i="3" s="1"/>
  <c r="AI41" i="5"/>
  <c r="AI43" i="4"/>
  <c r="AQ43" i="4" s="1"/>
  <c r="AJ111" i="2"/>
  <c r="AR111" i="2" s="1"/>
  <c r="AJ109" i="3"/>
  <c r="AL69" i="4"/>
  <c r="AL71" i="3"/>
  <c r="AI37" i="3"/>
  <c r="AI39" i="2"/>
  <c r="AQ39" i="2" s="1"/>
  <c r="AI7" i="2"/>
  <c r="AQ7" i="2" s="1"/>
  <c r="AI5" i="3"/>
  <c r="AI95" i="4"/>
  <c r="AQ95" i="4" s="1"/>
  <c r="AI93" i="5"/>
  <c r="AK77" i="3"/>
  <c r="AK79" i="2"/>
  <c r="AJ103" i="3"/>
  <c r="AR103" i="3" s="1"/>
  <c r="AI33" i="5"/>
  <c r="AI35" i="4"/>
  <c r="AQ35" i="4" s="1"/>
  <c r="AJ57" i="5"/>
  <c r="AJ59" i="4"/>
  <c r="AR59" i="4" s="1"/>
  <c r="AJ23" i="5"/>
  <c r="AR23" i="5" s="1"/>
  <c r="AJ21" i="6"/>
  <c r="AO75" i="6"/>
  <c r="AO75" i="7" s="1"/>
  <c r="AO75" i="8" s="1"/>
  <c r="AO75" i="9" s="1"/>
  <c r="AO75" i="10" s="1"/>
  <c r="AO75" i="11" s="1"/>
  <c r="AO75" i="12" s="1"/>
  <c r="AJ73" i="7"/>
  <c r="AJ75" i="6"/>
  <c r="AR75" i="6" s="1"/>
  <c r="AJ15" i="3"/>
  <c r="AR15" i="3" s="1"/>
  <c r="AI91" i="2"/>
  <c r="AQ91" i="2" s="1"/>
  <c r="AI89" i="3"/>
  <c r="AI119" i="3"/>
  <c r="AQ119" i="3" s="1"/>
  <c r="AI117" i="4"/>
  <c r="AL89" i="5"/>
  <c r="AL91" i="4"/>
  <c r="AK69" i="3"/>
  <c r="AK71" i="2"/>
  <c r="AO59" i="6"/>
  <c r="AO59" i="7" s="1"/>
  <c r="AO59" i="8" s="1"/>
  <c r="AO59" i="9" s="1"/>
  <c r="AO59" i="10" s="1"/>
  <c r="AO59" i="11" s="1"/>
  <c r="AO59" i="12" s="1"/>
  <c r="AL45" i="3"/>
  <c r="AL47" i="2"/>
  <c r="AK5" i="4"/>
  <c r="AK7" i="3"/>
  <c r="AI113" i="4"/>
  <c r="AI115" i="3"/>
  <c r="AQ115" i="3" s="1"/>
  <c r="AI105" i="3"/>
  <c r="AI107" i="2"/>
  <c r="AQ107" i="2" s="1"/>
  <c r="AK93" i="3"/>
  <c r="AK95" i="2"/>
  <c r="AK103" i="3"/>
  <c r="AK101" i="4"/>
  <c r="AJ71" i="2"/>
  <c r="AR71" i="2" s="1"/>
  <c r="AJ69" i="3"/>
  <c r="AI49" i="4"/>
  <c r="AI51" i="3"/>
  <c r="AQ51" i="3" s="1"/>
  <c r="AL25" i="4"/>
  <c r="AL27" i="3"/>
  <c r="AL123" i="2"/>
  <c r="AL121" i="3"/>
  <c r="AK109" i="4"/>
  <c r="AK111" i="3"/>
  <c r="AL77" i="4"/>
  <c r="AL79" i="3"/>
  <c r="AK53" i="3"/>
  <c r="AK55" i="2"/>
  <c r="AL23" i="4"/>
  <c r="AL21" i="5"/>
  <c r="AK73" i="4"/>
  <c r="AK75" i="3"/>
  <c r="AL15" i="4"/>
  <c r="AL13" i="5"/>
  <c r="AL107" i="3"/>
  <c r="AL105" i="4"/>
  <c r="AK81" i="4"/>
  <c r="AK83" i="3"/>
  <c r="AL49" i="5"/>
  <c r="AL51" i="4"/>
  <c r="AJ39" i="4"/>
  <c r="AR39" i="4" s="1"/>
  <c r="AJ37" i="5"/>
  <c r="AJ81" i="5"/>
  <c r="AJ83" i="4"/>
  <c r="AR83" i="4" s="1"/>
  <c r="AJ17" i="4"/>
  <c r="AJ19" i="3"/>
  <c r="AR19" i="3" s="1"/>
  <c r="AK53" i="4" l="1"/>
  <c r="AK55" i="3"/>
  <c r="AL27" i="4"/>
  <c r="AL25" i="5"/>
  <c r="AI115" i="4"/>
  <c r="AQ115" i="4" s="1"/>
  <c r="AI113" i="5"/>
  <c r="AI37" i="4"/>
  <c r="AI39" i="3"/>
  <c r="AQ39" i="3" s="1"/>
  <c r="AJ105" i="5"/>
  <c r="AJ107" i="4"/>
  <c r="AR107" i="4" s="1"/>
  <c r="AP11" i="11"/>
  <c r="AI63" i="6"/>
  <c r="AQ63" i="6" s="1"/>
  <c r="AI61" i="7"/>
  <c r="AI25" i="6"/>
  <c r="AI27" i="5"/>
  <c r="AQ27" i="5" s="1"/>
  <c r="AS27" i="5" s="1"/>
  <c r="AJ91" i="7"/>
  <c r="AR91" i="7" s="1"/>
  <c r="AJ89" i="8"/>
  <c r="AI109" i="6"/>
  <c r="AI111" i="5"/>
  <c r="AQ111" i="5" s="1"/>
  <c r="AS111" i="5" s="1"/>
  <c r="AL67" i="6"/>
  <c r="AL65" i="7"/>
  <c r="AI19" i="5"/>
  <c r="AQ19" i="5" s="1"/>
  <c r="AS19" i="5" s="1"/>
  <c r="AI17" i="6"/>
  <c r="AK33" i="4"/>
  <c r="AK35" i="3"/>
  <c r="AL29" i="6"/>
  <c r="AL31" i="5"/>
  <c r="AI21" i="4"/>
  <c r="AI23" i="3"/>
  <c r="AQ23" i="3" s="1"/>
  <c r="AK17" i="4"/>
  <c r="AK19" i="3"/>
  <c r="AK73" i="5"/>
  <c r="AK75" i="4"/>
  <c r="AK109" i="5"/>
  <c r="AK111" i="4"/>
  <c r="AK71" i="3"/>
  <c r="AK69" i="4"/>
  <c r="AI87" i="7"/>
  <c r="AQ87" i="7" s="1"/>
  <c r="AI85" i="8"/>
  <c r="AP27" i="11"/>
  <c r="AI53" i="5"/>
  <c r="AI55" i="4"/>
  <c r="AQ55" i="4" s="1"/>
  <c r="AL121" i="4"/>
  <c r="AL123" i="3"/>
  <c r="AK101" i="5"/>
  <c r="AK103" i="4"/>
  <c r="AJ57" i="6"/>
  <c r="AJ59" i="5"/>
  <c r="AR59" i="5" s="1"/>
  <c r="AJ9" i="5"/>
  <c r="AJ11" i="4"/>
  <c r="AR11" i="4" s="1"/>
  <c r="AI13" i="4"/>
  <c r="AI15" i="3"/>
  <c r="AQ15" i="3" s="1"/>
  <c r="AK43" i="3"/>
  <c r="AK41" i="4"/>
  <c r="AL85" i="5"/>
  <c r="AL87" i="4"/>
  <c r="AL37" i="5"/>
  <c r="AL39" i="4"/>
  <c r="AI9" i="6"/>
  <c r="AI11" i="5"/>
  <c r="AQ11" i="5" s="1"/>
  <c r="AS11" i="5" s="1"/>
  <c r="AJ67" i="5"/>
  <c r="AR67" i="5" s="1"/>
  <c r="AJ65" i="6"/>
  <c r="AI29" i="4"/>
  <c r="AI31" i="3"/>
  <c r="AQ31" i="3" s="1"/>
  <c r="AI57" i="4"/>
  <c r="AI59" i="3"/>
  <c r="AQ59" i="3" s="1"/>
  <c r="AL33" i="5"/>
  <c r="AL35" i="4"/>
  <c r="AK117" i="4"/>
  <c r="AK119" i="3"/>
  <c r="AL53" i="5"/>
  <c r="AL55" i="4"/>
  <c r="AJ113" i="5"/>
  <c r="AJ115" i="4"/>
  <c r="AR115" i="4" s="1"/>
  <c r="AL101" i="7"/>
  <c r="AL103" i="6"/>
  <c r="AP7" i="11"/>
  <c r="AP39" i="11"/>
  <c r="AL117" i="4"/>
  <c r="AL119" i="3"/>
  <c r="AI49" i="5"/>
  <c r="AI51" i="4"/>
  <c r="AQ51" i="4" s="1"/>
  <c r="AK5" i="5"/>
  <c r="AK7" i="4"/>
  <c r="AL91" i="5"/>
  <c r="AL89" i="6"/>
  <c r="AJ75" i="7"/>
  <c r="AR75" i="7" s="1"/>
  <c r="AJ73" i="8"/>
  <c r="AJ23" i="6"/>
  <c r="AR23" i="6" s="1"/>
  <c r="AJ21" i="7"/>
  <c r="AK77" i="4"/>
  <c r="AK79" i="3"/>
  <c r="AL69" i="5"/>
  <c r="AL71" i="4"/>
  <c r="AI41" i="6"/>
  <c r="AI43" i="5"/>
  <c r="AQ43" i="5" s="1"/>
  <c r="AS43" i="5" s="1"/>
  <c r="AJ77" i="4"/>
  <c r="AJ79" i="3"/>
  <c r="AR79" i="3" s="1"/>
  <c r="AI79" i="5"/>
  <c r="AQ79" i="5" s="1"/>
  <c r="AS79" i="5" s="1"/>
  <c r="AI77" i="6"/>
  <c r="AI73" i="4"/>
  <c r="AI75" i="3"/>
  <c r="AQ75" i="3" s="1"/>
  <c r="AL61" i="5"/>
  <c r="AL63" i="4"/>
  <c r="AP19" i="11"/>
  <c r="AP35" i="11"/>
  <c r="AP51" i="11"/>
  <c r="AL5" i="6"/>
  <c r="AL7" i="5"/>
  <c r="AK39" i="4"/>
  <c r="AK37" i="5"/>
  <c r="AL59" i="4"/>
  <c r="AL57" i="5"/>
  <c r="AJ93" i="5"/>
  <c r="AJ95" i="4"/>
  <c r="AR95" i="4" s="1"/>
  <c r="AK107" i="5"/>
  <c r="AK105" i="6"/>
  <c r="AK29" i="5"/>
  <c r="AK31" i="4"/>
  <c r="AJ61" i="5"/>
  <c r="AJ63" i="4"/>
  <c r="AR63" i="4" s="1"/>
  <c r="AL11" i="4"/>
  <c r="AL9" i="5"/>
  <c r="AI65" i="5"/>
  <c r="AI67" i="4"/>
  <c r="AQ67" i="4" s="1"/>
  <c r="AL17" i="5"/>
  <c r="AL19" i="4"/>
  <c r="AJ39" i="5"/>
  <c r="AR39" i="5" s="1"/>
  <c r="AJ37" i="6"/>
  <c r="AK93" i="4"/>
  <c r="AK95" i="3"/>
  <c r="AL45" i="4"/>
  <c r="AL47" i="3"/>
  <c r="AP43" i="11"/>
  <c r="AL111" i="5"/>
  <c r="AL109" i="6"/>
  <c r="AJ19" i="4"/>
  <c r="AR19" i="4" s="1"/>
  <c r="AJ17" i="5"/>
  <c r="AK83" i="4"/>
  <c r="AK81" i="5"/>
  <c r="AL13" i="6"/>
  <c r="AL15" i="5"/>
  <c r="AL21" i="6"/>
  <c r="AL23" i="5"/>
  <c r="AI89" i="4"/>
  <c r="AI91" i="3"/>
  <c r="AQ91" i="3" s="1"/>
  <c r="AI5" i="4"/>
  <c r="AI7" i="3"/>
  <c r="AQ7" i="3" s="1"/>
  <c r="AI45" i="4"/>
  <c r="AI47" i="3"/>
  <c r="AQ47" i="3" s="1"/>
  <c r="AK46" i="4"/>
  <c r="AK47" i="3"/>
  <c r="AL97" i="5"/>
  <c r="AL99" i="4"/>
  <c r="AI83" i="3"/>
  <c r="AQ83" i="3" s="1"/>
  <c r="AI81" i="4"/>
  <c r="AJ121" i="5"/>
  <c r="AJ123" i="4"/>
  <c r="AR123" i="4" s="1"/>
  <c r="AJ35" i="4"/>
  <c r="AR35" i="4" s="1"/>
  <c r="AJ33" i="5"/>
  <c r="AK87" i="3"/>
  <c r="AK85" i="4"/>
  <c r="AJ55" i="3"/>
  <c r="AR55" i="3" s="1"/>
  <c r="AJ53" i="4"/>
  <c r="AK61" i="4"/>
  <c r="AK63" i="3"/>
  <c r="AJ97" i="5"/>
  <c r="AJ99" i="4"/>
  <c r="AR99" i="4" s="1"/>
  <c r="AK59" i="4"/>
  <c r="AK57" i="5"/>
  <c r="AJ31" i="5"/>
  <c r="AR31" i="5" s="1"/>
  <c r="AJ29" i="6"/>
  <c r="AK49" i="5"/>
  <c r="AK51" i="4"/>
  <c r="AI103" i="5"/>
  <c r="AQ103" i="5" s="1"/>
  <c r="AS103" i="5" s="1"/>
  <c r="AI101" i="6"/>
  <c r="AP23" i="11"/>
  <c r="AP55" i="11"/>
  <c r="AL105" i="5"/>
  <c r="AL107" i="4"/>
  <c r="AL77" i="5"/>
  <c r="AL79" i="4"/>
  <c r="AI105" i="4"/>
  <c r="AI107" i="3"/>
  <c r="AQ107" i="3" s="1"/>
  <c r="AJ83" i="5"/>
  <c r="AR83" i="5" s="1"/>
  <c r="AJ81" i="6"/>
  <c r="AL49" i="6"/>
  <c r="AL51" i="5"/>
  <c r="AJ71" i="3"/>
  <c r="AR71" i="3" s="1"/>
  <c r="AJ69" i="4"/>
  <c r="AI117" i="5"/>
  <c r="AI119" i="4"/>
  <c r="AQ119" i="4" s="1"/>
  <c r="AI35" i="5"/>
  <c r="AQ35" i="5" s="1"/>
  <c r="AS35" i="5" s="1"/>
  <c r="AI33" i="6"/>
  <c r="AI95" i="5"/>
  <c r="AQ95" i="5" s="1"/>
  <c r="AS95" i="5" s="1"/>
  <c r="AI93" i="6"/>
  <c r="AJ111" i="3"/>
  <c r="AR111" i="3" s="1"/>
  <c r="AJ109" i="4"/>
  <c r="AJ41" i="5"/>
  <c r="AJ43" i="4"/>
  <c r="AR43" i="4" s="1"/>
  <c r="AL75" i="5"/>
  <c r="AL73" i="6"/>
  <c r="AK99" i="4"/>
  <c r="AK97" i="5"/>
  <c r="AK21" i="5"/>
  <c r="AK23" i="4"/>
  <c r="AJ117" i="4"/>
  <c r="AJ119" i="3"/>
  <c r="AR119" i="3" s="1"/>
  <c r="AK13" i="5"/>
  <c r="AK15" i="4"/>
  <c r="AK67" i="4"/>
  <c r="AK65" i="5"/>
  <c r="AK45" i="6"/>
  <c r="AJ101" i="6"/>
  <c r="AJ103" i="5"/>
  <c r="AR103" i="5" s="1"/>
  <c r="AI69" i="5"/>
  <c r="AI71" i="4"/>
  <c r="AQ71" i="4" s="1"/>
  <c r="AI99" i="3"/>
  <c r="AQ99" i="3" s="1"/>
  <c r="AI97" i="4"/>
  <c r="AL43" i="4"/>
  <c r="AL41" i="5"/>
  <c r="AK113" i="6"/>
  <c r="AK115" i="5"/>
  <c r="AJ49" i="4"/>
  <c r="AJ51" i="3"/>
  <c r="AR51" i="3" s="1"/>
  <c r="AK89" i="5"/>
  <c r="AK91" i="4"/>
  <c r="AI121" i="6"/>
  <c r="AI123" i="5"/>
  <c r="AQ123" i="5" s="1"/>
  <c r="AS123" i="5" s="1"/>
  <c r="AJ7" i="5"/>
  <c r="AR7" i="5" s="1"/>
  <c r="AJ5" i="6"/>
  <c r="AJ85" i="5"/>
  <c r="AJ87" i="4"/>
  <c r="AR87" i="4" s="1"/>
  <c r="AL113" i="4"/>
  <c r="AL115" i="3"/>
  <c r="AK27" i="3"/>
  <c r="AK25" i="4"/>
  <c r="AK11" i="3"/>
  <c r="AK9" i="4"/>
  <c r="AJ45" i="5"/>
  <c r="AJ47" i="4"/>
  <c r="AR47" i="4" s="1"/>
  <c r="AL81" i="5"/>
  <c r="AL83" i="4"/>
  <c r="AJ25" i="5"/>
  <c r="AJ27" i="4"/>
  <c r="AR27" i="4" s="1"/>
  <c r="AL93" i="5"/>
  <c r="AL95" i="4"/>
  <c r="AJ15" i="5"/>
  <c r="AR15" i="5" s="1"/>
  <c r="AJ13" i="6"/>
  <c r="AR15" i="10"/>
  <c r="AP15" i="11"/>
  <c r="AP31" i="11"/>
  <c r="AP47" i="11"/>
  <c r="AK123" i="5"/>
  <c r="AK121" i="6"/>
  <c r="AL17" i="6" l="1"/>
  <c r="AL19" i="5"/>
  <c r="AK29" i="6"/>
  <c r="AK31" i="5"/>
  <c r="AJ93" i="6"/>
  <c r="AJ95" i="5"/>
  <c r="AR95" i="5" s="1"/>
  <c r="AJ21" i="8"/>
  <c r="AJ23" i="7"/>
  <c r="AR23" i="7" s="1"/>
  <c r="AL91" i="6"/>
  <c r="AL89" i="7"/>
  <c r="AK109" i="6"/>
  <c r="AK111" i="5"/>
  <c r="AI19" i="6"/>
  <c r="AQ19" i="6" s="1"/>
  <c r="AI17" i="7"/>
  <c r="AP11" i="12"/>
  <c r="AL25" i="6"/>
  <c r="AL27" i="5"/>
  <c r="AP15" i="12"/>
  <c r="AR15" i="12" s="1"/>
  <c r="AR15" i="11"/>
  <c r="AJ7" i="6"/>
  <c r="AR7" i="6" s="1"/>
  <c r="AJ5" i="7"/>
  <c r="AK65" i="6"/>
  <c r="AK67" i="5"/>
  <c r="AK97" i="6"/>
  <c r="AK99" i="5"/>
  <c r="AK85" i="5"/>
  <c r="AK87" i="4"/>
  <c r="AK46" i="5"/>
  <c r="AK47" i="4"/>
  <c r="AL21" i="7"/>
  <c r="AL23" i="6"/>
  <c r="AL93" i="6"/>
  <c r="AL95" i="5"/>
  <c r="AL113" i="5"/>
  <c r="AL115" i="4"/>
  <c r="AK91" i="5"/>
  <c r="AK89" i="6"/>
  <c r="AJ101" i="7"/>
  <c r="AJ103" i="6"/>
  <c r="AR103" i="6" s="1"/>
  <c r="AJ41" i="6"/>
  <c r="AJ43" i="5"/>
  <c r="AR43" i="5" s="1"/>
  <c r="AI117" i="6"/>
  <c r="AI119" i="5"/>
  <c r="AQ119" i="5" s="1"/>
  <c r="AS119" i="5" s="1"/>
  <c r="AL49" i="7"/>
  <c r="AL51" i="6"/>
  <c r="AI107" i="4"/>
  <c r="AQ107" i="4" s="1"/>
  <c r="AI105" i="5"/>
  <c r="AP23" i="12"/>
  <c r="AK61" i="5"/>
  <c r="AK63" i="4"/>
  <c r="AL57" i="6"/>
  <c r="AL59" i="5"/>
  <c r="AP51" i="12"/>
  <c r="AP19" i="12"/>
  <c r="AJ77" i="5"/>
  <c r="AJ79" i="4"/>
  <c r="AR79" i="4" s="1"/>
  <c r="AI51" i="5"/>
  <c r="AQ51" i="5" s="1"/>
  <c r="AS51" i="5" s="1"/>
  <c r="AI49" i="6"/>
  <c r="AP39" i="12"/>
  <c r="AL55" i="5"/>
  <c r="AL53" i="6"/>
  <c r="AI29" i="5"/>
  <c r="AI31" i="4"/>
  <c r="AQ31" i="4" s="1"/>
  <c r="AL85" i="6"/>
  <c r="AL87" i="5"/>
  <c r="AI13" i="5"/>
  <c r="AI15" i="4"/>
  <c r="AQ15" i="4" s="1"/>
  <c r="AJ57" i="7"/>
  <c r="AJ59" i="6"/>
  <c r="AR59" i="6" s="1"/>
  <c r="AL121" i="5"/>
  <c r="AL123" i="4"/>
  <c r="AK69" i="5"/>
  <c r="AK71" i="4"/>
  <c r="AK17" i="5"/>
  <c r="AK19" i="4"/>
  <c r="AI109" i="7"/>
  <c r="AI111" i="6"/>
  <c r="AQ111" i="6" s="1"/>
  <c r="AI25" i="7"/>
  <c r="AI27" i="6"/>
  <c r="AQ27" i="6" s="1"/>
  <c r="AK121" i="7"/>
  <c r="AK123" i="6"/>
  <c r="AJ13" i="7"/>
  <c r="AJ15" i="6"/>
  <c r="AR15" i="6" s="1"/>
  <c r="AK25" i="5"/>
  <c r="AK27" i="4"/>
  <c r="AL41" i="6"/>
  <c r="AL43" i="5"/>
  <c r="AL75" i="6"/>
  <c r="AL73" i="7"/>
  <c r="AJ111" i="4"/>
  <c r="AR111" i="4" s="1"/>
  <c r="AJ109" i="5"/>
  <c r="AI35" i="6"/>
  <c r="AQ35" i="6" s="1"/>
  <c r="AI33" i="7"/>
  <c r="AJ69" i="5"/>
  <c r="AJ71" i="4"/>
  <c r="AR71" i="4" s="1"/>
  <c r="AJ83" i="6"/>
  <c r="AR83" i="6" s="1"/>
  <c r="AJ81" i="7"/>
  <c r="AI103" i="6"/>
  <c r="AQ103" i="6" s="1"/>
  <c r="AI101" i="7"/>
  <c r="AJ31" i="6"/>
  <c r="AR31" i="6" s="1"/>
  <c r="AJ29" i="7"/>
  <c r="AJ55" i="4"/>
  <c r="AR55" i="4" s="1"/>
  <c r="AJ53" i="5"/>
  <c r="AJ33" i="6"/>
  <c r="AJ35" i="5"/>
  <c r="AR35" i="5" s="1"/>
  <c r="AJ121" i="6"/>
  <c r="AJ123" i="5"/>
  <c r="AR123" i="5" s="1"/>
  <c r="AL99" i="5"/>
  <c r="AL97" i="6"/>
  <c r="AI45" i="5"/>
  <c r="AI47" i="4"/>
  <c r="AQ47" i="4" s="1"/>
  <c r="AI91" i="4"/>
  <c r="AQ91" i="4" s="1"/>
  <c r="AI89" i="5"/>
  <c r="AL15" i="6"/>
  <c r="AL13" i="7"/>
  <c r="AP43" i="12"/>
  <c r="AK93" i="5"/>
  <c r="AK95" i="4"/>
  <c r="AI65" i="6"/>
  <c r="AI67" i="5"/>
  <c r="AQ67" i="5" s="1"/>
  <c r="AS67" i="5" s="1"/>
  <c r="AJ61" i="6"/>
  <c r="AJ63" i="5"/>
  <c r="AR63" i="5" s="1"/>
  <c r="AL5" i="7"/>
  <c r="AL7" i="6"/>
  <c r="AI79" i="6"/>
  <c r="AQ79" i="6" s="1"/>
  <c r="AI77" i="7"/>
  <c r="AJ75" i="8"/>
  <c r="AR75" i="8" s="1"/>
  <c r="AJ73" i="9"/>
  <c r="AP7" i="12"/>
  <c r="AJ67" i="6"/>
  <c r="AR67" i="6" s="1"/>
  <c r="AJ65" i="7"/>
  <c r="AK43" i="4"/>
  <c r="AK41" i="5"/>
  <c r="AP27" i="12"/>
  <c r="AK75" i="5"/>
  <c r="AK73" i="6"/>
  <c r="AL67" i="7"/>
  <c r="AL65" i="8"/>
  <c r="AJ89" i="9"/>
  <c r="AJ91" i="8"/>
  <c r="AI61" i="8"/>
  <c r="AI63" i="7"/>
  <c r="AQ63" i="7" s="1"/>
  <c r="AI115" i="5"/>
  <c r="AQ115" i="5" s="1"/>
  <c r="AS115" i="5" s="1"/>
  <c r="AI113" i="6"/>
  <c r="AK9" i="5"/>
  <c r="AK11" i="4"/>
  <c r="AI97" i="5"/>
  <c r="AI99" i="4"/>
  <c r="AQ99" i="4" s="1"/>
  <c r="AI95" i="6"/>
  <c r="AQ95" i="6" s="1"/>
  <c r="AI93" i="7"/>
  <c r="AK59" i="5"/>
  <c r="AK57" i="6"/>
  <c r="AI5" i="5"/>
  <c r="AI7" i="4"/>
  <c r="AQ7" i="4" s="1"/>
  <c r="AL47" i="4"/>
  <c r="AL45" i="5"/>
  <c r="AP47" i="12"/>
  <c r="AL83" i="5"/>
  <c r="AL81" i="6"/>
  <c r="AK113" i="7"/>
  <c r="AK115" i="6"/>
  <c r="AJ119" i="4"/>
  <c r="AR119" i="4" s="1"/>
  <c r="AJ117" i="5"/>
  <c r="AL107" i="5"/>
  <c r="AL105" i="6"/>
  <c r="AK49" i="6"/>
  <c r="AK51" i="5"/>
  <c r="AJ17" i="6"/>
  <c r="AJ19" i="5"/>
  <c r="AR19" i="5" s="1"/>
  <c r="AK105" i="7"/>
  <c r="AK107" i="6"/>
  <c r="AI75" i="4"/>
  <c r="AQ75" i="4" s="1"/>
  <c r="AI73" i="5"/>
  <c r="AL69" i="6"/>
  <c r="AL71" i="5"/>
  <c r="AL101" i="8"/>
  <c r="AL103" i="7"/>
  <c r="AL33" i="6"/>
  <c r="AL35" i="5"/>
  <c r="AI9" i="7"/>
  <c r="AI11" i="6"/>
  <c r="AQ11" i="6" s="1"/>
  <c r="AL29" i="7"/>
  <c r="AL31" i="6"/>
  <c r="AI37" i="5"/>
  <c r="AI39" i="4"/>
  <c r="AQ39" i="4" s="1"/>
  <c r="AP31" i="12"/>
  <c r="AJ25" i="6"/>
  <c r="AJ27" i="5"/>
  <c r="AR27" i="5" s="1"/>
  <c r="AJ45" i="6"/>
  <c r="AJ47" i="5"/>
  <c r="AR47" i="5" s="1"/>
  <c r="AJ85" i="6"/>
  <c r="AJ87" i="5"/>
  <c r="AR87" i="5" s="1"/>
  <c r="AI121" i="7"/>
  <c r="AI123" i="6"/>
  <c r="AQ123" i="6" s="1"/>
  <c r="AJ51" i="4"/>
  <c r="AR51" i="4" s="1"/>
  <c r="AJ49" i="5"/>
  <c r="AI71" i="5"/>
  <c r="AQ71" i="5" s="1"/>
  <c r="AS71" i="5" s="1"/>
  <c r="AI69" i="6"/>
  <c r="AK45" i="7"/>
  <c r="AK13" i="6"/>
  <c r="AK15" i="5"/>
  <c r="AK21" i="6"/>
  <c r="AK23" i="5"/>
  <c r="AL77" i="6"/>
  <c r="AL79" i="5"/>
  <c r="AP55" i="12"/>
  <c r="AJ99" i="5"/>
  <c r="AR99" i="5" s="1"/>
  <c r="AJ97" i="6"/>
  <c r="AI81" i="5"/>
  <c r="AI83" i="4"/>
  <c r="AQ83" i="4" s="1"/>
  <c r="AK81" i="6"/>
  <c r="AK83" i="5"/>
  <c r="AL109" i="7"/>
  <c r="AL111" i="6"/>
  <c r="AJ39" i="6"/>
  <c r="AR39" i="6" s="1"/>
  <c r="AJ37" i="7"/>
  <c r="AL9" i="6"/>
  <c r="AL11" i="5"/>
  <c r="AK37" i="6"/>
  <c r="AK39" i="5"/>
  <c r="AP35" i="12"/>
  <c r="AL61" i="6"/>
  <c r="AL63" i="5"/>
  <c r="AI41" i="7"/>
  <c r="AI43" i="6"/>
  <c r="AQ43" i="6" s="1"/>
  <c r="AK77" i="5"/>
  <c r="AK79" i="4"/>
  <c r="AK5" i="6"/>
  <c r="AK7" i="5"/>
  <c r="AL117" i="5"/>
  <c r="AL119" i="4"/>
  <c r="AJ113" i="6"/>
  <c r="AJ115" i="5"/>
  <c r="AR115" i="5" s="1"/>
  <c r="AK117" i="5"/>
  <c r="AK119" i="4"/>
  <c r="AI57" i="5"/>
  <c r="AI59" i="4"/>
  <c r="AQ59" i="4" s="1"/>
  <c r="AL39" i="5"/>
  <c r="AL37" i="6"/>
  <c r="AJ9" i="6"/>
  <c r="AJ11" i="5"/>
  <c r="AR11" i="5" s="1"/>
  <c r="AK103" i="5"/>
  <c r="AK101" i="6"/>
  <c r="AI53" i="6"/>
  <c r="AI55" i="5"/>
  <c r="AQ55" i="5" s="1"/>
  <c r="AS55" i="5" s="1"/>
  <c r="AI85" i="9"/>
  <c r="AI87" i="8"/>
  <c r="AQ87" i="8" s="1"/>
  <c r="AI21" i="5"/>
  <c r="AI23" i="4"/>
  <c r="AQ23" i="4" s="1"/>
  <c r="AK33" i="5"/>
  <c r="AK35" i="4"/>
  <c r="AJ105" i="6"/>
  <c r="AJ107" i="5"/>
  <c r="AR107" i="5" s="1"/>
  <c r="AK55" i="4"/>
  <c r="AK53" i="5"/>
  <c r="AL37" i="7" l="1"/>
  <c r="AL39" i="6"/>
  <c r="AJ99" i="6"/>
  <c r="AR99" i="6" s="1"/>
  <c r="AJ97" i="7"/>
  <c r="AL83" i="6"/>
  <c r="AL81" i="7"/>
  <c r="AI113" i="7"/>
  <c r="AI115" i="6"/>
  <c r="AQ115" i="6" s="1"/>
  <c r="AK73" i="7"/>
  <c r="AK75" i="6"/>
  <c r="AK43" i="5"/>
  <c r="AK41" i="6"/>
  <c r="AI79" i="7"/>
  <c r="AQ79" i="7" s="1"/>
  <c r="AI77" i="8"/>
  <c r="AL13" i="8"/>
  <c r="AL15" i="7"/>
  <c r="AJ55" i="5"/>
  <c r="AR55" i="5" s="1"/>
  <c r="AJ53" i="6"/>
  <c r="AI103" i="7"/>
  <c r="AQ103" i="7" s="1"/>
  <c r="AI101" i="8"/>
  <c r="AJ111" i="5"/>
  <c r="AR111" i="5" s="1"/>
  <c r="AJ109" i="6"/>
  <c r="AI105" i="6"/>
  <c r="AI107" i="5"/>
  <c r="AQ107" i="5" s="1"/>
  <c r="AS107" i="5" s="1"/>
  <c r="AJ119" i="5"/>
  <c r="AR119" i="5" s="1"/>
  <c r="AJ117" i="6"/>
  <c r="AK59" i="6"/>
  <c r="AK57" i="7"/>
  <c r="AI85" i="10"/>
  <c r="AI87" i="9"/>
  <c r="AQ87" i="9" s="1"/>
  <c r="AL117" i="6"/>
  <c r="AL119" i="5"/>
  <c r="AL61" i="7"/>
  <c r="AL63" i="6"/>
  <c r="AK81" i="7"/>
  <c r="AK83" i="6"/>
  <c r="AL77" i="7"/>
  <c r="AL79" i="6"/>
  <c r="AI123" i="7"/>
  <c r="AQ123" i="7" s="1"/>
  <c r="AI121" i="8"/>
  <c r="AL29" i="8"/>
  <c r="AL31" i="7"/>
  <c r="AL69" i="7"/>
  <c r="AL71" i="6"/>
  <c r="AK105" i="8"/>
  <c r="AK107" i="7"/>
  <c r="AI97" i="6"/>
  <c r="AI99" i="5"/>
  <c r="AQ99" i="5" s="1"/>
  <c r="AS99" i="5" s="1"/>
  <c r="AL41" i="7"/>
  <c r="AL43" i="6"/>
  <c r="AI27" i="7"/>
  <c r="AQ27" i="7" s="1"/>
  <c r="AI25" i="8"/>
  <c r="AK19" i="5"/>
  <c r="AK17" i="6"/>
  <c r="AL121" i="6"/>
  <c r="AL123" i="5"/>
  <c r="AI13" i="6"/>
  <c r="AI15" i="5"/>
  <c r="AQ15" i="5" s="1"/>
  <c r="AS15" i="5" s="1"/>
  <c r="AI29" i="6"/>
  <c r="AI31" i="5"/>
  <c r="AQ31" i="5" s="1"/>
  <c r="AS31" i="5" s="1"/>
  <c r="AJ77" i="6"/>
  <c r="AJ79" i="5"/>
  <c r="AR79" i="5" s="1"/>
  <c r="AK61" i="6"/>
  <c r="AK63" i="5"/>
  <c r="AI117" i="7"/>
  <c r="AI119" i="6"/>
  <c r="AQ119" i="6" s="1"/>
  <c r="AJ101" i="8"/>
  <c r="AJ103" i="7"/>
  <c r="AR103" i="7" s="1"/>
  <c r="AL113" i="6"/>
  <c r="AL115" i="5"/>
  <c r="AL21" i="8"/>
  <c r="AL23" i="7"/>
  <c r="AK87" i="5"/>
  <c r="AK85" i="6"/>
  <c r="AK65" i="7"/>
  <c r="AK67" i="6"/>
  <c r="AK109" i="7"/>
  <c r="AK111" i="6"/>
  <c r="AJ23" i="8"/>
  <c r="AR23" i="8" s="1"/>
  <c r="AJ21" i="9"/>
  <c r="AK29" i="7"/>
  <c r="AK31" i="6"/>
  <c r="AJ49" i="6"/>
  <c r="AJ51" i="5"/>
  <c r="AR51" i="5" s="1"/>
  <c r="AI73" i="6"/>
  <c r="AI75" i="5"/>
  <c r="AQ75" i="5" s="1"/>
  <c r="AS75" i="5" s="1"/>
  <c r="AL107" i="6"/>
  <c r="AL105" i="7"/>
  <c r="AI95" i="7"/>
  <c r="AQ95" i="7" s="1"/>
  <c r="AI93" i="8"/>
  <c r="AL65" i="9"/>
  <c r="AL67" i="8"/>
  <c r="AJ67" i="7"/>
  <c r="AR67" i="7" s="1"/>
  <c r="AJ65" i="8"/>
  <c r="AJ73" i="10"/>
  <c r="AJ75" i="9"/>
  <c r="AR75" i="9" s="1"/>
  <c r="AI89" i="6"/>
  <c r="AI91" i="5"/>
  <c r="AQ91" i="5" s="1"/>
  <c r="AS91" i="5" s="1"/>
  <c r="AL99" i="6"/>
  <c r="AL97" i="7"/>
  <c r="AJ29" i="8"/>
  <c r="AJ31" i="7"/>
  <c r="AR31" i="7" s="1"/>
  <c r="AJ83" i="7"/>
  <c r="AR83" i="7" s="1"/>
  <c r="AJ81" i="8"/>
  <c r="AI35" i="7"/>
  <c r="AQ35" i="7" s="1"/>
  <c r="AI33" i="8"/>
  <c r="AL75" i="7"/>
  <c r="AL73" i="8"/>
  <c r="AL53" i="7"/>
  <c r="AL55" i="6"/>
  <c r="AI51" i="6"/>
  <c r="AQ51" i="6" s="1"/>
  <c r="AI49" i="7"/>
  <c r="AK89" i="7"/>
  <c r="AK91" i="6"/>
  <c r="AJ5" i="8"/>
  <c r="AJ7" i="7"/>
  <c r="AR7" i="7" s="1"/>
  <c r="AI17" i="8"/>
  <c r="AI19" i="7"/>
  <c r="AQ19" i="7" s="1"/>
  <c r="AL91" i="7"/>
  <c r="AL89" i="8"/>
  <c r="AK53" i="6"/>
  <c r="AK55" i="5"/>
  <c r="AK103" i="6"/>
  <c r="AK101" i="7"/>
  <c r="AJ39" i="7"/>
  <c r="AR39" i="7" s="1"/>
  <c r="AJ37" i="8"/>
  <c r="AI71" i="6"/>
  <c r="AQ71" i="6" s="1"/>
  <c r="AI69" i="7"/>
  <c r="AL47" i="5"/>
  <c r="AL45" i="6"/>
  <c r="AK33" i="6"/>
  <c r="AK35" i="5"/>
  <c r="AK117" i="6"/>
  <c r="AK119" i="5"/>
  <c r="AK79" i="5"/>
  <c r="AK77" i="6"/>
  <c r="AK37" i="7"/>
  <c r="AK39" i="6"/>
  <c r="AK13" i="7"/>
  <c r="AK15" i="6"/>
  <c r="AJ47" i="6"/>
  <c r="AR47" i="6" s="1"/>
  <c r="AJ45" i="7"/>
  <c r="AL33" i="7"/>
  <c r="AL35" i="6"/>
  <c r="AK51" i="6"/>
  <c r="AK49" i="7"/>
  <c r="AJ89" i="10"/>
  <c r="AJ91" i="9"/>
  <c r="AJ61" i="7"/>
  <c r="AJ63" i="6"/>
  <c r="AR63" i="6" s="1"/>
  <c r="AK95" i="5"/>
  <c r="AK93" i="6"/>
  <c r="AI45" i="6"/>
  <c r="AI47" i="5"/>
  <c r="AQ47" i="5" s="1"/>
  <c r="AS47" i="5" s="1"/>
  <c r="AJ121" i="7"/>
  <c r="AJ123" i="6"/>
  <c r="AR123" i="6" s="1"/>
  <c r="AJ69" i="6"/>
  <c r="AJ71" i="5"/>
  <c r="AR71" i="5" s="1"/>
  <c r="AJ13" i="8"/>
  <c r="AJ15" i="7"/>
  <c r="AR15" i="7" s="1"/>
  <c r="AJ105" i="7"/>
  <c r="AJ107" i="6"/>
  <c r="AR107" i="6" s="1"/>
  <c r="AI21" i="6"/>
  <c r="AI23" i="5"/>
  <c r="AQ23" i="5" s="1"/>
  <c r="AS23" i="5" s="1"/>
  <c r="AI53" i="7"/>
  <c r="AI55" i="6"/>
  <c r="AQ55" i="6" s="1"/>
  <c r="AJ9" i="7"/>
  <c r="AJ11" i="6"/>
  <c r="AR11" i="6" s="1"/>
  <c r="AI57" i="6"/>
  <c r="AI59" i="5"/>
  <c r="AQ59" i="5" s="1"/>
  <c r="AS59" i="5" s="1"/>
  <c r="AJ113" i="7"/>
  <c r="AJ115" i="6"/>
  <c r="AR115" i="6" s="1"/>
  <c r="AK5" i="7"/>
  <c r="AK7" i="6"/>
  <c r="AI43" i="7"/>
  <c r="AQ43" i="7" s="1"/>
  <c r="AI41" i="8"/>
  <c r="AL9" i="7"/>
  <c r="AL11" i="6"/>
  <c r="AL111" i="7"/>
  <c r="AL109" i="8"/>
  <c r="AI81" i="6"/>
  <c r="AI83" i="5"/>
  <c r="AQ83" i="5" s="1"/>
  <c r="AS83" i="5" s="1"/>
  <c r="AK21" i="7"/>
  <c r="AK23" i="6"/>
  <c r="AK45" i="8"/>
  <c r="AJ85" i="7"/>
  <c r="AJ87" i="6"/>
  <c r="AR87" i="6" s="1"/>
  <c r="AJ25" i="7"/>
  <c r="AJ27" i="6"/>
  <c r="AR27" i="6" s="1"/>
  <c r="AI37" i="6"/>
  <c r="AI39" i="5"/>
  <c r="AQ39" i="5" s="1"/>
  <c r="AS39" i="5" s="1"/>
  <c r="AI11" i="7"/>
  <c r="AQ11" i="7" s="1"/>
  <c r="AI9" i="8"/>
  <c r="AL101" i="9"/>
  <c r="AL103" i="8"/>
  <c r="AJ17" i="7"/>
  <c r="AJ19" i="6"/>
  <c r="AR19" i="6" s="1"/>
  <c r="AK113" i="8"/>
  <c r="AK115" i="7"/>
  <c r="AI5" i="6"/>
  <c r="AI7" i="5"/>
  <c r="AQ7" i="5" s="1"/>
  <c r="AS7" i="5" s="1"/>
  <c r="AK11" i="5"/>
  <c r="AK9" i="6"/>
  <c r="AI61" i="9"/>
  <c r="AI63" i="8"/>
  <c r="AQ63" i="8" s="1"/>
  <c r="AL5" i="8"/>
  <c r="AL7" i="7"/>
  <c r="AI65" i="7"/>
  <c r="AI67" i="6"/>
  <c r="AQ67" i="6" s="1"/>
  <c r="AJ33" i="7"/>
  <c r="AJ35" i="6"/>
  <c r="AR35" i="6" s="1"/>
  <c r="AK27" i="5"/>
  <c r="AK25" i="6"/>
  <c r="AK121" i="8"/>
  <c r="AK123" i="7"/>
  <c r="AI109" i="8"/>
  <c r="AI111" i="7"/>
  <c r="AQ111" i="7" s="1"/>
  <c r="AK69" i="6"/>
  <c r="AK71" i="5"/>
  <c r="AJ57" i="8"/>
  <c r="AJ59" i="7"/>
  <c r="AR59" i="7" s="1"/>
  <c r="AL85" i="7"/>
  <c r="AL87" i="6"/>
  <c r="AL57" i="7"/>
  <c r="AL59" i="6"/>
  <c r="AL49" i="8"/>
  <c r="AL51" i="7"/>
  <c r="AJ41" i="7"/>
  <c r="AJ43" i="6"/>
  <c r="AR43" i="6" s="1"/>
  <c r="AL93" i="7"/>
  <c r="AL95" i="6"/>
  <c r="AK46" i="6"/>
  <c r="AK47" i="5"/>
  <c r="AK97" i="7"/>
  <c r="AK99" i="6"/>
  <c r="AL25" i="7"/>
  <c r="AL27" i="6"/>
  <c r="AJ93" i="7"/>
  <c r="AJ95" i="6"/>
  <c r="AR95" i="6" s="1"/>
  <c r="AL17" i="7"/>
  <c r="AL19" i="6"/>
  <c r="AL107" i="7" l="1"/>
  <c r="AL105" i="8"/>
  <c r="AJ23" i="9"/>
  <c r="AR23" i="9" s="1"/>
  <c r="AJ21" i="10"/>
  <c r="AL115" i="6"/>
  <c r="AL113" i="7"/>
  <c r="AI117" i="8"/>
  <c r="AI119" i="7"/>
  <c r="AQ119" i="7" s="1"/>
  <c r="AI29" i="7"/>
  <c r="AI31" i="6"/>
  <c r="AQ31" i="6" s="1"/>
  <c r="AL121" i="7"/>
  <c r="AL123" i="6"/>
  <c r="AI121" i="9"/>
  <c r="AI123" i="8"/>
  <c r="AQ123" i="8" s="1"/>
  <c r="AK59" i="7"/>
  <c r="AK57" i="8"/>
  <c r="AI101" i="9"/>
  <c r="AI103" i="8"/>
  <c r="AQ103" i="8" s="1"/>
  <c r="AK43" i="6"/>
  <c r="AK41" i="7"/>
  <c r="AJ99" i="7"/>
  <c r="AR99" i="7" s="1"/>
  <c r="AJ97" i="8"/>
  <c r="AL57" i="8"/>
  <c r="AL59" i="7"/>
  <c r="AL5" i="9"/>
  <c r="AL7" i="8"/>
  <c r="AJ17" i="8"/>
  <c r="AJ19" i="7"/>
  <c r="AR19" i="7" s="1"/>
  <c r="AJ9" i="8"/>
  <c r="AJ11" i="7"/>
  <c r="AR11" i="7" s="1"/>
  <c r="AJ13" i="9"/>
  <c r="AJ15" i="8"/>
  <c r="AJ89" i="11"/>
  <c r="AJ91" i="10"/>
  <c r="AI69" i="8"/>
  <c r="AI71" i="7"/>
  <c r="AQ71" i="7" s="1"/>
  <c r="AL91" i="8"/>
  <c r="AL89" i="9"/>
  <c r="AJ83" i="8"/>
  <c r="AJ81" i="9"/>
  <c r="AJ93" i="8"/>
  <c r="AJ95" i="7"/>
  <c r="AR95" i="7" s="1"/>
  <c r="AL93" i="8"/>
  <c r="AL95" i="7"/>
  <c r="AI109" i="9"/>
  <c r="AI111" i="8"/>
  <c r="AQ111" i="8" s="1"/>
  <c r="AI81" i="7"/>
  <c r="AI83" i="6"/>
  <c r="AQ83" i="6" s="1"/>
  <c r="AK51" i="7"/>
  <c r="AK49" i="8"/>
  <c r="AK35" i="6"/>
  <c r="AK33" i="7"/>
  <c r="AL65" i="10"/>
  <c r="AL67" i="9"/>
  <c r="AK19" i="6"/>
  <c r="AK17" i="7"/>
  <c r="AL69" i="8"/>
  <c r="AL71" i="7"/>
  <c r="AI113" i="8"/>
  <c r="AI115" i="7"/>
  <c r="AQ115" i="7" s="1"/>
  <c r="AI65" i="8"/>
  <c r="AI67" i="7"/>
  <c r="AQ67" i="7" s="1"/>
  <c r="AK113" i="9"/>
  <c r="AK115" i="8"/>
  <c r="AL101" i="10"/>
  <c r="AL103" i="9"/>
  <c r="AI37" i="7"/>
  <c r="AI39" i="6"/>
  <c r="AQ39" i="6" s="1"/>
  <c r="AJ85" i="8"/>
  <c r="AJ87" i="7"/>
  <c r="AR87" i="7" s="1"/>
  <c r="AK23" i="7"/>
  <c r="AK21" i="8"/>
  <c r="AL109" i="9"/>
  <c r="AL111" i="8"/>
  <c r="AK7" i="7"/>
  <c r="AK5" i="8"/>
  <c r="AI57" i="7"/>
  <c r="AI59" i="6"/>
  <c r="AQ59" i="6" s="1"/>
  <c r="AI53" i="8"/>
  <c r="AI55" i="7"/>
  <c r="AQ55" i="7" s="1"/>
  <c r="AJ105" i="8"/>
  <c r="AJ107" i="7"/>
  <c r="AR107" i="7" s="1"/>
  <c r="AJ69" i="7"/>
  <c r="AJ71" i="6"/>
  <c r="AR71" i="6" s="1"/>
  <c r="AI45" i="7"/>
  <c r="AI47" i="6"/>
  <c r="AQ47" i="6" s="1"/>
  <c r="AJ61" i="8"/>
  <c r="AJ63" i="7"/>
  <c r="AR63" i="7" s="1"/>
  <c r="AJ45" i="8"/>
  <c r="AJ47" i="7"/>
  <c r="AR47" i="7" s="1"/>
  <c r="AL45" i="7"/>
  <c r="AL47" i="6"/>
  <c r="AJ37" i="9"/>
  <c r="AJ39" i="8"/>
  <c r="AR39" i="8" s="1"/>
  <c r="AI33" i="9"/>
  <c r="AI35" i="8"/>
  <c r="AQ35" i="8" s="1"/>
  <c r="AJ67" i="8"/>
  <c r="AR67" i="8" s="1"/>
  <c r="AJ65" i="9"/>
  <c r="AI95" i="8"/>
  <c r="AQ95" i="8" s="1"/>
  <c r="AI93" i="9"/>
  <c r="AK65" i="8"/>
  <c r="AK67" i="7"/>
  <c r="AL21" i="9"/>
  <c r="AL23" i="8"/>
  <c r="AJ103" i="8"/>
  <c r="AJ101" i="9"/>
  <c r="AK61" i="7"/>
  <c r="AK63" i="6"/>
  <c r="AI13" i="7"/>
  <c r="AI15" i="6"/>
  <c r="AQ15" i="6" s="1"/>
  <c r="AL41" i="8"/>
  <c r="AL43" i="7"/>
  <c r="AJ119" i="6"/>
  <c r="AR119" i="6" s="1"/>
  <c r="AJ117" i="7"/>
  <c r="AJ111" i="6"/>
  <c r="AR111" i="6" s="1"/>
  <c r="AJ109" i="7"/>
  <c r="AJ55" i="6"/>
  <c r="AR55" i="6" s="1"/>
  <c r="AJ53" i="7"/>
  <c r="AI77" i="9"/>
  <c r="AI79" i="8"/>
  <c r="AQ79" i="8" s="1"/>
  <c r="AL83" i="7"/>
  <c r="AL81" i="8"/>
  <c r="AK27" i="6"/>
  <c r="AK25" i="7"/>
  <c r="AK11" i="6"/>
  <c r="AK9" i="7"/>
  <c r="AJ25" i="8"/>
  <c r="AJ27" i="7"/>
  <c r="AR27" i="7" s="1"/>
  <c r="AJ113" i="8"/>
  <c r="AJ115" i="7"/>
  <c r="AR115" i="7" s="1"/>
  <c r="AI21" i="7"/>
  <c r="AI23" i="6"/>
  <c r="AQ23" i="6" s="1"/>
  <c r="AJ121" i="8"/>
  <c r="AJ123" i="7"/>
  <c r="AR123" i="7" s="1"/>
  <c r="AL33" i="8"/>
  <c r="AL35" i="7"/>
  <c r="AK77" i="7"/>
  <c r="AK79" i="6"/>
  <c r="AK103" i="7"/>
  <c r="AK101" i="8"/>
  <c r="AI51" i="7"/>
  <c r="AQ51" i="7" s="1"/>
  <c r="AI49" i="8"/>
  <c r="AL73" i="9"/>
  <c r="AL75" i="8"/>
  <c r="AL99" i="7"/>
  <c r="AL97" i="8"/>
  <c r="AK97" i="8"/>
  <c r="AK99" i="7"/>
  <c r="AL49" i="9"/>
  <c r="AL51" i="8"/>
  <c r="AJ57" i="9"/>
  <c r="AJ59" i="8"/>
  <c r="AR59" i="8" s="1"/>
  <c r="AL9" i="8"/>
  <c r="AL11" i="7"/>
  <c r="AK13" i="8"/>
  <c r="AK15" i="7"/>
  <c r="AJ7" i="8"/>
  <c r="AR7" i="8" s="1"/>
  <c r="AJ5" i="9"/>
  <c r="AJ73" i="11"/>
  <c r="AJ75" i="10"/>
  <c r="AR75" i="10" s="1"/>
  <c r="AJ49" i="7"/>
  <c r="AJ51" i="6"/>
  <c r="AR51" i="6" s="1"/>
  <c r="AJ77" i="7"/>
  <c r="AJ79" i="6"/>
  <c r="AR79" i="6" s="1"/>
  <c r="AI97" i="7"/>
  <c r="AI99" i="6"/>
  <c r="AQ99" i="6" s="1"/>
  <c r="AK81" i="8"/>
  <c r="AK83" i="7"/>
  <c r="AL117" i="7"/>
  <c r="AL119" i="6"/>
  <c r="AI105" i="7"/>
  <c r="AI107" i="6"/>
  <c r="AQ107" i="6" s="1"/>
  <c r="AL13" i="9"/>
  <c r="AL15" i="8"/>
  <c r="AL17" i="8"/>
  <c r="AL19" i="7"/>
  <c r="AL25" i="8"/>
  <c r="AL27" i="7"/>
  <c r="AK46" i="7"/>
  <c r="AK47" i="6"/>
  <c r="AJ41" i="8"/>
  <c r="AJ43" i="7"/>
  <c r="AR43" i="7" s="1"/>
  <c r="AL85" i="8"/>
  <c r="AL87" i="7"/>
  <c r="AK71" i="6"/>
  <c r="AK69" i="7"/>
  <c r="AK121" i="9"/>
  <c r="AK123" i="8"/>
  <c r="AJ33" i="8"/>
  <c r="AJ35" i="7"/>
  <c r="AR35" i="7" s="1"/>
  <c r="AI63" i="9"/>
  <c r="AQ63" i="9" s="1"/>
  <c r="AI61" i="10"/>
  <c r="AI5" i="7"/>
  <c r="AI7" i="6"/>
  <c r="AQ7" i="6" s="1"/>
  <c r="AI9" i="9"/>
  <c r="AI11" i="8"/>
  <c r="AQ11" i="8" s="1"/>
  <c r="AK45" i="9"/>
  <c r="AI41" i="9"/>
  <c r="AI43" i="8"/>
  <c r="AQ43" i="8" s="1"/>
  <c r="AK93" i="7"/>
  <c r="AK95" i="6"/>
  <c r="AK39" i="7"/>
  <c r="AK37" i="8"/>
  <c r="AK117" i="7"/>
  <c r="AK119" i="6"/>
  <c r="AK53" i="7"/>
  <c r="AK55" i="6"/>
  <c r="AI17" i="9"/>
  <c r="AI19" i="8"/>
  <c r="AQ19" i="8" s="1"/>
  <c r="AK89" i="8"/>
  <c r="AK91" i="7"/>
  <c r="AL53" i="8"/>
  <c r="AL55" i="7"/>
  <c r="AJ29" i="9"/>
  <c r="AJ31" i="8"/>
  <c r="AR31" i="8" s="1"/>
  <c r="AI89" i="7"/>
  <c r="AI91" i="6"/>
  <c r="AQ91" i="6" s="1"/>
  <c r="AI73" i="7"/>
  <c r="AI75" i="6"/>
  <c r="AQ75" i="6" s="1"/>
  <c r="AK31" i="7"/>
  <c r="AK29" i="8"/>
  <c r="AK109" i="8"/>
  <c r="AK111" i="7"/>
  <c r="AK87" i="6"/>
  <c r="AK85" i="7"/>
  <c r="AI25" i="9"/>
  <c r="AI27" i="8"/>
  <c r="AQ27" i="8" s="1"/>
  <c r="AK105" i="9"/>
  <c r="AK107" i="8"/>
  <c r="AL29" i="9"/>
  <c r="AL31" i="8"/>
  <c r="AL77" i="8"/>
  <c r="AL79" i="7"/>
  <c r="AL61" i="8"/>
  <c r="AL63" i="7"/>
  <c r="AI85" i="11"/>
  <c r="AI87" i="10"/>
  <c r="AQ87" i="10" s="1"/>
  <c r="AK73" i="8"/>
  <c r="AK75" i="7"/>
  <c r="AL37" i="8"/>
  <c r="AL39" i="7"/>
  <c r="AK45" i="10" l="1"/>
  <c r="AL97" i="9"/>
  <c r="AL99" i="8"/>
  <c r="AK11" i="7"/>
  <c r="AK9" i="8"/>
  <c r="AJ119" i="7"/>
  <c r="AR119" i="7" s="1"/>
  <c r="AJ117" i="8"/>
  <c r="AJ101" i="10"/>
  <c r="AJ103" i="9"/>
  <c r="AK51" i="8"/>
  <c r="AK49" i="9"/>
  <c r="AJ97" i="9"/>
  <c r="AJ99" i="8"/>
  <c r="AL37" i="9"/>
  <c r="AL39" i="8"/>
  <c r="AL77" i="9"/>
  <c r="AL79" i="8"/>
  <c r="AI89" i="8"/>
  <c r="AI91" i="7"/>
  <c r="AQ91" i="7" s="1"/>
  <c r="AI17" i="10"/>
  <c r="AI19" i="9"/>
  <c r="AQ19" i="9" s="1"/>
  <c r="AK95" i="7"/>
  <c r="AK93" i="8"/>
  <c r="AJ33" i="9"/>
  <c r="AJ35" i="8"/>
  <c r="AR35" i="8" s="1"/>
  <c r="AL25" i="9"/>
  <c r="AL27" i="8"/>
  <c r="AL119" i="7"/>
  <c r="AL117" i="8"/>
  <c r="AJ49" i="8"/>
  <c r="AJ51" i="7"/>
  <c r="AR51" i="7" s="1"/>
  <c r="AL9" i="9"/>
  <c r="AL11" i="8"/>
  <c r="AK77" i="8"/>
  <c r="AK79" i="7"/>
  <c r="AJ121" i="9"/>
  <c r="AJ123" i="8"/>
  <c r="AJ39" i="9"/>
  <c r="AR39" i="9" s="1"/>
  <c r="AJ37" i="10"/>
  <c r="AK37" i="9"/>
  <c r="AK39" i="8"/>
  <c r="AI61" i="11"/>
  <c r="AI63" i="10"/>
  <c r="AQ63" i="10" s="1"/>
  <c r="AK101" i="9"/>
  <c r="AK103" i="8"/>
  <c r="AK27" i="7"/>
  <c r="AK25" i="8"/>
  <c r="AJ111" i="7"/>
  <c r="AR111" i="7" s="1"/>
  <c r="AJ109" i="8"/>
  <c r="AI93" i="10"/>
  <c r="AI95" i="9"/>
  <c r="AQ95" i="9" s="1"/>
  <c r="AK5" i="9"/>
  <c r="AK7" i="8"/>
  <c r="AK21" i="9"/>
  <c r="AK23" i="8"/>
  <c r="AK19" i="7"/>
  <c r="AK17" i="8"/>
  <c r="AK35" i="7"/>
  <c r="AK33" i="8"/>
  <c r="AJ81" i="10"/>
  <c r="AJ83" i="9"/>
  <c r="AK43" i="7"/>
  <c r="AK41" i="8"/>
  <c r="AK57" i="9"/>
  <c r="AK59" i="8"/>
  <c r="AJ21" i="11"/>
  <c r="AJ23" i="10"/>
  <c r="AR23" i="10" s="1"/>
  <c r="AK31" i="8"/>
  <c r="AK29" i="9"/>
  <c r="AJ7" i="9"/>
  <c r="AR7" i="9" s="1"/>
  <c r="AJ5" i="10"/>
  <c r="AL81" i="9"/>
  <c r="AL83" i="8"/>
  <c r="AK73" i="9"/>
  <c r="AK75" i="8"/>
  <c r="AL61" i="9"/>
  <c r="AL63" i="8"/>
  <c r="AL29" i="10"/>
  <c r="AL31" i="9"/>
  <c r="AI25" i="10"/>
  <c r="AI27" i="9"/>
  <c r="AQ27" i="9" s="1"/>
  <c r="AK109" i="9"/>
  <c r="AK111" i="8"/>
  <c r="AI73" i="8"/>
  <c r="AI75" i="7"/>
  <c r="AQ75" i="7" s="1"/>
  <c r="AJ29" i="10"/>
  <c r="AJ31" i="9"/>
  <c r="AR31" i="9" s="1"/>
  <c r="AK89" i="9"/>
  <c r="AK91" i="8"/>
  <c r="AK55" i="7"/>
  <c r="AK53" i="8"/>
  <c r="AI41" i="10"/>
  <c r="AI43" i="9"/>
  <c r="AQ43" i="9" s="1"/>
  <c r="AI9" i="10"/>
  <c r="AI11" i="9"/>
  <c r="AQ11" i="9" s="1"/>
  <c r="AK123" i="9"/>
  <c r="AK121" i="10"/>
  <c r="AL85" i="9"/>
  <c r="AL87" i="8"/>
  <c r="AK46" i="8"/>
  <c r="AK47" i="7"/>
  <c r="AL17" i="9"/>
  <c r="AL19" i="8"/>
  <c r="AI107" i="7"/>
  <c r="AQ107" i="7" s="1"/>
  <c r="AI105" i="8"/>
  <c r="AK81" i="9"/>
  <c r="AK83" i="8"/>
  <c r="AJ79" i="7"/>
  <c r="AR79" i="7" s="1"/>
  <c r="AJ77" i="8"/>
  <c r="AJ75" i="11"/>
  <c r="AR75" i="11" s="1"/>
  <c r="AJ73" i="12"/>
  <c r="AJ75" i="12" s="1"/>
  <c r="AR75" i="12" s="1"/>
  <c r="AK15" i="8"/>
  <c r="AK13" i="9"/>
  <c r="AJ57" i="10"/>
  <c r="AJ59" i="9"/>
  <c r="AR59" i="9" s="1"/>
  <c r="AK99" i="8"/>
  <c r="AK97" i="9"/>
  <c r="AL73" i="10"/>
  <c r="AL75" i="9"/>
  <c r="AL33" i="9"/>
  <c r="AL35" i="8"/>
  <c r="AI21" i="8"/>
  <c r="AI23" i="7"/>
  <c r="AQ23" i="7" s="1"/>
  <c r="AJ25" i="9"/>
  <c r="AJ27" i="8"/>
  <c r="AR27" i="8" s="1"/>
  <c r="AI79" i="9"/>
  <c r="AQ79" i="9" s="1"/>
  <c r="AI77" i="10"/>
  <c r="AL41" i="9"/>
  <c r="AL43" i="8"/>
  <c r="AK61" i="8"/>
  <c r="AK63" i="7"/>
  <c r="AL23" i="9"/>
  <c r="AL21" i="10"/>
  <c r="AI33" i="10"/>
  <c r="AI35" i="9"/>
  <c r="AQ35" i="9" s="1"/>
  <c r="AL45" i="8"/>
  <c r="AL47" i="7"/>
  <c r="AJ61" i="9"/>
  <c r="AJ63" i="8"/>
  <c r="AR63" i="8" s="1"/>
  <c r="AJ69" i="8"/>
  <c r="AJ71" i="7"/>
  <c r="AR71" i="7" s="1"/>
  <c r="AI55" i="8"/>
  <c r="AQ55" i="8" s="1"/>
  <c r="AI53" i="9"/>
  <c r="AI37" i="8"/>
  <c r="AI39" i="7"/>
  <c r="AQ39" i="7" s="1"/>
  <c r="AK113" i="10"/>
  <c r="AK115" i="9"/>
  <c r="AI115" i="8"/>
  <c r="AQ115" i="8" s="1"/>
  <c r="AI113" i="9"/>
  <c r="AI81" i="8"/>
  <c r="AI83" i="7"/>
  <c r="AQ83" i="7" s="1"/>
  <c r="AL93" i="9"/>
  <c r="AL95" i="8"/>
  <c r="AI69" i="9"/>
  <c r="AI71" i="8"/>
  <c r="AQ71" i="8" s="1"/>
  <c r="AJ13" i="10"/>
  <c r="AJ15" i="9"/>
  <c r="AJ17" i="9"/>
  <c r="AJ19" i="8"/>
  <c r="AR19" i="8" s="1"/>
  <c r="AL57" i="9"/>
  <c r="AL59" i="8"/>
  <c r="AL123" i="7"/>
  <c r="AL121" i="8"/>
  <c r="AI117" i="9"/>
  <c r="AI119" i="8"/>
  <c r="AQ119" i="8" s="1"/>
  <c r="AL115" i="7"/>
  <c r="AL113" i="8"/>
  <c r="AL107" i="8"/>
  <c r="AL105" i="9"/>
  <c r="AK87" i="7"/>
  <c r="AK85" i="8"/>
  <c r="AK71" i="7"/>
  <c r="AK69" i="8"/>
  <c r="AI49" i="9"/>
  <c r="AI51" i="8"/>
  <c r="AQ51" i="8" s="1"/>
  <c r="AJ55" i="7"/>
  <c r="AR55" i="7" s="1"/>
  <c r="AJ53" i="8"/>
  <c r="AJ65" i="10"/>
  <c r="AJ67" i="9"/>
  <c r="AR67" i="9" s="1"/>
  <c r="AL89" i="10"/>
  <c r="AL91" i="9"/>
  <c r="AI85" i="12"/>
  <c r="AI87" i="12" s="1"/>
  <c r="AQ87" i="12" s="1"/>
  <c r="AI87" i="11"/>
  <c r="AQ87" i="11" s="1"/>
  <c r="AK107" i="9"/>
  <c r="AK105" i="10"/>
  <c r="AL53" i="9"/>
  <c r="AL55" i="8"/>
  <c r="AK117" i="8"/>
  <c r="AK119" i="7"/>
  <c r="AI5" i="8"/>
  <c r="AI7" i="7"/>
  <c r="AQ7" i="7" s="1"/>
  <c r="AJ41" i="9"/>
  <c r="AJ43" i="8"/>
  <c r="AR43" i="8" s="1"/>
  <c r="AL13" i="10"/>
  <c r="AL15" i="9"/>
  <c r="AI97" i="8"/>
  <c r="AI99" i="7"/>
  <c r="AQ99" i="7" s="1"/>
  <c r="AL49" i="10"/>
  <c r="AL51" i="9"/>
  <c r="AJ113" i="9"/>
  <c r="AJ115" i="8"/>
  <c r="AI13" i="8"/>
  <c r="AI15" i="7"/>
  <c r="AQ15" i="7" s="1"/>
  <c r="AK65" i="9"/>
  <c r="AK67" i="8"/>
  <c r="AJ45" i="9"/>
  <c r="AJ47" i="8"/>
  <c r="AR47" i="8" s="1"/>
  <c r="AI45" i="8"/>
  <c r="AI47" i="7"/>
  <c r="AQ47" i="7" s="1"/>
  <c r="AJ105" i="9"/>
  <c r="AJ107" i="8"/>
  <c r="AI59" i="7"/>
  <c r="AQ59" i="7" s="1"/>
  <c r="AI57" i="8"/>
  <c r="AL109" i="10"/>
  <c r="AL111" i="9"/>
  <c r="AJ85" i="9"/>
  <c r="AJ87" i="8"/>
  <c r="AL101" i="11"/>
  <c r="AL103" i="10"/>
  <c r="AI65" i="9"/>
  <c r="AI67" i="8"/>
  <c r="AQ67" i="8" s="1"/>
  <c r="AL69" i="9"/>
  <c r="AL71" i="8"/>
  <c r="AL65" i="11"/>
  <c r="AL67" i="10"/>
  <c r="AI111" i="9"/>
  <c r="AQ111" i="9" s="1"/>
  <c r="AI109" i="10"/>
  <c r="AJ93" i="9"/>
  <c r="AJ95" i="8"/>
  <c r="AJ89" i="12"/>
  <c r="AJ91" i="12" s="1"/>
  <c r="AJ91" i="11"/>
  <c r="AJ9" i="9"/>
  <c r="AJ11" i="8"/>
  <c r="AR11" i="8" s="1"/>
  <c r="AL7" i="9"/>
  <c r="AL5" i="10"/>
  <c r="AI101" i="10"/>
  <c r="AI103" i="9"/>
  <c r="AQ103" i="9" s="1"/>
  <c r="AI121" i="10"/>
  <c r="AI123" i="9"/>
  <c r="AQ123" i="9" s="1"/>
  <c r="AI29" i="8"/>
  <c r="AI31" i="7"/>
  <c r="AQ31" i="7" s="1"/>
  <c r="AL109" i="11" l="1"/>
  <c r="AL111" i="10"/>
  <c r="AI13" i="9"/>
  <c r="AI15" i="8"/>
  <c r="AQ15" i="8" s="1"/>
  <c r="AL13" i="11"/>
  <c r="AL15" i="10"/>
  <c r="AJ19" i="9"/>
  <c r="AR19" i="9" s="1"/>
  <c r="AJ17" i="10"/>
  <c r="AK113" i="11"/>
  <c r="AK115" i="10"/>
  <c r="AI33" i="11"/>
  <c r="AI35" i="10"/>
  <c r="AQ35" i="10" s="1"/>
  <c r="AL75" i="10"/>
  <c r="AL73" i="11"/>
  <c r="AI101" i="11"/>
  <c r="AI103" i="10"/>
  <c r="AQ103" i="10" s="1"/>
  <c r="AJ95" i="9"/>
  <c r="AJ93" i="10"/>
  <c r="AI65" i="10"/>
  <c r="AI67" i="9"/>
  <c r="AQ67" i="9" s="1"/>
  <c r="AJ85" i="10"/>
  <c r="AJ87" i="9"/>
  <c r="AK65" i="10"/>
  <c r="AK67" i="9"/>
  <c r="AI97" i="9"/>
  <c r="AI99" i="8"/>
  <c r="AQ99" i="8" s="1"/>
  <c r="AK117" i="9"/>
  <c r="AK119" i="8"/>
  <c r="AL89" i="11"/>
  <c r="AL91" i="10"/>
  <c r="AL57" i="10"/>
  <c r="AL59" i="9"/>
  <c r="AL95" i="9"/>
  <c r="AL93" i="10"/>
  <c r="AL45" i="9"/>
  <c r="AL47" i="8"/>
  <c r="AL43" i="9"/>
  <c r="AL41" i="10"/>
  <c r="AL35" i="9"/>
  <c r="AL33" i="10"/>
  <c r="AI41" i="11"/>
  <c r="AI43" i="10"/>
  <c r="AQ43" i="10" s="1"/>
  <c r="AL5" i="11"/>
  <c r="AL7" i="10"/>
  <c r="AI109" i="11"/>
  <c r="AI111" i="10"/>
  <c r="AQ111" i="10" s="1"/>
  <c r="AK87" i="8"/>
  <c r="AK85" i="9"/>
  <c r="AL113" i="9"/>
  <c r="AL115" i="8"/>
  <c r="AL121" i="9"/>
  <c r="AL123" i="8"/>
  <c r="AI53" i="10"/>
  <c r="AI55" i="9"/>
  <c r="AQ55" i="9" s="1"/>
  <c r="AI77" i="11"/>
  <c r="AI79" i="10"/>
  <c r="AQ79" i="10" s="1"/>
  <c r="AK53" i="9"/>
  <c r="AK55" i="8"/>
  <c r="AJ5" i="11"/>
  <c r="AJ7" i="10"/>
  <c r="AR7" i="10" s="1"/>
  <c r="AK43" i="8"/>
  <c r="AK41" i="9"/>
  <c r="AK35" i="8"/>
  <c r="AK33" i="9"/>
  <c r="AK27" i="8"/>
  <c r="AK25" i="9"/>
  <c r="AJ37" i="11"/>
  <c r="AJ39" i="10"/>
  <c r="AR39" i="10" s="1"/>
  <c r="AK93" i="9"/>
  <c r="AK95" i="8"/>
  <c r="AK49" i="10"/>
  <c r="AK51" i="9"/>
  <c r="AJ117" i="9"/>
  <c r="AJ119" i="8"/>
  <c r="AL27" i="9"/>
  <c r="AL25" i="10"/>
  <c r="AI89" i="9"/>
  <c r="AI91" i="8"/>
  <c r="AQ91" i="8" s="1"/>
  <c r="AL39" i="9"/>
  <c r="AL37" i="10"/>
  <c r="AL97" i="10"/>
  <c r="AL99" i="9"/>
  <c r="AI121" i="11"/>
  <c r="AI123" i="10"/>
  <c r="AQ123" i="10" s="1"/>
  <c r="AL69" i="10"/>
  <c r="AL71" i="9"/>
  <c r="AJ105" i="10"/>
  <c r="AJ107" i="9"/>
  <c r="AL49" i="11"/>
  <c r="AL51" i="10"/>
  <c r="AL53" i="10"/>
  <c r="AL55" i="9"/>
  <c r="AI49" i="10"/>
  <c r="AI51" i="9"/>
  <c r="AQ51" i="9" s="1"/>
  <c r="AI81" i="9"/>
  <c r="AI83" i="8"/>
  <c r="AQ83" i="8" s="1"/>
  <c r="AJ61" i="10"/>
  <c r="AJ63" i="9"/>
  <c r="AR63" i="9" s="1"/>
  <c r="AI21" i="9"/>
  <c r="AI23" i="8"/>
  <c r="AQ23" i="8" s="1"/>
  <c r="AJ57" i="11"/>
  <c r="AJ59" i="10"/>
  <c r="AR59" i="10" s="1"/>
  <c r="AK81" i="10"/>
  <c r="AK83" i="9"/>
  <c r="AL19" i="9"/>
  <c r="AL17" i="10"/>
  <c r="AL85" i="10"/>
  <c r="AL87" i="9"/>
  <c r="AI9" i="11"/>
  <c r="AI11" i="10"/>
  <c r="AQ11" i="10" s="1"/>
  <c r="AJ29" i="11"/>
  <c r="AJ31" i="10"/>
  <c r="AR31" i="10" s="1"/>
  <c r="AK111" i="9"/>
  <c r="AK109" i="10"/>
  <c r="AL29" i="11"/>
  <c r="AL31" i="10"/>
  <c r="AK73" i="10"/>
  <c r="AK75" i="9"/>
  <c r="AJ21" i="12"/>
  <c r="AJ23" i="12" s="1"/>
  <c r="AR23" i="12" s="1"/>
  <c r="AJ23" i="11"/>
  <c r="AR23" i="11" s="1"/>
  <c r="AK21" i="10"/>
  <c r="AK23" i="9"/>
  <c r="AI93" i="11"/>
  <c r="AI95" i="10"/>
  <c r="AQ95" i="10" s="1"/>
  <c r="AI61" i="12"/>
  <c r="AI63" i="12" s="1"/>
  <c r="AQ63" i="12" s="1"/>
  <c r="AI63" i="11"/>
  <c r="AQ63" i="11" s="1"/>
  <c r="AK77" i="9"/>
  <c r="AK79" i="8"/>
  <c r="AJ49" i="9"/>
  <c r="AJ51" i="8"/>
  <c r="AR51" i="8" s="1"/>
  <c r="AI59" i="8"/>
  <c r="AQ59" i="8" s="1"/>
  <c r="AI57" i="9"/>
  <c r="AK105" i="11"/>
  <c r="AK107" i="10"/>
  <c r="AJ53" i="9"/>
  <c r="AJ55" i="8"/>
  <c r="AR55" i="8" s="1"/>
  <c r="AK69" i="9"/>
  <c r="AK71" i="8"/>
  <c r="AL105" i="10"/>
  <c r="AL107" i="9"/>
  <c r="AI115" i="9"/>
  <c r="AQ115" i="9" s="1"/>
  <c r="AI113" i="10"/>
  <c r="AL21" i="11"/>
  <c r="AL23" i="10"/>
  <c r="AK99" i="9"/>
  <c r="AK97" i="10"/>
  <c r="AK13" i="10"/>
  <c r="AK15" i="9"/>
  <c r="AJ77" i="9"/>
  <c r="AJ79" i="8"/>
  <c r="AR79" i="8" s="1"/>
  <c r="AI105" i="9"/>
  <c r="AI107" i="8"/>
  <c r="AQ107" i="8" s="1"/>
  <c r="AK123" i="10"/>
  <c r="AK121" i="11"/>
  <c r="AK29" i="10"/>
  <c r="AK31" i="9"/>
  <c r="AK19" i="8"/>
  <c r="AK17" i="9"/>
  <c r="AJ109" i="9"/>
  <c r="AJ111" i="8"/>
  <c r="AL117" i="9"/>
  <c r="AL119" i="8"/>
  <c r="AK11" i="8"/>
  <c r="AK9" i="9"/>
  <c r="AL101" i="12"/>
  <c r="AL103" i="12" s="1"/>
  <c r="AL103" i="11"/>
  <c r="AJ45" i="10"/>
  <c r="AJ47" i="9"/>
  <c r="AR47" i="9" s="1"/>
  <c r="AI5" i="9"/>
  <c r="AI7" i="8"/>
  <c r="AQ7" i="8" s="1"/>
  <c r="AJ65" i="11"/>
  <c r="AJ67" i="10"/>
  <c r="AR67" i="10" s="1"/>
  <c r="AI71" i="9"/>
  <c r="AQ71" i="9" s="1"/>
  <c r="AI69" i="10"/>
  <c r="AK61" i="9"/>
  <c r="AK63" i="8"/>
  <c r="AI29" i="9"/>
  <c r="AI31" i="8"/>
  <c r="AQ31" i="8" s="1"/>
  <c r="AJ9" i="10"/>
  <c r="AJ11" i="9"/>
  <c r="AR11" i="9" s="1"/>
  <c r="AL65" i="12"/>
  <c r="AL67" i="12" s="1"/>
  <c r="AL67" i="11"/>
  <c r="AI45" i="9"/>
  <c r="AI47" i="8"/>
  <c r="AQ47" i="8" s="1"/>
  <c r="AJ113" i="10"/>
  <c r="AJ115" i="9"/>
  <c r="AJ41" i="10"/>
  <c r="AJ43" i="9"/>
  <c r="AR43" i="9" s="1"/>
  <c r="AI119" i="9"/>
  <c r="AQ119" i="9" s="1"/>
  <c r="AI117" i="10"/>
  <c r="AJ13" i="11"/>
  <c r="AJ15" i="10"/>
  <c r="AI37" i="9"/>
  <c r="AI39" i="8"/>
  <c r="AQ39" i="8" s="1"/>
  <c r="AJ69" i="9"/>
  <c r="AJ71" i="8"/>
  <c r="AR71" i="8" s="1"/>
  <c r="AJ25" i="10"/>
  <c r="AJ27" i="9"/>
  <c r="AR27" i="9" s="1"/>
  <c r="AK46" i="9"/>
  <c r="AK47" i="8"/>
  <c r="AK89" i="10"/>
  <c r="AK91" i="9"/>
  <c r="AI73" i="9"/>
  <c r="AI75" i="8"/>
  <c r="AQ75" i="8" s="1"/>
  <c r="AI25" i="11"/>
  <c r="AI27" i="10"/>
  <c r="AQ27" i="10" s="1"/>
  <c r="AL61" i="10"/>
  <c r="AL63" i="9"/>
  <c r="AL81" i="10"/>
  <c r="AL83" i="9"/>
  <c r="AK57" i="10"/>
  <c r="AK59" i="9"/>
  <c r="AJ81" i="11"/>
  <c r="AJ83" i="10"/>
  <c r="AK5" i="10"/>
  <c r="AK7" i="9"/>
  <c r="AK101" i="10"/>
  <c r="AK103" i="9"/>
  <c r="AK37" i="10"/>
  <c r="AK39" i="9"/>
  <c r="AJ121" i="10"/>
  <c r="AJ123" i="9"/>
  <c r="AL11" i="9"/>
  <c r="AL9" i="10"/>
  <c r="AJ35" i="9"/>
  <c r="AR35" i="9" s="1"/>
  <c r="AJ33" i="10"/>
  <c r="AI17" i="11"/>
  <c r="AI19" i="10"/>
  <c r="AQ19" i="10" s="1"/>
  <c r="AL77" i="10"/>
  <c r="AL79" i="9"/>
  <c r="AJ97" i="10"/>
  <c r="AJ99" i="9"/>
  <c r="AJ101" i="11"/>
  <c r="AJ103" i="10"/>
  <c r="AK45" i="11"/>
  <c r="AJ97" i="11" l="1"/>
  <c r="AJ99" i="10"/>
  <c r="AK5" i="11"/>
  <c r="AK7" i="10"/>
  <c r="AK46" i="10"/>
  <c r="AK47" i="9"/>
  <c r="AJ41" i="11"/>
  <c r="AJ43" i="10"/>
  <c r="AR43" i="10" s="1"/>
  <c r="AJ9" i="11"/>
  <c r="AJ11" i="10"/>
  <c r="AR11" i="10" s="1"/>
  <c r="AJ67" i="11"/>
  <c r="AR67" i="11" s="1"/>
  <c r="AJ65" i="12"/>
  <c r="AJ67" i="12" s="1"/>
  <c r="AR67" i="12" s="1"/>
  <c r="AK31" i="10"/>
  <c r="AK29" i="11"/>
  <c r="AK13" i="11"/>
  <c r="AK15" i="10"/>
  <c r="AL105" i="11"/>
  <c r="AL107" i="10"/>
  <c r="AI93" i="12"/>
  <c r="AI95" i="12" s="1"/>
  <c r="AQ95" i="12" s="1"/>
  <c r="AI95" i="11"/>
  <c r="AQ95" i="11" s="1"/>
  <c r="AJ29" i="12"/>
  <c r="AJ31" i="12" s="1"/>
  <c r="AR31" i="12" s="1"/>
  <c r="AJ31" i="11"/>
  <c r="AR31" i="11" s="1"/>
  <c r="AI21" i="10"/>
  <c r="AI23" i="9"/>
  <c r="AQ23" i="9" s="1"/>
  <c r="AL53" i="11"/>
  <c r="AL55" i="10"/>
  <c r="AK51" i="10"/>
  <c r="AK49" i="11"/>
  <c r="AI77" i="12"/>
  <c r="AI79" i="12" s="1"/>
  <c r="AQ79" i="12" s="1"/>
  <c r="AI79" i="11"/>
  <c r="AQ79" i="11" s="1"/>
  <c r="AL45" i="10"/>
  <c r="AL47" i="9"/>
  <c r="AI65" i="11"/>
  <c r="AI67" i="10"/>
  <c r="AQ67" i="10" s="1"/>
  <c r="AL77" i="11"/>
  <c r="AL79" i="10"/>
  <c r="AK101" i="11"/>
  <c r="AK103" i="10"/>
  <c r="AL81" i="11"/>
  <c r="AL83" i="10"/>
  <c r="AK89" i="11"/>
  <c r="AK91" i="10"/>
  <c r="AI37" i="10"/>
  <c r="AI39" i="9"/>
  <c r="AQ39" i="9" s="1"/>
  <c r="AJ77" i="10"/>
  <c r="AJ79" i="9"/>
  <c r="AR79" i="9" s="1"/>
  <c r="AK105" i="12"/>
  <c r="AK107" i="12" s="1"/>
  <c r="AK107" i="11"/>
  <c r="AK73" i="11"/>
  <c r="AK75" i="10"/>
  <c r="AJ61" i="11"/>
  <c r="AJ63" i="10"/>
  <c r="AR63" i="10" s="1"/>
  <c r="AK45" i="12"/>
  <c r="AL9" i="11"/>
  <c r="AL11" i="10"/>
  <c r="AK9" i="10"/>
  <c r="AK11" i="9"/>
  <c r="AI57" i="10"/>
  <c r="AI59" i="9"/>
  <c r="AQ59" i="9" s="1"/>
  <c r="AL37" i="11"/>
  <c r="AL39" i="10"/>
  <c r="AL25" i="11"/>
  <c r="AL27" i="10"/>
  <c r="AK33" i="10"/>
  <c r="AK35" i="9"/>
  <c r="AK85" i="10"/>
  <c r="AK87" i="9"/>
  <c r="AL33" i="11"/>
  <c r="AL35" i="10"/>
  <c r="AJ17" i="11"/>
  <c r="AJ19" i="10"/>
  <c r="AR19" i="10" s="1"/>
  <c r="AI17" i="12"/>
  <c r="AI19" i="12" s="1"/>
  <c r="AQ19" i="12" s="1"/>
  <c r="AI19" i="11"/>
  <c r="AQ19" i="11" s="1"/>
  <c r="AL61" i="11"/>
  <c r="AL63" i="10"/>
  <c r="AJ13" i="12"/>
  <c r="AJ15" i="12" s="1"/>
  <c r="AJ15" i="11"/>
  <c r="AJ109" i="10"/>
  <c r="AJ111" i="9"/>
  <c r="AK37" i="11"/>
  <c r="AK39" i="10"/>
  <c r="AI73" i="10"/>
  <c r="AI75" i="9"/>
  <c r="AQ75" i="9" s="1"/>
  <c r="AK77" i="10"/>
  <c r="AK79" i="9"/>
  <c r="AL29" i="12"/>
  <c r="AL31" i="12" s="1"/>
  <c r="AL31" i="11"/>
  <c r="AK81" i="11"/>
  <c r="AK83" i="10"/>
  <c r="AJ105" i="11"/>
  <c r="AJ107" i="10"/>
  <c r="AJ37" i="12"/>
  <c r="AJ39" i="12" s="1"/>
  <c r="AR39" i="12" s="1"/>
  <c r="AJ39" i="11"/>
  <c r="AR39" i="11" s="1"/>
  <c r="AL121" i="10"/>
  <c r="AL123" i="9"/>
  <c r="AL57" i="11"/>
  <c r="AL59" i="10"/>
  <c r="AK65" i="11"/>
  <c r="AK67" i="10"/>
  <c r="AI101" i="12"/>
  <c r="AI103" i="12" s="1"/>
  <c r="AQ103" i="12" s="1"/>
  <c r="AI103" i="11"/>
  <c r="AQ103" i="11" s="1"/>
  <c r="AI33" i="12"/>
  <c r="AI35" i="12" s="1"/>
  <c r="AQ35" i="12" s="1"/>
  <c r="AI35" i="11"/>
  <c r="AQ35" i="11" s="1"/>
  <c r="AI13" i="10"/>
  <c r="AI15" i="9"/>
  <c r="AQ15" i="9" s="1"/>
  <c r="AJ33" i="11"/>
  <c r="AJ35" i="10"/>
  <c r="AR35" i="10" s="1"/>
  <c r="AI117" i="11"/>
  <c r="AI119" i="10"/>
  <c r="AQ119" i="10" s="1"/>
  <c r="AI69" i="11"/>
  <c r="AI71" i="10"/>
  <c r="AQ71" i="10" s="1"/>
  <c r="AK17" i="10"/>
  <c r="AK19" i="9"/>
  <c r="AK123" i="11"/>
  <c r="AK121" i="12"/>
  <c r="AK123" i="12" s="1"/>
  <c r="AK97" i="11"/>
  <c r="AK99" i="10"/>
  <c r="AI113" i="11"/>
  <c r="AI115" i="10"/>
  <c r="AQ115" i="10" s="1"/>
  <c r="AK109" i="11"/>
  <c r="AK111" i="10"/>
  <c r="AL17" i="11"/>
  <c r="AL19" i="10"/>
  <c r="AK25" i="10"/>
  <c r="AK27" i="9"/>
  <c r="AK41" i="10"/>
  <c r="AK43" i="9"/>
  <c r="AL41" i="11"/>
  <c r="AL43" i="10"/>
  <c r="AL93" i="11"/>
  <c r="AL95" i="10"/>
  <c r="AJ93" i="11"/>
  <c r="AJ95" i="10"/>
  <c r="AL73" i="12"/>
  <c r="AL75" i="12" s="1"/>
  <c r="AL75" i="11"/>
  <c r="AK57" i="11"/>
  <c r="AK59" i="10"/>
  <c r="AJ69" i="10"/>
  <c r="AJ71" i="9"/>
  <c r="AR71" i="9" s="1"/>
  <c r="AI45" i="10"/>
  <c r="AI47" i="9"/>
  <c r="AQ47" i="9" s="1"/>
  <c r="AK61" i="10"/>
  <c r="AK63" i="9"/>
  <c r="AJ45" i="11"/>
  <c r="AJ47" i="10"/>
  <c r="AR47" i="10" s="1"/>
  <c r="AI105" i="10"/>
  <c r="AI107" i="9"/>
  <c r="AQ107" i="9" s="1"/>
  <c r="AL21" i="12"/>
  <c r="AL23" i="12" s="1"/>
  <c r="AL23" i="11"/>
  <c r="AJ55" i="9"/>
  <c r="AR55" i="9" s="1"/>
  <c r="AJ53" i="10"/>
  <c r="AL85" i="11"/>
  <c r="AL87" i="10"/>
  <c r="AI81" i="10"/>
  <c r="AI83" i="9"/>
  <c r="AQ83" i="9" s="1"/>
  <c r="AI121" i="12"/>
  <c r="AI123" i="12" s="1"/>
  <c r="AQ123" i="12" s="1"/>
  <c r="AI123" i="11"/>
  <c r="AQ123" i="11" s="1"/>
  <c r="AJ5" i="12"/>
  <c r="AJ7" i="12" s="1"/>
  <c r="AR7" i="12" s="1"/>
  <c r="AJ7" i="11"/>
  <c r="AR7" i="11" s="1"/>
  <c r="AL5" i="12"/>
  <c r="AL7" i="12" s="1"/>
  <c r="AL7" i="11"/>
  <c r="AK117" i="10"/>
  <c r="AK119" i="9"/>
  <c r="AJ101" i="12"/>
  <c r="AJ103" i="12" s="1"/>
  <c r="AJ103" i="11"/>
  <c r="AJ121" i="11"/>
  <c r="AJ123" i="10"/>
  <c r="AJ81" i="12"/>
  <c r="AJ83" i="12" s="1"/>
  <c r="AJ83" i="11"/>
  <c r="AI25" i="12"/>
  <c r="AI27" i="12" s="1"/>
  <c r="AQ27" i="12" s="1"/>
  <c r="AI27" i="11"/>
  <c r="AQ27" i="11" s="1"/>
  <c r="AJ25" i="11"/>
  <c r="AJ27" i="10"/>
  <c r="AR27" i="10" s="1"/>
  <c r="AJ113" i="11"/>
  <c r="AJ115" i="10"/>
  <c r="AI29" i="10"/>
  <c r="AI31" i="9"/>
  <c r="AQ31" i="9" s="1"/>
  <c r="AI5" i="10"/>
  <c r="AI7" i="9"/>
  <c r="AQ7" i="9" s="1"/>
  <c r="AL117" i="10"/>
  <c r="AL119" i="9"/>
  <c r="AK69" i="10"/>
  <c r="AK71" i="9"/>
  <c r="AJ51" i="9"/>
  <c r="AR51" i="9" s="1"/>
  <c r="AJ49" i="10"/>
  <c r="AK21" i="11"/>
  <c r="AK23" i="10"/>
  <c r="AI9" i="12"/>
  <c r="AI11" i="12" s="1"/>
  <c r="AQ11" i="12" s="1"/>
  <c r="AI11" i="11"/>
  <c r="AQ11" i="11" s="1"/>
  <c r="AJ57" i="12"/>
  <c r="AJ59" i="12" s="1"/>
  <c r="AR59" i="12" s="1"/>
  <c r="AJ59" i="11"/>
  <c r="AR59" i="11" s="1"/>
  <c r="AI49" i="11"/>
  <c r="AI51" i="10"/>
  <c r="AQ51" i="10" s="1"/>
  <c r="AL49" i="12"/>
  <c r="AL51" i="12" s="1"/>
  <c r="AL51" i="11"/>
  <c r="AL69" i="11"/>
  <c r="AL71" i="10"/>
  <c r="AL99" i="10"/>
  <c r="AL97" i="11"/>
  <c r="AI91" i="9"/>
  <c r="AQ91" i="9" s="1"/>
  <c r="AI89" i="10"/>
  <c r="AJ117" i="10"/>
  <c r="AJ119" i="9"/>
  <c r="AK93" i="10"/>
  <c r="AK95" i="9"/>
  <c r="AK53" i="10"/>
  <c r="AK55" i="9"/>
  <c r="AI53" i="11"/>
  <c r="AI55" i="10"/>
  <c r="AQ55" i="10" s="1"/>
  <c r="AL113" i="10"/>
  <c r="AL115" i="9"/>
  <c r="AI109" i="12"/>
  <c r="AI111" i="12" s="1"/>
  <c r="AQ111" i="12" s="1"/>
  <c r="AI111" i="11"/>
  <c r="AQ111" i="11" s="1"/>
  <c r="AI43" i="11"/>
  <c r="AQ43" i="11" s="1"/>
  <c r="AI41" i="12"/>
  <c r="AI43" i="12" s="1"/>
  <c r="AQ43" i="12" s="1"/>
  <c r="AL89" i="12"/>
  <c r="AL91" i="12" s="1"/>
  <c r="AL91" i="11"/>
  <c r="AI97" i="10"/>
  <c r="AI99" i="9"/>
  <c r="AQ99" i="9" s="1"/>
  <c r="AJ85" i="11"/>
  <c r="AJ87" i="10"/>
  <c r="AK113" i="12"/>
  <c r="AK115" i="12" s="1"/>
  <c r="AK115" i="11"/>
  <c r="AL13" i="12"/>
  <c r="AL15" i="12" s="1"/>
  <c r="AL15" i="11"/>
  <c r="AL109" i="12"/>
  <c r="AL111" i="12" s="1"/>
  <c r="AL111" i="11"/>
  <c r="AK53" i="11" l="1"/>
  <c r="AK55" i="10"/>
  <c r="AJ113" i="12"/>
  <c r="AJ115" i="12" s="1"/>
  <c r="AJ115" i="11"/>
  <c r="AK61" i="11"/>
  <c r="AK63" i="10"/>
  <c r="AK41" i="11"/>
  <c r="AK43" i="10"/>
  <c r="AK93" i="11"/>
  <c r="AK95" i="10"/>
  <c r="AI49" i="12"/>
  <c r="AI51" i="12" s="1"/>
  <c r="AQ51" i="12" s="1"/>
  <c r="AI51" i="11"/>
  <c r="AQ51" i="11" s="1"/>
  <c r="AL117" i="11"/>
  <c r="AL119" i="10"/>
  <c r="AL85" i="12"/>
  <c r="AL87" i="12" s="1"/>
  <c r="AL87" i="11"/>
  <c r="AJ45" i="12"/>
  <c r="AJ47" i="12" s="1"/>
  <c r="AR47" i="12" s="1"/>
  <c r="AJ47" i="11"/>
  <c r="AR47" i="11" s="1"/>
  <c r="AK57" i="12"/>
  <c r="AK59" i="12" s="1"/>
  <c r="AK59" i="11"/>
  <c r="AL41" i="12"/>
  <c r="AL43" i="12" s="1"/>
  <c r="AL43" i="11"/>
  <c r="AK109" i="12"/>
  <c r="AK111" i="12" s="1"/>
  <c r="AK111" i="11"/>
  <c r="AK17" i="11"/>
  <c r="AK19" i="10"/>
  <c r="AL57" i="12"/>
  <c r="AL59" i="12" s="1"/>
  <c r="AL59" i="11"/>
  <c r="AK77" i="11"/>
  <c r="AK79" i="10"/>
  <c r="AL33" i="12"/>
  <c r="AL35" i="12" s="1"/>
  <c r="AL35" i="11"/>
  <c r="AK9" i="11"/>
  <c r="AK11" i="10"/>
  <c r="AL97" i="12"/>
  <c r="AL99" i="12" s="1"/>
  <c r="AL99" i="11"/>
  <c r="AJ53" i="11"/>
  <c r="AJ55" i="10"/>
  <c r="AR55" i="10" s="1"/>
  <c r="AK49" i="12"/>
  <c r="AK51" i="12" s="1"/>
  <c r="AK51" i="11"/>
  <c r="AI97" i="11"/>
  <c r="AI99" i="10"/>
  <c r="AQ99" i="10" s="1"/>
  <c r="AJ117" i="11"/>
  <c r="AJ119" i="10"/>
  <c r="AK21" i="12"/>
  <c r="AK23" i="12" s="1"/>
  <c r="AK23" i="11"/>
  <c r="AI5" i="11"/>
  <c r="AI7" i="10"/>
  <c r="AQ7" i="10" s="1"/>
  <c r="AJ121" i="12"/>
  <c r="AJ123" i="12" s="1"/>
  <c r="AJ123" i="11"/>
  <c r="AI81" i="11"/>
  <c r="AI83" i="10"/>
  <c r="AQ83" i="10" s="1"/>
  <c r="AJ69" i="11"/>
  <c r="AJ71" i="10"/>
  <c r="AR71" i="10" s="1"/>
  <c r="AL93" i="12"/>
  <c r="AL95" i="12" s="1"/>
  <c r="AL95" i="11"/>
  <c r="AI113" i="12"/>
  <c r="AI115" i="12" s="1"/>
  <c r="AQ115" i="12" s="1"/>
  <c r="AI115" i="11"/>
  <c r="AQ115" i="11" s="1"/>
  <c r="AI69" i="12"/>
  <c r="AI71" i="12" s="1"/>
  <c r="AQ71" i="12" s="1"/>
  <c r="AI71" i="11"/>
  <c r="AQ71" i="11" s="1"/>
  <c r="AJ33" i="12"/>
  <c r="AJ35" i="12" s="1"/>
  <c r="AR35" i="12" s="1"/>
  <c r="AJ35" i="11"/>
  <c r="AR35" i="11" s="1"/>
  <c r="AK65" i="12"/>
  <c r="AK67" i="12" s="1"/>
  <c r="AK67" i="11"/>
  <c r="AL121" i="11"/>
  <c r="AL123" i="10"/>
  <c r="AJ105" i="12"/>
  <c r="AJ107" i="12" s="1"/>
  <c r="AJ107" i="11"/>
  <c r="AI73" i="11"/>
  <c r="AI75" i="10"/>
  <c r="AQ75" i="10" s="1"/>
  <c r="AJ111" i="10"/>
  <c r="AJ109" i="11"/>
  <c r="AL61" i="12"/>
  <c r="AL63" i="12" s="1"/>
  <c r="AL63" i="11"/>
  <c r="AJ17" i="12"/>
  <c r="AJ19" i="12" s="1"/>
  <c r="AR19" i="12" s="1"/>
  <c r="AJ19" i="11"/>
  <c r="AR19" i="11" s="1"/>
  <c r="AK85" i="11"/>
  <c r="AK87" i="10"/>
  <c r="AL25" i="12"/>
  <c r="AL27" i="12" s="1"/>
  <c r="AL27" i="11"/>
  <c r="AI57" i="11"/>
  <c r="AI59" i="10"/>
  <c r="AQ59" i="10" s="1"/>
  <c r="AL9" i="12"/>
  <c r="AL11" i="12" s="1"/>
  <c r="AL11" i="11"/>
  <c r="AJ63" i="11"/>
  <c r="AR63" i="11" s="1"/>
  <c r="AJ61" i="12"/>
  <c r="AJ63" i="12" s="1"/>
  <c r="AR63" i="12" s="1"/>
  <c r="AI37" i="11"/>
  <c r="AI39" i="10"/>
  <c r="AQ39" i="10" s="1"/>
  <c r="AL81" i="12"/>
  <c r="AL83" i="12" s="1"/>
  <c r="AL83" i="11"/>
  <c r="AL77" i="12"/>
  <c r="AL79" i="12" s="1"/>
  <c r="AL79" i="11"/>
  <c r="AL45" i="11"/>
  <c r="AL47" i="10"/>
  <c r="AI21" i="11"/>
  <c r="AI23" i="10"/>
  <c r="AQ23" i="10" s="1"/>
  <c r="AK13" i="12"/>
  <c r="AK15" i="12" s="1"/>
  <c r="AK15" i="11"/>
  <c r="AJ41" i="12"/>
  <c r="AJ43" i="12" s="1"/>
  <c r="AR43" i="12" s="1"/>
  <c r="AJ43" i="11"/>
  <c r="AR43" i="11" s="1"/>
  <c r="AK7" i="11"/>
  <c r="AK5" i="12"/>
  <c r="AK7" i="12" s="1"/>
  <c r="AI89" i="11"/>
  <c r="AI91" i="10"/>
  <c r="AQ91" i="10" s="1"/>
  <c r="AJ49" i="11"/>
  <c r="AJ51" i="10"/>
  <c r="AR51" i="10" s="1"/>
  <c r="AK29" i="12"/>
  <c r="AK31" i="12" s="1"/>
  <c r="AK31" i="11"/>
  <c r="AL113" i="11"/>
  <c r="AL115" i="10"/>
  <c r="AK69" i="11"/>
  <c r="AK71" i="10"/>
  <c r="AK117" i="11"/>
  <c r="AK119" i="10"/>
  <c r="AI105" i="11"/>
  <c r="AI107" i="10"/>
  <c r="AQ107" i="10" s="1"/>
  <c r="AL17" i="12"/>
  <c r="AL19" i="12" s="1"/>
  <c r="AL19" i="11"/>
  <c r="AJ85" i="12"/>
  <c r="AJ87" i="12" s="1"/>
  <c r="AJ87" i="11"/>
  <c r="AI53" i="12"/>
  <c r="AI55" i="12" s="1"/>
  <c r="AQ55" i="12" s="1"/>
  <c r="AI55" i="11"/>
  <c r="AQ55" i="11" s="1"/>
  <c r="AL69" i="12"/>
  <c r="AL71" i="12" s="1"/>
  <c r="AL71" i="11"/>
  <c r="AI29" i="11"/>
  <c r="AI31" i="10"/>
  <c r="AQ31" i="10" s="1"/>
  <c r="AJ25" i="12"/>
  <c r="AJ27" i="12" s="1"/>
  <c r="AR27" i="12" s="1"/>
  <c r="AJ27" i="11"/>
  <c r="AR27" i="11" s="1"/>
  <c r="AI45" i="11"/>
  <c r="AI47" i="10"/>
  <c r="AQ47" i="10" s="1"/>
  <c r="AJ93" i="12"/>
  <c r="AJ95" i="12" s="1"/>
  <c r="AJ95" i="11"/>
  <c r="AK25" i="11"/>
  <c r="AK27" i="10"/>
  <c r="AK97" i="12"/>
  <c r="AK99" i="12" s="1"/>
  <c r="AK99" i="11"/>
  <c r="AI117" i="12"/>
  <c r="AI119" i="12" s="1"/>
  <c r="AQ119" i="12" s="1"/>
  <c r="AI119" i="11"/>
  <c r="AQ119" i="11" s="1"/>
  <c r="AI13" i="11"/>
  <c r="AI15" i="10"/>
  <c r="AQ15" i="10" s="1"/>
  <c r="AK81" i="12"/>
  <c r="AK83" i="12" s="1"/>
  <c r="AK83" i="11"/>
  <c r="AK37" i="12"/>
  <c r="AK39" i="12" s="1"/>
  <c r="AK39" i="11"/>
  <c r="AK35" i="10"/>
  <c r="AK33" i="11"/>
  <c r="AL37" i="12"/>
  <c r="AL39" i="12" s="1"/>
  <c r="AL39" i="11"/>
  <c r="AK73" i="12"/>
  <c r="AK75" i="12" s="1"/>
  <c r="AK75" i="11"/>
  <c r="AJ77" i="11"/>
  <c r="AJ79" i="10"/>
  <c r="AR79" i="10" s="1"/>
  <c r="AK89" i="12"/>
  <c r="AK91" i="12" s="1"/>
  <c r="AK91" i="11"/>
  <c r="AK101" i="12"/>
  <c r="AK103" i="12" s="1"/>
  <c r="AK103" i="11"/>
  <c r="AI65" i="12"/>
  <c r="AI67" i="12" s="1"/>
  <c r="AQ67" i="12" s="1"/>
  <c r="AI67" i="11"/>
  <c r="AQ67" i="11" s="1"/>
  <c r="AL53" i="12"/>
  <c r="AL55" i="12" s="1"/>
  <c r="AL55" i="11"/>
  <c r="AL105" i="12"/>
  <c r="AL107" i="12" s="1"/>
  <c r="AL107" i="11"/>
  <c r="AJ9" i="12"/>
  <c r="AJ11" i="12" s="1"/>
  <c r="AR11" i="12" s="1"/>
  <c r="AJ11" i="11"/>
  <c r="AR11" i="11" s="1"/>
  <c r="AK46" i="11"/>
  <c r="AK47" i="10"/>
  <c r="AJ97" i="12"/>
  <c r="AJ99" i="12" s="1"/>
  <c r="AJ99" i="11"/>
  <c r="AJ79" i="11" l="1"/>
  <c r="AR79" i="11" s="1"/>
  <c r="AJ77" i="12"/>
  <c r="AJ79" i="12" s="1"/>
  <c r="AR79" i="12" s="1"/>
  <c r="AJ109" i="12"/>
  <c r="AJ111" i="12" s="1"/>
  <c r="AJ111" i="11"/>
  <c r="AI13" i="12"/>
  <c r="AI15" i="12" s="1"/>
  <c r="AQ15" i="12" s="1"/>
  <c r="AI15" i="11"/>
  <c r="AQ15" i="11" s="1"/>
  <c r="AI105" i="12"/>
  <c r="AI107" i="12" s="1"/>
  <c r="AQ107" i="12" s="1"/>
  <c r="AI107" i="11"/>
  <c r="AQ107" i="11" s="1"/>
  <c r="AK69" i="12"/>
  <c r="AK71" i="12" s="1"/>
  <c r="AK71" i="11"/>
  <c r="AI89" i="12"/>
  <c r="AI91" i="12" s="1"/>
  <c r="AQ91" i="12" s="1"/>
  <c r="AI91" i="11"/>
  <c r="AQ91" i="11" s="1"/>
  <c r="AI21" i="12"/>
  <c r="AI23" i="12" s="1"/>
  <c r="AQ23" i="12" s="1"/>
  <c r="AI23" i="11"/>
  <c r="AQ23" i="11" s="1"/>
  <c r="AI37" i="12"/>
  <c r="AI39" i="12" s="1"/>
  <c r="AQ39" i="12" s="1"/>
  <c r="AI39" i="11"/>
  <c r="AQ39" i="11" s="1"/>
  <c r="AI81" i="12"/>
  <c r="AI83" i="12" s="1"/>
  <c r="AQ83" i="12" s="1"/>
  <c r="AI83" i="11"/>
  <c r="AQ83" i="11" s="1"/>
  <c r="AI5" i="12"/>
  <c r="AI7" i="12" s="1"/>
  <c r="AQ7" i="12" s="1"/>
  <c r="AI7" i="11"/>
  <c r="AQ7" i="11" s="1"/>
  <c r="AJ117" i="12"/>
  <c r="AJ119" i="12" s="1"/>
  <c r="AJ119" i="11"/>
  <c r="AK41" i="12"/>
  <c r="AK43" i="12" s="1"/>
  <c r="AK43" i="11"/>
  <c r="AK33" i="12"/>
  <c r="AK35" i="12" s="1"/>
  <c r="AK35" i="11"/>
  <c r="AK46" i="12"/>
  <c r="AK47" i="12" s="1"/>
  <c r="AK47" i="11"/>
  <c r="AK25" i="12"/>
  <c r="AK27" i="12" s="1"/>
  <c r="AK27" i="11"/>
  <c r="AI45" i="12"/>
  <c r="AI47" i="12" s="1"/>
  <c r="AQ47" i="12" s="1"/>
  <c r="AI47" i="11"/>
  <c r="AQ47" i="11" s="1"/>
  <c r="AI29" i="12"/>
  <c r="AI31" i="12" s="1"/>
  <c r="AQ31" i="12" s="1"/>
  <c r="AI31" i="11"/>
  <c r="AQ31" i="11" s="1"/>
  <c r="AK117" i="12"/>
  <c r="AK119" i="12" s="1"/>
  <c r="AK119" i="11"/>
  <c r="AL113" i="12"/>
  <c r="AL115" i="12" s="1"/>
  <c r="AL115" i="11"/>
  <c r="AJ49" i="12"/>
  <c r="AJ51" i="12" s="1"/>
  <c r="AR51" i="12" s="1"/>
  <c r="AJ51" i="11"/>
  <c r="AR51" i="11" s="1"/>
  <c r="AL45" i="12"/>
  <c r="AL47" i="12" s="1"/>
  <c r="AL47" i="11"/>
  <c r="AI57" i="12"/>
  <c r="AI59" i="12" s="1"/>
  <c r="AQ59" i="12" s="1"/>
  <c r="AI59" i="11"/>
  <c r="AQ59" i="11" s="1"/>
  <c r="AK85" i="12"/>
  <c r="AK87" i="12" s="1"/>
  <c r="AK87" i="11"/>
  <c r="AI73" i="12"/>
  <c r="AI75" i="12" s="1"/>
  <c r="AQ75" i="12" s="1"/>
  <c r="AI75" i="11"/>
  <c r="AQ75" i="11" s="1"/>
  <c r="AL121" i="12"/>
  <c r="AL123" i="12" s="1"/>
  <c r="AL123" i="11"/>
  <c r="AJ71" i="11"/>
  <c r="AR71" i="11" s="1"/>
  <c r="AJ69" i="12"/>
  <c r="AJ71" i="12" s="1"/>
  <c r="AR71" i="12" s="1"/>
  <c r="AI97" i="12"/>
  <c r="AI99" i="12" s="1"/>
  <c r="AQ99" i="12" s="1"/>
  <c r="AI99" i="11"/>
  <c r="AQ99" i="11" s="1"/>
  <c r="AJ53" i="12"/>
  <c r="AJ55" i="12" s="1"/>
  <c r="AR55" i="12" s="1"/>
  <c r="AJ55" i="11"/>
  <c r="AR55" i="11" s="1"/>
  <c r="AK11" i="11"/>
  <c r="AK9" i="12"/>
  <c r="AK11" i="12" s="1"/>
  <c r="AK77" i="12"/>
  <c r="AK79" i="12" s="1"/>
  <c r="AK79" i="11"/>
  <c r="AK17" i="12"/>
  <c r="AK19" i="12" s="1"/>
  <c r="AK19" i="11"/>
  <c r="AL117" i="12"/>
  <c r="AL119" i="12" s="1"/>
  <c r="AL119" i="11"/>
  <c r="AK93" i="12"/>
  <c r="AK95" i="12" s="1"/>
  <c r="AK95" i="11"/>
  <c r="AK61" i="12"/>
  <c r="AK63" i="12" s="1"/>
  <c r="AK63" i="11"/>
  <c r="AK53" i="12"/>
  <c r="AK55" i="12" s="1"/>
  <c r="AK55" i="11"/>
</calcChain>
</file>

<file path=xl/sharedStrings.xml><?xml version="1.0" encoding="utf-8"?>
<sst xmlns="http://schemas.openxmlformats.org/spreadsheetml/2006/main" count="2013" uniqueCount="58">
  <si>
    <t>Planification des absences des employés</t>
  </si>
  <si>
    <t>Dates d’absence</t>
  </si>
  <si>
    <t>Nombre de jours pris</t>
  </si>
  <si>
    <t>Nombre de Jours acquis</t>
  </si>
  <si>
    <t>Solde</t>
  </si>
  <si>
    <t>Nom employé</t>
  </si>
  <si>
    <t>Nombre total de demi-journées</t>
  </si>
  <si>
    <t>CP</t>
  </si>
  <si>
    <t>RTT</t>
  </si>
  <si>
    <t>M</t>
  </si>
  <si>
    <t>A</t>
  </si>
  <si>
    <t>C P Acquis</t>
  </si>
  <si>
    <t>CP en cours sur le mois</t>
  </si>
  <si>
    <t>CP en cours cumulés</t>
  </si>
  <si>
    <t>RTT acquis</t>
  </si>
  <si>
    <t>Matin</t>
  </si>
  <si>
    <t>A-M</t>
  </si>
  <si>
    <t>Clé de couleur</t>
  </si>
  <si>
    <t>Congés</t>
  </si>
  <si>
    <t>Maladie</t>
  </si>
  <si>
    <t>Absence injustifiée</t>
  </si>
  <si>
    <t>Personnalisé 2</t>
  </si>
  <si>
    <t>Nom de l’employé</t>
  </si>
  <si>
    <t>X</t>
  </si>
  <si>
    <t>cp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</si>
  <si>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</si>
  <si>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</si>
  <si>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</si>
  <si>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</si>
  <si>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</si>
  <si>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</si>
  <si>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</si>
  <si>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</si>
  <si>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</si>
  <si>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</si>
  <si>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</si>
  <si>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</si>
  <si>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</si>
  <si>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</si>
  <si>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</si>
  <si>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</si>
  <si>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</si>
  <si>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</si>
  <si>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</si>
  <si>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</si>
  <si>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</si>
  <si>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</si>
  <si>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</si>
  <si>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</si>
  <si>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</si>
  <si>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</si>
  <si>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</si>
  <si>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</si>
  <si>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</si>
  <si>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</si>
  <si>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</si>
  <si>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DATE DE SORTIE et SOLDE CP</t>
  </si>
  <si>
    <t xml:space="preserve">Nombre de Jours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</si>
</sst>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[$-40C]mmm\-yy;@"/>
    <numFmt numFmtId="165" formatCode="d/m/yy;@"/>
    <numFmt numFmtId="166" formatCode="0;0;"/>
    <numFmt numFmtId="167" formatCode="dd/mm/yy;@"/>
    <numFmt numFmtId="168" formatCode="[$-40C]d\-mmm\-yy;@"/>
    <numFmt numFmtId="169" formatCode="0.0"/>
  </numFmts>
  <fonts count="1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6"/>
      <color theme="3"/>
      <name val="Calibri Light"/>
      <family val="2"/>
      <scheme val="major"/>
    </font>
    <font>
      <sz val="11"/>
      <color theme="1"/>
      <name val="Calibri Light"/>
      <family val="2"/>
      <scheme val="major"/>
    </font>
    <font>
      <sz val="10"/>
      <name val="Calibri Light"/>
      <family val="2"/>
      <scheme val="major"/>
    </font>
    <font>
      <b/>
      <sz val="12"/>
      <name val="Calibri Light"/>
      <family val="2"/>
      <scheme val="major"/>
    </font>
    <font>
      <b/>
      <sz val="18"/>
      <color theme="4" tint="-0.249977111117893"/>
      <name val="Calibri Light"/>
      <family val="2"/>
      <scheme val="major"/>
    </font>
    <font>
      <b/>
      <sz val="16"/>
      <color theme="4" tint="-0.249977111117893"/>
      <name val="Calibri Light"/>
      <family val="2"/>
      <scheme val="major"/>
    </font>
    <font>
      <sz val="18"/>
      <color theme="3"/>
      <name val="Calibri"/>
      <family val="2"/>
      <scheme val="minor"/>
    </font>
    <font>
      <b/>
      <sz val="18"/>
      <color theme="4" tint="-0.249977111117893"/>
      <name val="Calibri"/>
      <family val="2"/>
      <scheme val="minor"/>
    </font>
    <font>
      <b/>
      <sz val="10"/>
      <name val="Century Gothic"/>
      <family val="2"/>
    </font>
    <font>
      <sz val="6"/>
      <color theme="4" tint="-0.249977111117893"/>
      <name val="Calibri Light"/>
      <family val="2"/>
      <scheme val="major"/>
    </font>
    <font>
      <sz val="9"/>
      <name val="Calibri"/>
      <family val="2"/>
      <scheme val="minor"/>
    </font>
    <font>
      <sz val="9"/>
      <name val="Century Gothic"/>
      <family val="2"/>
    </font>
    <font>
      <sz val="11"/>
      <color theme="4" tint="-0.249977111117893"/>
      <name val="Calibri"/>
      <family val="2"/>
      <scheme val="minor"/>
    </font>
    <font>
      <sz val="10"/>
      <name val="Century Gothic"/>
      <family val="2"/>
    </font>
    <font>
      <sz val="10.5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0" tint="-4.9989318521683403E-2"/>
        <bgColor theme="4" tint="0.79992065187536243"/>
      </patternFill>
    </fill>
    <fill>
      <patternFill patternType="solid">
        <fgColor theme="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/>
        <bgColor theme="4" tint="0.79992065187536243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theme="0" tint="-0.14996795556505021"/>
      </top>
      <bottom/>
      <diagonal/>
    </border>
    <border>
      <left style="thin">
        <color theme="0"/>
      </left>
      <right/>
      <top/>
      <bottom/>
      <diagonal/>
    </border>
    <border>
      <left/>
      <right/>
      <top style="thin">
        <color theme="2" tint="-9.9917600024414813E-2"/>
      </top>
      <bottom/>
      <diagonal/>
    </border>
    <border>
      <left/>
      <right/>
      <top/>
      <bottom style="thin">
        <color theme="2" tint="-9.9917600024414813E-2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theme="0" tint="-0.24994659260841701"/>
      </left>
      <right/>
      <top/>
      <bottom/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10" fillId="0" borderId="0" applyNumberFormat="0" applyFill="0" applyBorder="0" applyAlignment="0" applyProtection="0"/>
  </cellStyleXfs>
  <cellXfs count="117">
    <xf numFmtId="0" fontId="0" fillId="0" borderId="0" xfId="0"/>
    <xf numFmtId="49" fontId="4" fillId="0" borderId="0" xfId="1" applyNumberFormat="1" applyFont="1" applyFill="1" applyBorder="1" applyAlignment="1" applyProtection="1">
      <alignment vertical="top"/>
    </xf>
    <xf numFmtId="0" fontId="5" fillId="0" borderId="0" xfId="0" applyFont="1" applyBorder="1" applyAlignment="1" applyProtection="1">
      <alignment vertical="top"/>
    </xf>
    <xf numFmtId="0" fontId="6" fillId="0" borderId="0" xfId="0" applyFont="1" applyFill="1" applyAlignment="1" applyProtection="1">
      <alignment vertical="top"/>
    </xf>
    <xf numFmtId="0" fontId="7" fillId="0" borderId="0" xfId="0" applyFont="1" applyBorder="1" applyAlignment="1" applyProtection="1">
      <alignment vertical="top"/>
    </xf>
    <xf numFmtId="0" fontId="5" fillId="0" borderId="0" xfId="0" applyFont="1" applyProtection="1"/>
    <xf numFmtId="0" fontId="6" fillId="0" borderId="0" xfId="0" applyFont="1" applyFill="1" applyAlignment="1" applyProtection="1">
      <alignment horizontal="center" vertical="center"/>
    </xf>
    <xf numFmtId="0" fontId="6" fillId="0" borderId="0" xfId="0" applyFont="1" applyFill="1" applyAlignment="1" applyProtection="1">
      <alignment vertical="center"/>
    </xf>
    <xf numFmtId="0" fontId="6" fillId="0" borderId="0" xfId="0" applyFont="1" applyFill="1" applyAlignment="1" applyProtection="1">
      <alignment vertical="center"/>
      <protection locked="0"/>
    </xf>
    <xf numFmtId="164" fontId="8" fillId="2" borderId="0" xfId="0" applyNumberFormat="1" applyFont="1" applyFill="1" applyBorder="1" applyAlignment="1" applyProtection="1">
      <alignment horizontal="center" vertical="center"/>
    </xf>
    <xf numFmtId="17" fontId="8" fillId="2" borderId="0" xfId="0" applyNumberFormat="1" applyFont="1" applyFill="1" applyBorder="1" applyAlignment="1" applyProtection="1">
      <alignment horizontal="left" vertical="center" indent="1"/>
    </xf>
    <xf numFmtId="0" fontId="9" fillId="2" borderId="0" xfId="0" applyFont="1" applyFill="1" applyBorder="1" applyAlignment="1" applyProtection="1">
      <alignment horizontal="center" vertical="center"/>
    </xf>
    <xf numFmtId="0" fontId="11" fillId="2" borderId="0" xfId="2" applyFont="1" applyFill="1" applyBorder="1" applyAlignment="1" applyProtection="1">
      <alignment horizontal="center" vertical="center" wrapText="1"/>
    </xf>
    <xf numFmtId="0" fontId="12" fillId="3" borderId="1" xfId="0" applyFont="1" applyFill="1" applyBorder="1" applyAlignment="1" applyProtection="1">
      <alignment horizontal="center" vertical="center" wrapText="1"/>
    </xf>
    <xf numFmtId="0" fontId="12" fillId="3" borderId="2" xfId="0" applyFont="1" applyFill="1" applyBorder="1" applyAlignment="1" applyProtection="1">
      <alignment horizontal="center" vertical="center" wrapText="1"/>
    </xf>
    <xf numFmtId="0" fontId="12" fillId="3" borderId="3" xfId="0" applyFont="1" applyFill="1" applyBorder="1" applyAlignment="1" applyProtection="1">
      <alignment horizontal="center" vertical="center" wrapText="1"/>
    </xf>
    <xf numFmtId="0" fontId="12" fillId="3" borderId="1" xfId="0" applyFont="1" applyFill="1" applyBorder="1" applyAlignment="1" applyProtection="1">
      <alignment horizontal="center" vertical="center"/>
    </xf>
    <xf numFmtId="0" fontId="12" fillId="3" borderId="3" xfId="0" applyFont="1" applyFill="1" applyBorder="1" applyAlignment="1" applyProtection="1">
      <alignment horizontal="center" vertical="center"/>
    </xf>
    <xf numFmtId="0" fontId="12" fillId="0" borderId="0" xfId="0" applyFont="1" applyAlignment="1" applyProtection="1">
      <alignment vertical="center"/>
      <protection locked="0"/>
    </xf>
    <xf numFmtId="165" fontId="13" fillId="2" borderId="0" xfId="0" applyNumberFormat="1" applyFont="1" applyFill="1" applyBorder="1" applyAlignment="1" applyProtection="1">
      <alignment vertical="center"/>
    </xf>
    <xf numFmtId="0" fontId="14" fillId="4" borderId="4" xfId="0" applyFont="1" applyFill="1" applyBorder="1" applyAlignment="1" applyProtection="1">
      <alignment horizontal="center"/>
    </xf>
    <xf numFmtId="0" fontId="14" fillId="4" borderId="5" xfId="0" applyFont="1" applyFill="1" applyBorder="1" applyAlignment="1" applyProtection="1">
      <alignment horizontal="center"/>
    </xf>
    <xf numFmtId="0" fontId="12" fillId="3" borderId="6" xfId="0" applyFont="1" applyFill="1" applyBorder="1" applyAlignment="1" applyProtection="1">
      <alignment horizontal="center" vertical="center" wrapText="1"/>
    </xf>
    <xf numFmtId="0" fontId="12" fillId="3" borderId="7" xfId="0" applyFont="1" applyFill="1" applyBorder="1" applyAlignment="1" applyProtection="1">
      <alignment horizontal="center" vertical="center" wrapText="1"/>
    </xf>
    <xf numFmtId="0" fontId="12" fillId="3" borderId="8" xfId="0" applyFont="1" applyFill="1" applyBorder="1" applyAlignment="1" applyProtection="1">
      <alignment horizontal="center" vertical="center" wrapText="1"/>
    </xf>
    <xf numFmtId="0" fontId="12" fillId="3" borderId="6" xfId="0" applyFont="1" applyFill="1" applyBorder="1" applyAlignment="1" applyProtection="1">
      <alignment horizontal="center" vertical="center"/>
    </xf>
    <xf numFmtId="0" fontId="12" fillId="3" borderId="8" xfId="0" applyFont="1" applyFill="1" applyBorder="1" applyAlignment="1" applyProtection="1">
      <alignment horizontal="center" vertical="center"/>
    </xf>
    <xf numFmtId="0" fontId="15" fillId="0" borderId="0" xfId="0" applyFont="1" applyProtection="1">
      <protection locked="0"/>
    </xf>
    <xf numFmtId="49" fontId="0" fillId="0" borderId="9" xfId="0" applyNumberFormat="1" applyFont="1" applyFill="1" applyBorder="1" applyAlignment="1" applyProtection="1">
      <alignment horizontal="left" vertical="center" indent="1"/>
    </xf>
    <xf numFmtId="49" fontId="0" fillId="0" borderId="0" xfId="0" applyNumberFormat="1" applyFont="1" applyFill="1" applyBorder="1" applyAlignment="1" applyProtection="1">
      <alignment horizontal="left" vertical="center" indent="1"/>
    </xf>
    <xf numFmtId="0" fontId="3" fillId="5" borderId="0" xfId="0" applyNumberFormat="1" applyFont="1" applyFill="1" applyBorder="1" applyAlignment="1" applyProtection="1">
      <alignment horizontal="center" vertical="center"/>
    </xf>
    <xf numFmtId="0" fontId="3" fillId="5" borderId="10" xfId="0" applyNumberFormat="1" applyFont="1" applyFill="1" applyBorder="1" applyAlignment="1" applyProtection="1">
      <alignment horizontal="center" vertical="center"/>
    </xf>
    <xf numFmtId="0" fontId="3" fillId="5" borderId="10" xfId="0" applyFont="1" applyFill="1" applyBorder="1" applyAlignment="1" applyProtection="1">
      <alignment horizontal="center" vertical="center"/>
    </xf>
    <xf numFmtId="0" fontId="0" fillId="2" borderId="0" xfId="0" applyFont="1" applyFill="1" applyBorder="1" applyAlignment="1" applyProtection="1">
      <alignment horizontal="center" vertical="center" wrapText="1"/>
    </xf>
    <xf numFmtId="166" fontId="1" fillId="6" borderId="0" xfId="0" applyNumberFormat="1" applyFont="1" applyFill="1" applyBorder="1" applyAlignment="1" applyProtection="1">
      <alignment horizontal="center" vertical="center"/>
    </xf>
    <xf numFmtId="166" fontId="1" fillId="7" borderId="0" xfId="0" applyNumberFormat="1" applyFont="1" applyFill="1" applyBorder="1" applyAlignment="1" applyProtection="1">
      <alignment horizontal="center" vertical="center"/>
    </xf>
    <xf numFmtId="166" fontId="1" fillId="8" borderId="0" xfId="0" applyNumberFormat="1" applyFont="1" applyFill="1" applyBorder="1" applyAlignment="1" applyProtection="1">
      <alignment horizontal="center" vertical="center"/>
    </xf>
    <xf numFmtId="166" fontId="1" fillId="9" borderId="0" xfId="0" applyNumberFormat="1" applyFont="1" applyFill="1" applyBorder="1" applyAlignment="1" applyProtection="1">
      <alignment horizontal="center" vertical="center"/>
    </xf>
    <xf numFmtId="166" fontId="1" fillId="6" borderId="0" xfId="0" applyNumberFormat="1" applyFont="1" applyFill="1" applyBorder="1" applyAlignment="1" applyProtection="1">
      <alignment horizontal="center" vertical="center" wrapText="1"/>
    </xf>
    <xf numFmtId="166" fontId="1" fillId="7" borderId="0" xfId="0" applyNumberFormat="1" applyFont="1" applyFill="1" applyBorder="1" applyAlignment="1" applyProtection="1">
      <alignment horizontal="center" vertical="center" wrapText="1"/>
    </xf>
    <xf numFmtId="0" fontId="15" fillId="0" borderId="0" xfId="0" applyFont="1" applyAlignment="1" applyProtection="1">
      <alignment vertical="center"/>
      <protection locked="0"/>
    </xf>
    <xf numFmtId="49" fontId="2" fillId="2" borderId="11" xfId="0" applyNumberFormat="1" applyFont="1" applyFill="1" applyBorder="1" applyAlignment="1" applyProtection="1">
      <alignment horizontal="center" vertical="center" wrapText="1"/>
      <protection locked="0"/>
    </xf>
    <xf numFmtId="49" fontId="1" fillId="10" borderId="0" xfId="0" applyNumberFormat="1" applyFont="1" applyFill="1" applyBorder="1" applyAlignment="1" applyProtection="1">
      <alignment horizontal="center" vertical="center" wrapText="1"/>
      <protection locked="0"/>
    </xf>
    <xf numFmtId="0" fontId="16" fillId="11" borderId="10" xfId="0" applyFont="1" applyFill="1" applyBorder="1" applyAlignment="1" applyProtection="1">
      <alignment horizontal="center" vertical="center"/>
      <protection locked="0"/>
    </xf>
    <xf numFmtId="166" fontId="0" fillId="0" borderId="9" xfId="0" applyNumberFormat="1" applyFont="1" applyFill="1" applyBorder="1" applyAlignment="1" applyProtection="1">
      <alignment horizontal="center" vertical="center"/>
    </xf>
    <xf numFmtId="0" fontId="0" fillId="4" borderId="0" xfId="0" applyFont="1" applyFill="1" applyBorder="1" applyAlignment="1" applyProtection="1">
      <alignment horizontal="center" vertical="center"/>
    </xf>
    <xf numFmtId="0" fontId="0" fillId="12" borderId="0" xfId="0" applyFont="1" applyFill="1" applyBorder="1" applyAlignment="1" applyProtection="1">
      <alignment horizontal="center" vertical="center"/>
      <protection locked="0"/>
    </xf>
    <xf numFmtId="0" fontId="0" fillId="12" borderId="0" xfId="0" applyFont="1" applyFill="1" applyBorder="1" applyAlignment="1" applyProtection="1">
      <alignment horizontal="center" vertical="center"/>
    </xf>
    <xf numFmtId="165" fontId="2" fillId="2" borderId="12" xfId="0" applyNumberFormat="1" applyFont="1" applyFill="1" applyBorder="1" applyAlignment="1" applyProtection="1">
      <alignment horizontal="center" vertical="center" wrapText="1"/>
      <protection locked="0"/>
    </xf>
    <xf numFmtId="0" fontId="16" fillId="13" borderId="10" xfId="0" applyFont="1" applyFill="1" applyBorder="1" applyAlignment="1" applyProtection="1">
      <alignment horizontal="center" vertical="center"/>
    </xf>
    <xf numFmtId="0" fontId="0" fillId="4" borderId="0" xfId="0" applyFont="1" applyFill="1" applyBorder="1" applyAlignment="1" applyProtection="1">
      <alignment horizontal="center" vertical="center"/>
      <protection locked="0"/>
    </xf>
    <xf numFmtId="2" fontId="0" fillId="4" borderId="0" xfId="0" applyNumberFormat="1" applyFont="1" applyFill="1" applyBorder="1" applyAlignment="1" applyProtection="1">
      <alignment horizontal="center" vertical="center"/>
    </xf>
    <xf numFmtId="49" fontId="1" fillId="14" borderId="11" xfId="0" applyNumberFormat="1" applyFont="1" applyFill="1" applyBorder="1" applyAlignment="1" applyProtection="1">
      <alignment horizontal="center" vertical="center" wrapText="1"/>
      <protection locked="0"/>
    </xf>
    <xf numFmtId="49" fontId="1" fillId="10" borderId="11" xfId="0" applyNumberFormat="1" applyFont="1" applyFill="1" applyBorder="1" applyAlignment="1" applyProtection="1">
      <alignment horizontal="center" vertical="center" wrapText="1"/>
      <protection locked="0"/>
    </xf>
    <xf numFmtId="49" fontId="1" fillId="14" borderId="11" xfId="0" applyNumberFormat="1" applyFont="1" applyFill="1" applyBorder="1" applyAlignment="1" applyProtection="1">
      <alignment horizontal="center" vertical="center" wrapText="1"/>
    </xf>
    <xf numFmtId="49" fontId="1" fillId="14" borderId="0" xfId="0" applyNumberFormat="1" applyFont="1" applyFill="1" applyBorder="1" applyAlignment="1" applyProtection="1">
      <alignment horizontal="center" vertical="center" wrapText="1"/>
    </xf>
    <xf numFmtId="0" fontId="3" fillId="14" borderId="0" xfId="0" applyFont="1" applyFill="1" applyBorder="1" applyAlignment="1" applyProtection="1">
      <alignment horizontal="center" vertical="center"/>
      <protection locked="0"/>
    </xf>
    <xf numFmtId="2" fontId="3" fillId="14" borderId="0" xfId="0" applyNumberFormat="1" applyFont="1" applyFill="1" applyBorder="1" applyAlignment="1" applyProtection="1">
      <alignment horizontal="center" vertical="center"/>
    </xf>
    <xf numFmtId="0" fontId="3" fillId="14" borderId="0" xfId="0" applyFont="1" applyFill="1" applyBorder="1" applyAlignment="1" applyProtection="1">
      <alignment horizontal="center" vertical="center"/>
    </xf>
    <xf numFmtId="2" fontId="0" fillId="12" borderId="0" xfId="0" applyNumberFormat="1" applyFont="1" applyFill="1" applyBorder="1" applyAlignment="1" applyProtection="1">
      <alignment horizontal="center" vertical="center"/>
    </xf>
    <xf numFmtId="49" fontId="2" fillId="14" borderId="11" xfId="0" applyNumberFormat="1" applyFont="1" applyFill="1" applyBorder="1" applyAlignment="1" applyProtection="1">
      <alignment horizontal="center" vertical="center" wrapText="1"/>
      <protection locked="0"/>
    </xf>
    <xf numFmtId="49" fontId="2" fillId="14" borderId="11" xfId="0" applyNumberFormat="1" applyFont="1" applyFill="1" applyBorder="1" applyAlignment="1" applyProtection="1">
      <alignment horizontal="center" vertical="center" wrapText="1"/>
    </xf>
    <xf numFmtId="2" fontId="2" fillId="14" borderId="11" xfId="0" applyNumberFormat="1" applyFont="1" applyFill="1" applyBorder="1" applyAlignment="1" applyProtection="1">
      <alignment horizontal="center" vertical="center" wrapText="1"/>
    </xf>
    <xf numFmtId="0" fontId="17" fillId="0" borderId="0" xfId="0" applyFont="1" applyAlignment="1" applyProtection="1">
      <alignment vertical="center"/>
      <protection locked="0"/>
    </xf>
    <xf numFmtId="49" fontId="2" fillId="14" borderId="0" xfId="0" applyNumberFormat="1" applyFont="1" applyFill="1" applyBorder="1" applyAlignment="1" applyProtection="1">
      <alignment horizontal="center" vertical="center" wrapText="1"/>
      <protection locked="0"/>
    </xf>
    <xf numFmtId="49" fontId="2" fillId="14" borderId="0" xfId="0" applyNumberFormat="1" applyFont="1" applyFill="1" applyBorder="1" applyAlignment="1" applyProtection="1">
      <alignment horizontal="center" vertical="center" wrapText="1"/>
    </xf>
    <xf numFmtId="2" fontId="2" fillId="14" borderId="0" xfId="0" applyNumberFormat="1" applyFont="1" applyFill="1" applyBorder="1" applyAlignment="1" applyProtection="1">
      <alignment horizontal="center" vertical="center" wrapText="1"/>
    </xf>
    <xf numFmtId="0" fontId="16" fillId="11" borderId="0" xfId="0" applyFont="1" applyFill="1" applyBorder="1" applyAlignment="1" applyProtection="1">
      <alignment horizontal="center" vertical="center"/>
      <protection locked="0"/>
    </xf>
    <xf numFmtId="2" fontId="0" fillId="14" borderId="0" xfId="0" applyNumberFormat="1" applyFont="1" applyFill="1" applyBorder="1" applyAlignment="1" applyProtection="1">
      <alignment horizontal="center" vertical="center"/>
    </xf>
    <xf numFmtId="0" fontId="0" fillId="14" borderId="0" xfId="0" applyFont="1" applyFill="1" applyBorder="1" applyAlignment="1" applyProtection="1">
      <alignment horizontal="center" vertical="center"/>
    </xf>
    <xf numFmtId="49" fontId="2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16" fillId="13" borderId="0" xfId="0" applyFont="1" applyFill="1" applyBorder="1" applyAlignment="1" applyProtection="1">
      <alignment horizontal="center" vertical="center"/>
    </xf>
    <xf numFmtId="166" fontId="0" fillId="0" borderId="0" xfId="0" applyNumberFormat="1" applyFont="1" applyFill="1" applyBorder="1" applyAlignment="1" applyProtection="1">
      <alignment horizontal="center" vertical="center"/>
    </xf>
    <xf numFmtId="165" fontId="2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0" fillId="14" borderId="0" xfId="0" applyFont="1" applyFill="1" applyBorder="1" applyAlignment="1" applyProtection="1">
      <alignment horizontal="center" vertical="center"/>
      <protection locked="0"/>
    </xf>
    <xf numFmtId="0" fontId="17" fillId="0" borderId="0" xfId="0" applyFont="1" applyProtection="1">
      <protection locked="0"/>
    </xf>
    <xf numFmtId="0" fontId="17" fillId="15" borderId="0" xfId="0" applyFont="1" applyFill="1" applyProtection="1">
      <protection locked="0"/>
    </xf>
    <xf numFmtId="0" fontId="0" fillId="0" borderId="0" xfId="0" applyFont="1" applyFill="1" applyBorder="1" applyAlignment="1" applyProtection="1">
      <alignment horizontal="center" vertical="center"/>
      <protection locked="0"/>
    </xf>
    <xf numFmtId="0" fontId="0" fillId="15" borderId="0" xfId="0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Font="1" applyFill="1" applyBorder="1" applyAlignment="1" applyProtection="1">
      <alignment horizontal="left" vertical="center"/>
      <protection locked="0"/>
    </xf>
    <xf numFmtId="166" fontId="2" fillId="15" borderId="0" xfId="0" applyNumberFormat="1" applyFont="1" applyFill="1" applyBorder="1" applyAlignment="1" applyProtection="1">
      <alignment vertical="center"/>
      <protection locked="0"/>
    </xf>
    <xf numFmtId="166" fontId="2" fillId="16" borderId="0" xfId="0" applyNumberFormat="1" applyFont="1" applyFill="1" applyBorder="1" applyAlignment="1" applyProtection="1">
      <alignment vertical="center"/>
      <protection locked="0"/>
    </xf>
    <xf numFmtId="166" fontId="0" fillId="16" borderId="0" xfId="0" applyNumberFormat="1" applyFont="1" applyFill="1" applyBorder="1" applyAlignment="1" applyProtection="1">
      <alignment horizontal="center" vertical="center"/>
      <protection locked="0"/>
    </xf>
    <xf numFmtId="166" fontId="1" fillId="6" borderId="0" xfId="0" applyNumberFormat="1" applyFont="1" applyFill="1" applyBorder="1" applyAlignment="1" applyProtection="1">
      <alignment horizontal="center" vertical="center"/>
      <protection locked="0"/>
    </xf>
    <xf numFmtId="166" fontId="0" fillId="17" borderId="0" xfId="0" applyNumberFormat="1" applyFont="1" applyFill="1" applyBorder="1" applyAlignment="1" applyProtection="1">
      <alignment horizontal="left" vertical="center"/>
      <protection locked="0"/>
    </xf>
    <xf numFmtId="0" fontId="17" fillId="17" borderId="0" xfId="0" applyFont="1" applyFill="1" applyAlignment="1" applyProtection="1">
      <alignment vertical="center"/>
      <protection locked="0"/>
    </xf>
    <xf numFmtId="166" fontId="1" fillId="7" borderId="0" xfId="0" applyNumberFormat="1" applyFont="1" applyFill="1" applyBorder="1" applyAlignment="1" applyProtection="1">
      <alignment horizontal="center" vertical="center"/>
      <protection locked="0"/>
    </xf>
    <xf numFmtId="166" fontId="1" fillId="8" borderId="0" xfId="0" applyNumberFormat="1" applyFont="1" applyFill="1" applyBorder="1" applyAlignment="1" applyProtection="1">
      <alignment horizontal="center" vertical="center"/>
      <protection locked="0"/>
    </xf>
    <xf numFmtId="166" fontId="1" fillId="9" borderId="0" xfId="0" applyNumberFormat="1" applyFont="1" applyFill="1" applyBorder="1" applyAlignment="1" applyProtection="1">
      <alignment horizontal="center" vertical="center"/>
      <protection locked="0"/>
    </xf>
    <xf numFmtId="166" fontId="18" fillId="17" borderId="0" xfId="0" applyNumberFormat="1" applyFont="1" applyFill="1" applyBorder="1" applyAlignment="1" applyProtection="1">
      <alignment horizontal="left" vertical="center"/>
      <protection locked="0"/>
    </xf>
    <xf numFmtId="166" fontId="0" fillId="17" borderId="0" xfId="0" applyNumberFormat="1" applyFont="1" applyFill="1" applyBorder="1" applyAlignment="1" applyProtection="1">
      <alignment horizontal="center" vertical="center"/>
      <protection locked="0"/>
    </xf>
    <xf numFmtId="166" fontId="1" fillId="12" borderId="0" xfId="0" applyNumberFormat="1" applyFont="1" applyFill="1" applyBorder="1" applyAlignment="1" applyProtection="1">
      <alignment horizontal="center" vertical="center"/>
      <protection locked="0"/>
    </xf>
    <xf numFmtId="0" fontId="17" fillId="0" borderId="0" xfId="0" applyFont="1" applyAlignment="1" applyProtection="1">
      <alignment horizontal="center"/>
      <protection locked="0"/>
    </xf>
    <xf numFmtId="0" fontId="17" fillId="0" borderId="0" xfId="0" applyFont="1" applyAlignment="1" applyProtection="1">
      <alignment horizontal="right" indent="2"/>
      <protection locked="0"/>
    </xf>
    <xf numFmtId="0" fontId="0" fillId="15" borderId="0" xfId="0" applyFill="1" applyProtection="1">
      <protection locked="0"/>
    </xf>
    <xf numFmtId="49" fontId="17" fillId="0" borderId="0" xfId="0" applyNumberFormat="1" applyFont="1" applyProtection="1">
      <protection locked="0"/>
    </xf>
    <xf numFmtId="17" fontId="8" fillId="2" borderId="0" xfId="0" applyNumberFormat="1" applyFont="1" applyFill="1" applyBorder="1" applyAlignment="1" applyProtection="1">
      <alignment horizontal="center" vertical="center"/>
    </xf>
    <xf numFmtId="167" fontId="13" fillId="2" borderId="0" xfId="0" applyNumberFormat="1" applyFont="1" applyFill="1" applyBorder="1" applyAlignment="1" applyProtection="1">
      <alignment vertical="center"/>
    </xf>
    <xf numFmtId="0" fontId="3" fillId="5" borderId="0" xfId="0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horizontal="center" vertical="center"/>
      <protection locked="0"/>
    </xf>
    <xf numFmtId="168" fontId="15" fillId="0" borderId="13" xfId="0" applyNumberFormat="1" applyFont="1" applyBorder="1" applyAlignment="1" applyProtection="1">
      <alignment horizontal="center" vertical="center"/>
      <protection locked="0"/>
    </xf>
    <xf numFmtId="4" fontId="15" fillId="0" borderId="14" xfId="0" applyNumberFormat="1" applyFont="1" applyBorder="1" applyAlignment="1" applyProtection="1">
      <alignment horizontal="center" vertical="center"/>
      <protection locked="0"/>
    </xf>
    <xf numFmtId="49" fontId="2" fillId="0" borderId="9" xfId="0" applyNumberFormat="1" applyFont="1" applyFill="1" applyBorder="1" applyAlignment="1" applyProtection="1">
      <alignment horizontal="center" vertical="center"/>
    </xf>
    <xf numFmtId="17" fontId="8" fillId="2" borderId="0" xfId="0" applyNumberFormat="1" applyFont="1" applyFill="1" applyBorder="1" applyAlignment="1" applyProtection="1">
      <alignment horizontal="center" vertical="center"/>
    </xf>
    <xf numFmtId="167" fontId="13" fillId="2" borderId="0" xfId="0" applyNumberFormat="1" applyFont="1" applyFill="1" applyBorder="1" applyAlignment="1" applyProtection="1"/>
    <xf numFmtId="0" fontId="3" fillId="6" borderId="10" xfId="0" applyFont="1" applyFill="1" applyBorder="1" applyAlignment="1" applyProtection="1">
      <alignment horizontal="center" vertical="center"/>
      <protection locked="0"/>
    </xf>
    <xf numFmtId="0" fontId="3" fillId="18" borderId="10" xfId="0" applyFont="1" applyFill="1" applyBorder="1" applyAlignment="1" applyProtection="1">
      <alignment horizontal="center" vertical="center"/>
    </xf>
    <xf numFmtId="0" fontId="3" fillId="6" borderId="0" xfId="0" applyFont="1" applyFill="1" applyBorder="1" applyAlignment="1" applyProtection="1">
      <alignment horizontal="center" vertical="center"/>
      <protection locked="0"/>
    </xf>
    <xf numFmtId="17" fontId="8" fillId="2" borderId="0" xfId="0" applyNumberFormat="1" applyFont="1" applyFill="1" applyBorder="1" applyAlignment="1" applyProtection="1">
      <alignment horizontal="center"/>
    </xf>
    <xf numFmtId="167" fontId="13" fillId="2" borderId="0" xfId="0" applyNumberFormat="1" applyFont="1" applyFill="1" applyBorder="1" applyAlignment="1" applyProtection="1">
      <alignment horizontal="right"/>
    </xf>
    <xf numFmtId="0" fontId="14" fillId="4" borderId="15" xfId="0" applyFont="1" applyFill="1" applyBorder="1" applyAlignment="1" applyProtection="1">
      <alignment horizontal="center"/>
    </xf>
    <xf numFmtId="2" fontId="0" fillId="4" borderId="0" xfId="0" applyNumberFormat="1" applyFont="1" applyFill="1" applyBorder="1" applyAlignment="1" applyProtection="1">
      <alignment horizontal="center" vertical="center"/>
      <protection locked="0"/>
    </xf>
    <xf numFmtId="0" fontId="16" fillId="13" borderId="10" xfId="0" applyFont="1" applyFill="1" applyBorder="1" applyAlignment="1" applyProtection="1">
      <alignment horizontal="center" vertical="center"/>
      <protection locked="0"/>
    </xf>
    <xf numFmtId="167" fontId="13" fillId="2" borderId="0" xfId="0" applyNumberFormat="1" applyFont="1" applyFill="1" applyBorder="1" applyAlignment="1" applyProtection="1">
      <alignment horizontal="right" vertical="center"/>
    </xf>
    <xf numFmtId="169" fontId="0" fillId="4" borderId="0" xfId="0" applyNumberFormat="1" applyFont="1" applyFill="1" applyBorder="1" applyAlignment="1" applyProtection="1">
      <alignment horizontal="center" vertical="center"/>
    </xf>
    <xf numFmtId="49" fontId="1" fillId="10" borderId="0" xfId="0" applyNumberFormat="1" applyFont="1" applyFill="1" applyBorder="1" applyAlignment="1" applyProtection="1">
      <alignment horizontal="center" vertical="center" wrapText="1"/>
    </xf>
  </cellXfs>
  <cellStyles count="3">
    <cellStyle name="Normal" xfId="0" builtinId="0"/>
    <cellStyle name="Titre" xfId="1" builtinId="15"/>
    <cellStyle name="Titre 1" xfId="2" builtinId="16"/>
  </cellStyles>
  <dxfs count="18405"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85725</xdr:colOff>
      <xdr:row>1</xdr:row>
      <xdr:rowOff>9525</xdr:rowOff>
    </xdr:from>
    <xdr:to>
      <xdr:col>33</xdr:col>
      <xdr:colOff>114300</xdr:colOff>
      <xdr:row>1</xdr:row>
      <xdr:rowOff>333375</xdr:rowOff>
    </xdr:to>
    <xdr:sp macro="" textlink="">
      <xdr:nvSpPr>
        <xdr:cNvPr id="2" name="Note d’entrée de données" descr="Entrer l’année : tapez l’année dans la cellule AG2" title="Conseil de saisie de données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 txBox="1"/>
      </xdr:nvSpPr>
      <xdr:spPr>
        <a:xfrm>
          <a:off x="9629775" y="647700"/>
          <a:ext cx="1390650" cy="323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000">
              <a:solidFill>
                <a:schemeClr val="accent1">
                  <a:lumMod val="75000"/>
                </a:schemeClr>
              </a:solidFill>
            </a:rPr>
            <a:t>Entrer l’année :	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85725</xdr:colOff>
      <xdr:row>1</xdr:row>
      <xdr:rowOff>9525</xdr:rowOff>
    </xdr:from>
    <xdr:to>
      <xdr:col>33</xdr:col>
      <xdr:colOff>114300</xdr:colOff>
      <xdr:row>1</xdr:row>
      <xdr:rowOff>333375</xdr:rowOff>
    </xdr:to>
    <xdr:sp macro="" textlink="">
      <xdr:nvSpPr>
        <xdr:cNvPr id="2" name="Note d’entrée de données" descr="Entrer l’année : tapez l’année dans la cellule AG2" title="Conseil de saisie de données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 txBox="1"/>
      </xdr:nvSpPr>
      <xdr:spPr>
        <a:xfrm>
          <a:off x="9124950" y="647700"/>
          <a:ext cx="1390650" cy="323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000">
              <a:solidFill>
                <a:schemeClr val="accent1">
                  <a:lumMod val="75000"/>
                </a:schemeClr>
              </a:solidFill>
            </a:rPr>
            <a:t>Entrer l’année :	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85725</xdr:colOff>
      <xdr:row>1</xdr:row>
      <xdr:rowOff>9525</xdr:rowOff>
    </xdr:from>
    <xdr:to>
      <xdr:col>33</xdr:col>
      <xdr:colOff>114300</xdr:colOff>
      <xdr:row>1</xdr:row>
      <xdr:rowOff>333375</xdr:rowOff>
    </xdr:to>
    <xdr:sp macro="" textlink="">
      <xdr:nvSpPr>
        <xdr:cNvPr id="2" name="Note d’entrée de données" descr="Entrer l’année : tapez l’année dans la cellule AG2" title="Conseil de saisie de données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 txBox="1"/>
      </xdr:nvSpPr>
      <xdr:spPr>
        <a:xfrm>
          <a:off x="9124950" y="647700"/>
          <a:ext cx="1390650" cy="323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000">
              <a:solidFill>
                <a:schemeClr val="accent1">
                  <a:lumMod val="75000"/>
                </a:schemeClr>
              </a:solidFill>
            </a:rPr>
            <a:t>Entrer l’année :	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85725</xdr:colOff>
      <xdr:row>1</xdr:row>
      <xdr:rowOff>9525</xdr:rowOff>
    </xdr:from>
    <xdr:to>
      <xdr:col>33</xdr:col>
      <xdr:colOff>114300</xdr:colOff>
      <xdr:row>1</xdr:row>
      <xdr:rowOff>333375</xdr:rowOff>
    </xdr:to>
    <xdr:sp macro="" textlink="">
      <xdr:nvSpPr>
        <xdr:cNvPr id="2" name="Note d’entrée de données" descr="Entrer l’année : tapez l’année dans la cellule AG2" title="Conseil de saisie de données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 txBox="1"/>
      </xdr:nvSpPr>
      <xdr:spPr>
        <a:xfrm>
          <a:off x="9124950" y="647700"/>
          <a:ext cx="1390650" cy="323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000">
              <a:solidFill>
                <a:schemeClr val="accent1">
                  <a:lumMod val="75000"/>
                </a:schemeClr>
              </a:solidFill>
            </a:rPr>
            <a:t>Entrer l’année :	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85725</xdr:colOff>
      <xdr:row>1</xdr:row>
      <xdr:rowOff>9525</xdr:rowOff>
    </xdr:from>
    <xdr:to>
      <xdr:col>33</xdr:col>
      <xdr:colOff>114300</xdr:colOff>
      <xdr:row>1</xdr:row>
      <xdr:rowOff>333375</xdr:rowOff>
    </xdr:to>
    <xdr:sp macro="" textlink="">
      <xdr:nvSpPr>
        <xdr:cNvPr id="2" name="Note d’entrée de données" descr="Entrer l’année : tapez l’année dans la cellule AG2" title="Conseil de saisie de données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 txBox="1"/>
      </xdr:nvSpPr>
      <xdr:spPr>
        <a:xfrm>
          <a:off x="9124950" y="647700"/>
          <a:ext cx="1390650" cy="323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000">
              <a:solidFill>
                <a:schemeClr val="accent1">
                  <a:lumMod val="75000"/>
                </a:schemeClr>
              </a:solidFill>
            </a:rPr>
            <a:t>Entrer l’année :	</a:t>
          </a:r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85725</xdr:colOff>
      <xdr:row>1</xdr:row>
      <xdr:rowOff>9525</xdr:rowOff>
    </xdr:from>
    <xdr:to>
      <xdr:col>33</xdr:col>
      <xdr:colOff>114300</xdr:colOff>
      <xdr:row>1</xdr:row>
      <xdr:rowOff>333375</xdr:rowOff>
    </xdr:to>
    <xdr:sp macro="" textlink="">
      <xdr:nvSpPr>
        <xdr:cNvPr id="2" name="Note d’entrée de données" descr="Entrer l’année : tapez l’année dans la cellule AG2" title="Conseil de saisie de données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SpPr txBox="1"/>
      </xdr:nvSpPr>
      <xdr:spPr>
        <a:xfrm>
          <a:off x="9124950" y="647700"/>
          <a:ext cx="1390650" cy="323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000">
              <a:solidFill>
                <a:schemeClr val="accent1">
                  <a:lumMod val="75000"/>
                </a:schemeClr>
              </a:solidFill>
            </a:rPr>
            <a:t>Entrer l’année :	</a:t>
          </a:r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85725</xdr:colOff>
      <xdr:row>1</xdr:row>
      <xdr:rowOff>9525</xdr:rowOff>
    </xdr:from>
    <xdr:to>
      <xdr:col>33</xdr:col>
      <xdr:colOff>114300</xdr:colOff>
      <xdr:row>1</xdr:row>
      <xdr:rowOff>333375</xdr:rowOff>
    </xdr:to>
    <xdr:sp macro="" textlink="">
      <xdr:nvSpPr>
        <xdr:cNvPr id="2" name="Note d’entrée de données" descr="Entrer l’année : tapez l’année dans la cellule AG2" title="Conseil de saisie de données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SpPr txBox="1"/>
      </xdr:nvSpPr>
      <xdr:spPr>
        <a:xfrm>
          <a:off x="9124950" y="647700"/>
          <a:ext cx="1390650" cy="323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000">
              <a:solidFill>
                <a:schemeClr val="accent1">
                  <a:lumMod val="75000"/>
                </a:schemeClr>
              </a:solidFill>
            </a:rPr>
            <a:t>Entrer l’année :	</a:t>
          </a:r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85725</xdr:colOff>
      <xdr:row>1</xdr:row>
      <xdr:rowOff>9525</xdr:rowOff>
    </xdr:from>
    <xdr:to>
      <xdr:col>33</xdr:col>
      <xdr:colOff>114300</xdr:colOff>
      <xdr:row>1</xdr:row>
      <xdr:rowOff>333375</xdr:rowOff>
    </xdr:to>
    <xdr:sp macro="" textlink="">
      <xdr:nvSpPr>
        <xdr:cNvPr id="2" name="Note d’entrée de données" descr="Entrer l’année : tapez l’année dans la cellule AG2" title="Conseil de saisie de données">
          <a:extLst>
            <a:ext uri="{FF2B5EF4-FFF2-40B4-BE49-F238E27FC236}">
              <a16:creationId xmlns:a16="http://schemas.microsoft.com/office/drawing/2014/main" xmlns="" id="{00000000-0008-0000-0800-000002000000}"/>
            </a:ext>
          </a:extLst>
        </xdr:cNvPr>
        <xdr:cNvSpPr txBox="1"/>
      </xdr:nvSpPr>
      <xdr:spPr>
        <a:xfrm>
          <a:off x="9153525" y="647700"/>
          <a:ext cx="1390650" cy="323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000">
              <a:solidFill>
                <a:schemeClr val="accent1">
                  <a:lumMod val="75000"/>
                </a:schemeClr>
              </a:solidFill>
            </a:rPr>
            <a:t>Entrer l’année :	</a:t>
          </a:r>
        </a:p>
      </xdr:txBody>
    </xdr:sp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85725</xdr:colOff>
      <xdr:row>1</xdr:row>
      <xdr:rowOff>9525</xdr:rowOff>
    </xdr:from>
    <xdr:to>
      <xdr:col>33</xdr:col>
      <xdr:colOff>114300</xdr:colOff>
      <xdr:row>1</xdr:row>
      <xdr:rowOff>333375</xdr:rowOff>
    </xdr:to>
    <xdr:sp macro="" textlink="">
      <xdr:nvSpPr>
        <xdr:cNvPr id="2" name="Note d’entrée de données" descr="Entrer l’année : tapez l’année dans la cellule AG2" title="Conseil de saisie de données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SpPr txBox="1"/>
      </xdr:nvSpPr>
      <xdr:spPr>
        <a:xfrm>
          <a:off x="9124950" y="647700"/>
          <a:ext cx="1390650" cy="323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000">
              <a:solidFill>
                <a:schemeClr val="accent1">
                  <a:lumMod val="75000"/>
                </a:schemeClr>
              </a:solidFill>
            </a:rPr>
            <a:t>Entrer l’année :	</a:t>
          </a:r>
        </a:p>
      </xdr:txBody>
    </xdr:sp>
    <xdr:clientData fPrintsWithSheet="0"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85725</xdr:colOff>
      <xdr:row>1</xdr:row>
      <xdr:rowOff>9525</xdr:rowOff>
    </xdr:from>
    <xdr:to>
      <xdr:col>33</xdr:col>
      <xdr:colOff>114300</xdr:colOff>
      <xdr:row>1</xdr:row>
      <xdr:rowOff>333375</xdr:rowOff>
    </xdr:to>
    <xdr:sp macro="" textlink="">
      <xdr:nvSpPr>
        <xdr:cNvPr id="2" name="Note d’entrée de données" descr="Entrer l’année : tapez l’année dans la cellule AG2" title="Conseil de saisie de données">
          <a:extLst>
            <a:ext uri="{FF2B5EF4-FFF2-40B4-BE49-F238E27FC236}">
              <a16:creationId xmlns:a16="http://schemas.microsoft.com/office/drawing/2014/main" xmlns="" id="{00000000-0008-0000-0A00-000002000000}"/>
            </a:ext>
          </a:extLst>
        </xdr:cNvPr>
        <xdr:cNvSpPr txBox="1"/>
      </xdr:nvSpPr>
      <xdr:spPr>
        <a:xfrm>
          <a:off x="9124950" y="647700"/>
          <a:ext cx="1390650" cy="323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000">
              <a:solidFill>
                <a:schemeClr val="accent1">
                  <a:lumMod val="75000"/>
                </a:schemeClr>
              </a:solidFill>
            </a:rPr>
            <a:t>Entrer l’année :	</a:t>
          </a:r>
        </a:p>
      </xdr:txBody>
    </xdr:sp>
    <xdr:clientData fPrintsWithSheet="0"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85725</xdr:colOff>
      <xdr:row>1</xdr:row>
      <xdr:rowOff>9525</xdr:rowOff>
    </xdr:from>
    <xdr:to>
      <xdr:col>33</xdr:col>
      <xdr:colOff>114300</xdr:colOff>
      <xdr:row>1</xdr:row>
      <xdr:rowOff>333375</xdr:rowOff>
    </xdr:to>
    <xdr:sp macro="" textlink="">
      <xdr:nvSpPr>
        <xdr:cNvPr id="2" name="Note d’entrée de données" descr="Entrer l’année : tapez l’année dans la cellule AG2" title="Conseil de saisie de données">
          <a:extLst>
            <a:ext uri="{FF2B5EF4-FFF2-40B4-BE49-F238E27FC236}">
              <a16:creationId xmlns:a16="http://schemas.microsoft.com/office/drawing/2014/main" xmlns="" id="{00000000-0008-0000-0B00-000002000000}"/>
            </a:ext>
          </a:extLst>
        </xdr:cNvPr>
        <xdr:cNvSpPr txBox="1"/>
      </xdr:nvSpPr>
      <xdr:spPr>
        <a:xfrm>
          <a:off x="9124950" y="647700"/>
          <a:ext cx="1390650" cy="323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000">
              <a:solidFill>
                <a:schemeClr val="accent1">
                  <a:lumMod val="75000"/>
                </a:schemeClr>
              </a:solidFill>
            </a:rPr>
            <a:t>Entrer l’année :	</a:t>
          </a:r>
        </a:p>
      </xdr:txBody>
    </xdr:sp>
    <xdr:clientData fPrintsWithSheet="0"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85725</xdr:colOff>
      <xdr:row>1</xdr:row>
      <xdr:rowOff>9525</xdr:rowOff>
    </xdr:from>
    <xdr:to>
      <xdr:col>33</xdr:col>
      <xdr:colOff>114300</xdr:colOff>
      <xdr:row>1</xdr:row>
      <xdr:rowOff>333375</xdr:rowOff>
    </xdr:to>
    <xdr:sp macro="" textlink="">
      <xdr:nvSpPr>
        <xdr:cNvPr id="2" name="Note d’entrée de données" descr="Entrer l’année : tapez l’année dans la cellule AG2" title="Conseil de saisie de données">
          <a:extLst>
            <a:ext uri="{FF2B5EF4-FFF2-40B4-BE49-F238E27FC236}">
              <a16:creationId xmlns:a16="http://schemas.microsoft.com/office/drawing/2014/main" xmlns="" id="{00000000-0008-0000-0C00-000002000000}"/>
            </a:ext>
          </a:extLst>
        </xdr:cNvPr>
        <xdr:cNvSpPr txBox="1"/>
      </xdr:nvSpPr>
      <xdr:spPr>
        <a:xfrm>
          <a:off x="9124950" y="647700"/>
          <a:ext cx="1390650" cy="323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000">
              <a:solidFill>
                <a:schemeClr val="accent1">
                  <a:lumMod val="75000"/>
                </a:schemeClr>
              </a:solidFill>
            </a:rPr>
            <a:t>Entrer l’année :	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estion%20des%20Cong&#233;s%20et%20RTT%20fichier%205%20d&#233;c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isir une absence"/>
      <sheetName val="Juin"/>
      <sheetName val="Juillet"/>
      <sheetName val="Août"/>
      <sheetName val="Septembre"/>
      <sheetName val="Octobre"/>
      <sheetName val="Novembre"/>
      <sheetName val="Décembre"/>
      <sheetName val="Janvier"/>
      <sheetName val="Février"/>
      <sheetName val="Mars"/>
      <sheetName val="Avril"/>
      <sheetName val="Mai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2" tint="-0.89999084444715716"/>
  </sheetPr>
  <dimension ref="A1:AS1514"/>
  <sheetViews>
    <sheetView showGridLines="0" topLeftCell="M1" zoomScaleNormal="100" workbookViewId="0">
      <pane ySplit="4" topLeftCell="A5" activePane="bottomLeft" state="frozenSplit"/>
      <selection activeCell="AO7" sqref="AO7"/>
      <selection pane="bottomLeft" activeCell="AO7" sqref="AO7"/>
    </sheetView>
  </sheetViews>
  <sheetFormatPr baseColWidth="10" defaultColWidth="9.140625" defaultRowHeight="15" customHeight="1" x14ac:dyDescent="0.25"/>
  <cols>
    <col min="1" max="1" width="31.85546875" style="96" customWidth="1"/>
    <col min="2" max="2" width="6" style="96" customWidth="1"/>
    <col min="3" max="22" width="4" style="93" customWidth="1"/>
    <col min="23" max="23" width="4.42578125" style="93" customWidth="1"/>
    <col min="24" max="26" width="4" style="93" customWidth="1"/>
    <col min="27" max="27" width="4.42578125" style="93" customWidth="1"/>
    <col min="28" max="28" width="4.42578125" style="93" bestFit="1" customWidth="1"/>
    <col min="29" max="32" width="4" style="93" customWidth="1"/>
    <col min="33" max="33" width="4.42578125" style="93" bestFit="1" customWidth="1"/>
    <col min="34" max="34" width="10.7109375" style="94" customWidth="1"/>
    <col min="35" max="35" width="5.5703125" style="93" customWidth="1"/>
    <col min="36" max="36" width="5" style="75" customWidth="1"/>
    <col min="37" max="37" width="4.7109375" style="75" customWidth="1"/>
    <col min="38" max="38" width="4.5703125" style="75" customWidth="1"/>
    <col min="39" max="39" width="6.5703125" style="75" customWidth="1"/>
    <col min="40" max="40" width="9.85546875" style="75" customWidth="1"/>
    <col min="41" max="41" width="7.85546875" style="75" customWidth="1"/>
    <col min="42" max="42" width="4.7109375" style="75" customWidth="1"/>
    <col min="43" max="43" width="6" style="75" customWidth="1"/>
    <col min="44" max="44" width="7.7109375" style="75" customWidth="1"/>
    <col min="45" max="16384" width="9.140625" style="75"/>
  </cols>
  <sheetData>
    <row r="1" spans="1:45" s="8" customFormat="1" ht="50.25" customHeight="1" thickBot="1" x14ac:dyDescent="0.3">
      <c r="A1" s="1" t="s">
        <v>0</v>
      </c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3"/>
      <c r="AE1" s="3"/>
      <c r="AF1" s="4"/>
      <c r="AG1" s="5"/>
      <c r="AH1" s="5"/>
      <c r="AI1" s="6"/>
      <c r="AJ1" s="7"/>
      <c r="AK1" s="7"/>
      <c r="AL1" s="7"/>
      <c r="AM1" s="7"/>
      <c r="AN1" s="7"/>
      <c r="AO1" s="7"/>
      <c r="AP1" s="7"/>
      <c r="AQ1" s="7"/>
      <c r="AR1" s="7"/>
    </row>
    <row r="2" spans="1:45" s="18" customFormat="1" ht="30" customHeight="1" x14ac:dyDescent="0.25">
      <c r="A2" s="9">
        <v>42916</v>
      </c>
      <c r="B2" s="10"/>
      <c r="C2" s="11" t="s">
        <v>1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2">
        <v>2017</v>
      </c>
      <c r="AI2" s="13" t="s">
        <v>2</v>
      </c>
      <c r="AJ2" s="14"/>
      <c r="AK2" s="14"/>
      <c r="AL2" s="15"/>
      <c r="AM2" s="13" t="s">
        <v>3</v>
      </c>
      <c r="AN2" s="14"/>
      <c r="AO2" s="14"/>
      <c r="AP2" s="15"/>
      <c r="AQ2" s="16" t="s">
        <v>4</v>
      </c>
      <c r="AR2" s="17"/>
    </row>
    <row r="3" spans="1:45" s="27" customFormat="1" ht="15.75" customHeight="1" thickBot="1" x14ac:dyDescent="0.35">
      <c r="A3" s="19">
        <v>42887</v>
      </c>
      <c r="B3" s="10"/>
      <c r="C3" s="20" t="str">
        <f>TEXT(WEEKDAY(DATE(CalendrierAnnée,6,1),1),"jjj")</f>
        <v>jeu</v>
      </c>
      <c r="D3" s="20" t="str">
        <f>TEXT(WEEKDAY(DATE(CalendrierAnnée,6,2),1),"jjj")</f>
        <v>ven</v>
      </c>
      <c r="E3" s="21" t="str">
        <f>TEXT(WEEKDAY(DATE(CalendrierAnnée,6,3),1),"jjj")</f>
        <v>sam</v>
      </c>
      <c r="F3" s="21" t="str">
        <f>TEXT(WEEKDAY(DATE(CalendrierAnnée,6,4),1),"jjj")</f>
        <v>dim</v>
      </c>
      <c r="G3" s="21" t="str">
        <f>TEXT(WEEKDAY(DATE(CalendrierAnnée,6,5),1),"jjj")</f>
        <v>lun</v>
      </c>
      <c r="H3" s="21" t="str">
        <f>TEXT(WEEKDAY(DATE(CalendrierAnnée,6,6),1),"jjj")</f>
        <v>mar</v>
      </c>
      <c r="I3" s="21" t="str">
        <f>TEXT(WEEKDAY(DATE(CalendrierAnnée,6,7),1),"jjj")</f>
        <v>mer</v>
      </c>
      <c r="J3" s="21" t="str">
        <f>TEXT(WEEKDAY(DATE(CalendrierAnnée,6,8),1),"jjj")</f>
        <v>jeu</v>
      </c>
      <c r="K3" s="21" t="str">
        <f>TEXT(WEEKDAY(DATE(CalendrierAnnée,6,9),1),"jjj")</f>
        <v>ven</v>
      </c>
      <c r="L3" s="21" t="str">
        <f>TEXT(WEEKDAY(DATE(CalendrierAnnée,6,10),1),"jjj")</f>
        <v>sam</v>
      </c>
      <c r="M3" s="21" t="str">
        <f>TEXT(WEEKDAY(DATE(CalendrierAnnée,6,11),1),"jjj")</f>
        <v>dim</v>
      </c>
      <c r="N3" s="21" t="str">
        <f>TEXT(WEEKDAY(DATE(CalendrierAnnée,6,12),1),"jjj")</f>
        <v>lun</v>
      </c>
      <c r="O3" s="21" t="str">
        <f>TEXT(WEEKDAY(DATE(CalendrierAnnée,6,13),1),"jjj")</f>
        <v>mar</v>
      </c>
      <c r="P3" s="21" t="str">
        <f>TEXT(WEEKDAY(DATE(CalendrierAnnée,6,14),1),"jjj")</f>
        <v>mer</v>
      </c>
      <c r="Q3" s="21" t="str">
        <f>TEXT(WEEKDAY(DATE(CalendrierAnnée,6,15),1),"jjj")</f>
        <v>jeu</v>
      </c>
      <c r="R3" s="21" t="str">
        <f>TEXT(WEEKDAY(DATE(CalendrierAnnée,6,16),1),"jjj")</f>
        <v>ven</v>
      </c>
      <c r="S3" s="21" t="str">
        <f>TEXT(WEEKDAY(DATE(CalendrierAnnée,6,17),1),"jjj")</f>
        <v>sam</v>
      </c>
      <c r="T3" s="21" t="str">
        <f>TEXT(WEEKDAY(DATE(CalendrierAnnée,6,18),1),"jjj")</f>
        <v>dim</v>
      </c>
      <c r="U3" s="21" t="str">
        <f>TEXT(WEEKDAY(DATE(CalendrierAnnée,6,19),1),"jjj")</f>
        <v>lun</v>
      </c>
      <c r="V3" s="21" t="str">
        <f>TEXT(WEEKDAY(DATE(CalendrierAnnée,6,20),1),"jjj")</f>
        <v>mar</v>
      </c>
      <c r="W3" s="21" t="str">
        <f>TEXT(WEEKDAY(DATE(CalendrierAnnée,6,21),1),"jjj")</f>
        <v>mer</v>
      </c>
      <c r="X3" s="21" t="str">
        <f>TEXT(WEEKDAY(DATE(CalendrierAnnée,6,22),1),"jjj")</f>
        <v>jeu</v>
      </c>
      <c r="Y3" s="21" t="str">
        <f>TEXT(WEEKDAY(DATE(CalendrierAnnée,6,23),1),"jjj")</f>
        <v>ven</v>
      </c>
      <c r="Z3" s="21" t="str">
        <f>TEXT(WEEKDAY(DATE(CalendrierAnnée,6,24),1),"jjj")</f>
        <v>sam</v>
      </c>
      <c r="AA3" s="21" t="str">
        <f>TEXT(WEEKDAY(DATE(CalendrierAnnée,6,25),1),"jjj")</f>
        <v>dim</v>
      </c>
      <c r="AB3" s="21" t="str">
        <f>TEXT(WEEKDAY(DATE(CalendrierAnnée,6,26),1),"jjj")</f>
        <v>lun</v>
      </c>
      <c r="AC3" s="21" t="str">
        <f>TEXT(WEEKDAY(DATE(CalendrierAnnée,6,27),1),"jjj")</f>
        <v>mar</v>
      </c>
      <c r="AD3" s="21" t="str">
        <f>TEXT(WEEKDAY(DATE(CalendrierAnnée,6,28),1),"jjj")</f>
        <v>mer</v>
      </c>
      <c r="AE3" s="21" t="str">
        <f>TEXT(WEEKDAY(DATE(CalendrierAnnée,6,29),1),"jjj")</f>
        <v>jeu</v>
      </c>
      <c r="AF3" s="21" t="str">
        <f>TEXT(WEEKDAY(DATE(CalendrierAnnée,6,30),1),"jjj")</f>
        <v>ven</v>
      </c>
      <c r="AG3" s="21"/>
      <c r="AH3" s="12"/>
      <c r="AI3" s="22"/>
      <c r="AJ3" s="23"/>
      <c r="AK3" s="23"/>
      <c r="AL3" s="24"/>
      <c r="AM3" s="22"/>
      <c r="AN3" s="23"/>
      <c r="AO3" s="23"/>
      <c r="AP3" s="24"/>
      <c r="AQ3" s="25"/>
      <c r="AR3" s="26"/>
    </row>
    <row r="4" spans="1:45" s="40" customFormat="1" ht="60" x14ac:dyDescent="0.25">
      <c r="A4" s="28" t="s">
        <v>5</v>
      </c>
      <c r="B4" s="29"/>
      <c r="C4" s="30">
        <v>1</v>
      </c>
      <c r="D4" s="31">
        <v>2</v>
      </c>
      <c r="E4" s="31">
        <v>3</v>
      </c>
      <c r="F4" s="31">
        <v>4</v>
      </c>
      <c r="G4" s="31">
        <v>5</v>
      </c>
      <c r="H4" s="31">
        <v>6</v>
      </c>
      <c r="I4" s="31">
        <v>7</v>
      </c>
      <c r="J4" s="31">
        <v>8</v>
      </c>
      <c r="K4" s="31">
        <v>9</v>
      </c>
      <c r="L4" s="31">
        <v>10</v>
      </c>
      <c r="M4" s="31">
        <v>11</v>
      </c>
      <c r="N4" s="31">
        <v>12</v>
      </c>
      <c r="O4" s="31">
        <v>13</v>
      </c>
      <c r="P4" s="31">
        <v>14</v>
      </c>
      <c r="Q4" s="31">
        <v>15</v>
      </c>
      <c r="R4" s="31">
        <v>16</v>
      </c>
      <c r="S4" s="31">
        <v>17</v>
      </c>
      <c r="T4" s="31">
        <v>18</v>
      </c>
      <c r="U4" s="31">
        <v>19</v>
      </c>
      <c r="V4" s="31">
        <v>20</v>
      </c>
      <c r="W4" s="31">
        <v>21</v>
      </c>
      <c r="X4" s="31">
        <v>22</v>
      </c>
      <c r="Y4" s="31">
        <v>23</v>
      </c>
      <c r="Z4" s="31">
        <v>24</v>
      </c>
      <c r="AA4" s="31">
        <v>25</v>
      </c>
      <c r="AB4" s="31">
        <v>26</v>
      </c>
      <c r="AC4" s="31">
        <v>27</v>
      </c>
      <c r="AD4" s="31">
        <v>28</v>
      </c>
      <c r="AE4" s="31">
        <v>29</v>
      </c>
      <c r="AF4" s="31">
        <v>30</v>
      </c>
      <c r="AG4" s="32"/>
      <c r="AH4" s="33" t="s">
        <v>6</v>
      </c>
      <c r="AI4" s="34" t="s">
        <v>7</v>
      </c>
      <c r="AJ4" s="35" t="s">
        <v>8</v>
      </c>
      <c r="AK4" s="36" t="s">
        <v>9</v>
      </c>
      <c r="AL4" s="37" t="s">
        <v>10</v>
      </c>
      <c r="AM4" s="38" t="s">
        <v>11</v>
      </c>
      <c r="AN4" s="38" t="s">
        <v>12</v>
      </c>
      <c r="AO4" s="38" t="s">
        <v>13</v>
      </c>
      <c r="AP4" s="39" t="s">
        <v>14</v>
      </c>
      <c r="AQ4" s="34" t="s">
        <v>7</v>
      </c>
      <c r="AR4" s="35" t="s">
        <v>8</v>
      </c>
      <c r="AS4" s="39" t="s">
        <v>56</v>
      </c>
    </row>
    <row r="5" spans="1:45" s="40" customFormat="1" ht="12.95" customHeight="1" x14ac:dyDescent="0.25">
      <c r="A5" s="41"/>
      <c r="B5" s="42" t="s">
        <v>15</v>
      </c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43"/>
      <c r="AH5" s="44">
        <f>COUNTA(Juin!$C5:$AF5)</f>
        <v>0</v>
      </c>
      <c r="AI5" s="45">
        <f>(COUNTIFS(Juin!$C5:$AF5,("cp")))/2</f>
        <v>0</v>
      </c>
      <c r="AJ5" s="45">
        <f>COUNTIFS(Juin!$C5:$AF5,"RTT")/2</f>
        <v>0</v>
      </c>
      <c r="AK5" s="45">
        <f>COUNTIFS(Juin!$C5:$AF5,"m")/2</f>
        <v>0</v>
      </c>
      <c r="AL5" s="45">
        <f>COUNTIFS(Juin!$C5:$AF5,"a")/2</f>
        <v>0</v>
      </c>
      <c r="AM5" s="46"/>
      <c r="AN5" s="47"/>
      <c r="AO5" s="47"/>
      <c r="AP5" s="46"/>
      <c r="AQ5" s="47"/>
      <c r="AR5" s="47"/>
      <c r="AS5" s="47"/>
    </row>
    <row r="6" spans="1:45" s="40" customFormat="1" ht="12.95" customHeight="1" x14ac:dyDescent="0.25">
      <c r="A6" s="48">
        <v>41722</v>
      </c>
      <c r="B6" s="42" t="s">
        <v>16</v>
      </c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3"/>
      <c r="AH6" s="44">
        <f>COUNTA(Juin!$C6:$AF6)</f>
        <v>0</v>
      </c>
      <c r="AI6" s="45">
        <f>(COUNTIFS(Juin!$C6:$AF6,("cp")))/2</f>
        <v>0</v>
      </c>
      <c r="AJ6" s="45">
        <f>COUNTIFS(Juin!$C6:$AG6,"RTT")/2</f>
        <v>0</v>
      </c>
      <c r="AK6" s="45">
        <f>COUNTIFS(Juin!$C6:$AG6,"m")/2</f>
        <v>0</v>
      </c>
      <c r="AL6" s="45">
        <f>COUNTIFS(Juin!$C6:$AG6,"a")/2</f>
        <v>0</v>
      </c>
      <c r="AM6" s="46"/>
      <c r="AN6" s="47"/>
      <c r="AO6" s="47"/>
      <c r="AP6" s="46"/>
      <c r="AQ6" s="47"/>
      <c r="AR6" s="47"/>
      <c r="AS6" s="101"/>
    </row>
    <row r="7" spans="1:45" s="40" customFormat="1" ht="12.95" customHeight="1" x14ac:dyDescent="0.25">
      <c r="A7" s="41"/>
      <c r="B7" s="42"/>
      <c r="C7" s="49" t="str">
        <f t="shared" ref="C7:AG7" si="0">IF(C5&gt;0,C5,IF(C6&gt;0,C6,""))</f>
        <v/>
      </c>
      <c r="D7" s="49" t="str">
        <f t="shared" si="0"/>
        <v/>
      </c>
      <c r="E7" s="49" t="str">
        <f t="shared" si="0"/>
        <v/>
      </c>
      <c r="F7" s="49" t="str">
        <f t="shared" si="0"/>
        <v/>
      </c>
      <c r="G7" s="49" t="str">
        <f t="shared" si="0"/>
        <v/>
      </c>
      <c r="H7" s="49" t="str">
        <f t="shared" si="0"/>
        <v/>
      </c>
      <c r="I7" s="49" t="str">
        <f t="shared" si="0"/>
        <v/>
      </c>
      <c r="J7" s="49" t="str">
        <f t="shared" si="0"/>
        <v/>
      </c>
      <c r="K7" s="49" t="str">
        <f t="shared" si="0"/>
        <v/>
      </c>
      <c r="L7" s="49" t="str">
        <f t="shared" si="0"/>
        <v/>
      </c>
      <c r="M7" s="49" t="str">
        <f t="shared" si="0"/>
        <v/>
      </c>
      <c r="N7" s="49" t="str">
        <f t="shared" si="0"/>
        <v/>
      </c>
      <c r="O7" s="49" t="str">
        <f t="shared" si="0"/>
        <v/>
      </c>
      <c r="P7" s="49" t="str">
        <f t="shared" si="0"/>
        <v/>
      </c>
      <c r="Q7" s="49" t="str">
        <f t="shared" si="0"/>
        <v/>
      </c>
      <c r="R7" s="49" t="str">
        <f t="shared" si="0"/>
        <v/>
      </c>
      <c r="S7" s="49" t="str">
        <f t="shared" si="0"/>
        <v/>
      </c>
      <c r="T7" s="49" t="str">
        <f t="shared" si="0"/>
        <v/>
      </c>
      <c r="U7" s="49" t="str">
        <f t="shared" si="0"/>
        <v/>
      </c>
      <c r="V7" s="49" t="str">
        <f t="shared" si="0"/>
        <v/>
      </c>
      <c r="W7" s="49" t="str">
        <f t="shared" si="0"/>
        <v/>
      </c>
      <c r="X7" s="49" t="str">
        <f t="shared" si="0"/>
        <v/>
      </c>
      <c r="Y7" s="49" t="str">
        <f t="shared" si="0"/>
        <v/>
      </c>
      <c r="Z7" s="49" t="str">
        <f t="shared" si="0"/>
        <v/>
      </c>
      <c r="AA7" s="49" t="str">
        <f t="shared" si="0"/>
        <v/>
      </c>
      <c r="AB7" s="49" t="str">
        <f t="shared" si="0"/>
        <v/>
      </c>
      <c r="AC7" s="49" t="str">
        <f t="shared" si="0"/>
        <v/>
      </c>
      <c r="AD7" s="49" t="str">
        <f t="shared" si="0"/>
        <v/>
      </c>
      <c r="AE7" s="49" t="str">
        <f t="shared" si="0"/>
        <v/>
      </c>
      <c r="AF7" s="49" t="str">
        <f t="shared" si="0"/>
        <v/>
      </c>
      <c r="AG7" s="49" t="str">
        <f t="shared" si="0"/>
        <v/>
      </c>
      <c r="AH7" s="44">
        <f>SUM(AH5:AH6)</f>
        <v>0</v>
      </c>
      <c r="AI7" s="45">
        <f>SUM(AI5:AI6)</f>
        <v>0</v>
      </c>
      <c r="AJ7" s="45">
        <f>SUM(AJ5:AJ6)</f>
        <v>0</v>
      </c>
      <c r="AK7" s="45">
        <f t="shared" ref="AK7:AL7" si="1">SUM(AK5:AK6)</f>
        <v>0</v>
      </c>
      <c r="AL7" s="45">
        <f t="shared" si="1"/>
        <v>0</v>
      </c>
      <c r="AM7" s="50">
        <v>9.15</v>
      </c>
      <c r="AN7" s="51">
        <f>IF(A6="","",IF(A6&gt;NomMois,0,IF(A6&lt;$A$3,2.08,(NETWORKDAYS(A6,$A$2)/21.66667)*2.08)))</f>
        <v>2.08</v>
      </c>
      <c r="AO7" s="51">
        <f>IF(AN7="",0,+AN7)</f>
        <v>2.08</v>
      </c>
      <c r="AP7" s="50"/>
      <c r="AQ7" s="51">
        <f>+AM7-AI7</f>
        <v>9.15</v>
      </c>
      <c r="AR7" s="45">
        <f>+AP7-AJ7</f>
        <v>0</v>
      </c>
      <c r="AS7" s="102">
        <f>+AO7+AQ7</f>
        <v>11.23</v>
      </c>
    </row>
    <row r="8" spans="1:45" s="40" customFormat="1" ht="6.75" customHeight="1" x14ac:dyDescent="0.25">
      <c r="A8" s="52"/>
      <c r="B8" s="53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  <c r="AF8" s="52"/>
      <c r="AG8" s="52"/>
      <c r="AH8" s="54"/>
      <c r="AI8" s="54"/>
      <c r="AJ8" s="54"/>
      <c r="AK8" s="54"/>
      <c r="AL8" s="54"/>
      <c r="AM8" s="52"/>
      <c r="AN8" s="55"/>
      <c r="AO8" s="55"/>
      <c r="AP8" s="56"/>
      <c r="AQ8" s="57"/>
      <c r="AR8" s="58"/>
      <c r="AS8" s="65"/>
    </row>
    <row r="9" spans="1:45" s="40" customFormat="1" ht="12.95" customHeight="1" x14ac:dyDescent="0.25">
      <c r="A9" s="41"/>
      <c r="B9" s="42" t="s">
        <v>15</v>
      </c>
      <c r="C9" s="43"/>
      <c r="D9" s="43"/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  <c r="AA9" s="43"/>
      <c r="AB9" s="43"/>
      <c r="AC9" s="43"/>
      <c r="AD9" s="43"/>
      <c r="AE9" s="43"/>
      <c r="AF9" s="43"/>
      <c r="AG9" s="43"/>
      <c r="AH9" s="44">
        <f>COUNTA(Juin!$C9:$AF9)</f>
        <v>0</v>
      </c>
      <c r="AI9" s="45">
        <f>(COUNTIFS(Juin!$C9:$AF9,("cp")))/2</f>
        <v>0</v>
      </c>
      <c r="AJ9" s="45">
        <f>COUNTIFS(Juin!$C9:$AG9,"RTT")/2</f>
        <v>0</v>
      </c>
      <c r="AK9" s="45">
        <f>COUNTIFS(Juin!$C9:$AG9,"m")/2</f>
        <v>0</v>
      </c>
      <c r="AL9" s="45">
        <f>COUNTIFS(Juin!$C9:$AG9,"a")/2</f>
        <v>0</v>
      </c>
      <c r="AM9" s="46"/>
      <c r="AN9" s="47"/>
      <c r="AO9" s="47"/>
      <c r="AP9" s="46"/>
      <c r="AQ9" s="59"/>
      <c r="AR9" s="47"/>
      <c r="AS9" s="47"/>
    </row>
    <row r="10" spans="1:45" s="40" customFormat="1" ht="12.95" customHeight="1" x14ac:dyDescent="0.25">
      <c r="A10" s="48">
        <v>42740</v>
      </c>
      <c r="B10" s="42" t="s">
        <v>16</v>
      </c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3"/>
      <c r="AG10" s="43"/>
      <c r="AH10" s="44">
        <f>COUNTA(Juin!$C10:$AF10)</f>
        <v>0</v>
      </c>
      <c r="AI10" s="45">
        <f>(COUNTIFS(Juin!$C10:$AF10,("cp")))/2</f>
        <v>0</v>
      </c>
      <c r="AJ10" s="45">
        <f>COUNTIFS(Juin!$C10:$AG10,"RTT")/2</f>
        <v>0</v>
      </c>
      <c r="AK10" s="45">
        <f>COUNTIFS(Juin!$C10:$AG10,"m")/2</f>
        <v>0</v>
      </c>
      <c r="AL10" s="45">
        <f>COUNTIFS(Juin!$C10:$AG10,"a")/2</f>
        <v>0</v>
      </c>
      <c r="AM10" s="46"/>
      <c r="AN10" s="47"/>
      <c r="AO10" s="47"/>
      <c r="AP10" s="46"/>
      <c r="AQ10" s="59"/>
      <c r="AR10" s="47"/>
      <c r="AS10" s="101"/>
    </row>
    <row r="11" spans="1:45" s="40" customFormat="1" ht="12.95" customHeight="1" x14ac:dyDescent="0.25">
      <c r="A11" s="41"/>
      <c r="B11" s="42"/>
      <c r="C11" s="49" t="str">
        <f t="shared" ref="C11:AG11" si="2">IF(C9&gt;0,C9,IF(C10&gt;0,C10,""))</f>
        <v/>
      </c>
      <c r="D11" s="49" t="str">
        <f t="shared" si="2"/>
        <v/>
      </c>
      <c r="E11" s="49" t="str">
        <f t="shared" si="2"/>
        <v/>
      </c>
      <c r="F11" s="49" t="str">
        <f t="shared" si="2"/>
        <v/>
      </c>
      <c r="G11" s="49" t="str">
        <f t="shared" si="2"/>
        <v/>
      </c>
      <c r="H11" s="49" t="str">
        <f t="shared" si="2"/>
        <v/>
      </c>
      <c r="I11" s="49" t="str">
        <f t="shared" si="2"/>
        <v/>
      </c>
      <c r="J11" s="49" t="str">
        <f t="shared" si="2"/>
        <v/>
      </c>
      <c r="K11" s="49" t="str">
        <f t="shared" si="2"/>
        <v/>
      </c>
      <c r="L11" s="49" t="str">
        <f t="shared" si="2"/>
        <v/>
      </c>
      <c r="M11" s="49" t="str">
        <f t="shared" si="2"/>
        <v/>
      </c>
      <c r="N11" s="49" t="str">
        <f t="shared" si="2"/>
        <v/>
      </c>
      <c r="O11" s="49" t="str">
        <f t="shared" si="2"/>
        <v/>
      </c>
      <c r="P11" s="49" t="str">
        <f t="shared" si="2"/>
        <v/>
      </c>
      <c r="Q11" s="49" t="str">
        <f t="shared" si="2"/>
        <v/>
      </c>
      <c r="R11" s="49" t="str">
        <f t="shared" si="2"/>
        <v/>
      </c>
      <c r="S11" s="49" t="str">
        <f t="shared" si="2"/>
        <v/>
      </c>
      <c r="T11" s="49" t="str">
        <f t="shared" si="2"/>
        <v/>
      </c>
      <c r="U11" s="49" t="str">
        <f t="shared" si="2"/>
        <v/>
      </c>
      <c r="V11" s="49" t="str">
        <f t="shared" si="2"/>
        <v/>
      </c>
      <c r="W11" s="49" t="str">
        <f t="shared" si="2"/>
        <v/>
      </c>
      <c r="X11" s="49" t="str">
        <f t="shared" si="2"/>
        <v/>
      </c>
      <c r="Y11" s="49" t="str">
        <f t="shared" si="2"/>
        <v/>
      </c>
      <c r="Z11" s="49" t="str">
        <f t="shared" si="2"/>
        <v/>
      </c>
      <c r="AA11" s="49" t="str">
        <f t="shared" si="2"/>
        <v/>
      </c>
      <c r="AB11" s="49" t="str">
        <f t="shared" si="2"/>
        <v/>
      </c>
      <c r="AC11" s="49" t="str">
        <f t="shared" si="2"/>
        <v/>
      </c>
      <c r="AD11" s="49" t="str">
        <f t="shared" si="2"/>
        <v/>
      </c>
      <c r="AE11" s="49" t="str">
        <f t="shared" si="2"/>
        <v/>
      </c>
      <c r="AF11" s="49" t="str">
        <f t="shared" si="2"/>
        <v/>
      </c>
      <c r="AG11" s="49" t="str">
        <f t="shared" si="2"/>
        <v/>
      </c>
      <c r="AH11" s="44">
        <f>SUM(AH9:AH10)</f>
        <v>0</v>
      </c>
      <c r="AI11" s="45">
        <f>SUM(AI9:AI10)</f>
        <v>0</v>
      </c>
      <c r="AJ11" s="45">
        <f>SUM(AJ9:AJ10)</f>
        <v>0</v>
      </c>
      <c r="AK11" s="45">
        <f t="shared" ref="AK11:AL11" si="3">SUM(AK9:AK10)</f>
        <v>0</v>
      </c>
      <c r="AL11" s="45">
        <f t="shared" si="3"/>
        <v>0</v>
      </c>
      <c r="AM11" s="50">
        <v>10.32</v>
      </c>
      <c r="AN11" s="51">
        <f>IF(A10="","",IF(A10&gt;NomMois,0,IF(A10&lt;$A$3,2.08,(NETWORKDAYS(A10,$A$2)/21.66667)*2.08)))</f>
        <v>2.08</v>
      </c>
      <c r="AO11" s="51">
        <f>IF(AN11="",0,+AN11)</f>
        <v>2.08</v>
      </c>
      <c r="AP11" s="50"/>
      <c r="AQ11" s="51">
        <f>+AM11-AI11</f>
        <v>10.32</v>
      </c>
      <c r="AR11" s="45">
        <f>+AP11-AJ11</f>
        <v>0</v>
      </c>
      <c r="AS11" s="102">
        <f>+AO11+AQ11</f>
        <v>12.4</v>
      </c>
    </row>
    <row r="12" spans="1:45" s="63" customFormat="1" ht="6.75" customHeight="1" x14ac:dyDescent="0.25">
      <c r="A12" s="60"/>
      <c r="B12" s="53"/>
      <c r="C12" s="60"/>
      <c r="D12" s="60"/>
      <c r="E12" s="60"/>
      <c r="F12" s="60"/>
      <c r="G12" s="60"/>
      <c r="H12" s="60"/>
      <c r="I12" s="60"/>
      <c r="J12" s="60"/>
      <c r="K12" s="60"/>
      <c r="L12" s="60"/>
      <c r="M12" s="60"/>
      <c r="N12" s="60"/>
      <c r="O12" s="60"/>
      <c r="P12" s="60"/>
      <c r="Q12" s="60"/>
      <c r="R12" s="60"/>
      <c r="S12" s="60"/>
      <c r="T12" s="60"/>
      <c r="U12" s="60"/>
      <c r="V12" s="60"/>
      <c r="W12" s="60"/>
      <c r="X12" s="60"/>
      <c r="Y12" s="60"/>
      <c r="Z12" s="60"/>
      <c r="AA12" s="60"/>
      <c r="AB12" s="60"/>
      <c r="AC12" s="60"/>
      <c r="AD12" s="60"/>
      <c r="AE12" s="60"/>
      <c r="AF12" s="60"/>
      <c r="AG12" s="60"/>
      <c r="AH12" s="61"/>
      <c r="AI12" s="61"/>
      <c r="AJ12" s="61"/>
      <c r="AK12" s="61"/>
      <c r="AL12" s="61"/>
      <c r="AM12" s="60"/>
      <c r="AN12" s="61"/>
      <c r="AO12" s="61"/>
      <c r="AP12" s="60"/>
      <c r="AQ12" s="62"/>
      <c r="AR12" s="61"/>
      <c r="AS12" s="65"/>
    </row>
    <row r="13" spans="1:45" s="63" customFormat="1" ht="12.95" customHeight="1" x14ac:dyDescent="0.25">
      <c r="A13" s="41"/>
      <c r="B13" s="42" t="s">
        <v>15</v>
      </c>
      <c r="C13" s="43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43"/>
      <c r="AB13" s="43"/>
      <c r="AC13" s="43"/>
      <c r="AD13" s="43"/>
      <c r="AE13" s="43"/>
      <c r="AF13" s="43"/>
      <c r="AG13" s="43"/>
      <c r="AH13" s="44">
        <f>COUNTA(Juin!$C13:$AF13)</f>
        <v>0</v>
      </c>
      <c r="AI13" s="45">
        <f>(COUNTIFS(Juin!$C13:$AF13,("cp")))/2</f>
        <v>0</v>
      </c>
      <c r="AJ13" s="45">
        <f>COUNTIFS(Juin!$C13:$AG13,"RTT")/2</f>
        <v>0</v>
      </c>
      <c r="AK13" s="45">
        <f>COUNTIFS(Juin!$C13:$AG13,"m")/2</f>
        <v>0</v>
      </c>
      <c r="AL13" s="45">
        <f>COUNTIFS(Juin!$C13:$AG13,"a")/2</f>
        <v>0</v>
      </c>
      <c r="AM13" s="46"/>
      <c r="AN13" s="47"/>
      <c r="AO13" s="47"/>
      <c r="AP13" s="46"/>
      <c r="AQ13" s="59"/>
      <c r="AR13" s="47"/>
      <c r="AS13" s="47"/>
    </row>
    <row r="14" spans="1:45" s="63" customFormat="1" ht="12.95" customHeight="1" x14ac:dyDescent="0.25">
      <c r="A14" s="48">
        <v>42891</v>
      </c>
      <c r="B14" s="42" t="s">
        <v>16</v>
      </c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4">
        <f>COUNTA(Juin!$C14:$AF14)</f>
        <v>0</v>
      </c>
      <c r="AI14" s="45">
        <f>(COUNTIFS(Juin!$C14:$AF14,("cp")))/2</f>
        <v>0</v>
      </c>
      <c r="AJ14" s="45">
        <f>COUNTIFS(Juin!$C14:$AG14,"RTT")/2</f>
        <v>0</v>
      </c>
      <c r="AK14" s="45">
        <f>COUNTIFS(Juin!$C14:$AG14,"m")/2</f>
        <v>0</v>
      </c>
      <c r="AL14" s="45">
        <f>COUNTIFS(Juin!$C14:$AG14,"a")/2</f>
        <v>0</v>
      </c>
      <c r="AM14" s="46"/>
      <c r="AN14" s="47"/>
      <c r="AO14" s="47"/>
      <c r="AP14" s="46"/>
      <c r="AQ14" s="59"/>
      <c r="AR14" s="47"/>
      <c r="AS14" s="101">
        <v>43014</v>
      </c>
    </row>
    <row r="15" spans="1:45" s="63" customFormat="1" ht="12.95" customHeight="1" x14ac:dyDescent="0.25">
      <c r="A15" s="41"/>
      <c r="B15" s="42"/>
      <c r="C15" s="49" t="str">
        <f t="shared" ref="C15:AG15" si="4">IF(C13&gt;0,C13,IF(C14&gt;0,C14,""))</f>
        <v/>
      </c>
      <c r="D15" s="49" t="str">
        <f t="shared" si="4"/>
        <v/>
      </c>
      <c r="E15" s="49" t="str">
        <f t="shared" si="4"/>
        <v/>
      </c>
      <c r="F15" s="49" t="str">
        <f t="shared" si="4"/>
        <v/>
      </c>
      <c r="G15" s="49" t="str">
        <f t="shared" si="4"/>
        <v/>
      </c>
      <c r="H15" s="49" t="str">
        <f t="shared" si="4"/>
        <v/>
      </c>
      <c r="I15" s="49" t="str">
        <f t="shared" si="4"/>
        <v/>
      </c>
      <c r="J15" s="49" t="str">
        <f t="shared" si="4"/>
        <v/>
      </c>
      <c r="K15" s="49" t="str">
        <f t="shared" si="4"/>
        <v/>
      </c>
      <c r="L15" s="49" t="str">
        <f t="shared" si="4"/>
        <v/>
      </c>
      <c r="M15" s="49" t="str">
        <f t="shared" si="4"/>
        <v/>
      </c>
      <c r="N15" s="49" t="str">
        <f t="shared" si="4"/>
        <v/>
      </c>
      <c r="O15" s="49" t="str">
        <f t="shared" si="4"/>
        <v/>
      </c>
      <c r="P15" s="49" t="str">
        <f t="shared" si="4"/>
        <v/>
      </c>
      <c r="Q15" s="49" t="str">
        <f t="shared" si="4"/>
        <v/>
      </c>
      <c r="R15" s="49" t="str">
        <f t="shared" si="4"/>
        <v/>
      </c>
      <c r="S15" s="49" t="str">
        <f t="shared" si="4"/>
        <v/>
      </c>
      <c r="T15" s="49" t="str">
        <f t="shared" si="4"/>
        <v/>
      </c>
      <c r="U15" s="49" t="str">
        <f t="shared" si="4"/>
        <v/>
      </c>
      <c r="V15" s="49" t="str">
        <f t="shared" si="4"/>
        <v/>
      </c>
      <c r="W15" s="49" t="str">
        <f t="shared" si="4"/>
        <v/>
      </c>
      <c r="X15" s="49" t="str">
        <f t="shared" si="4"/>
        <v/>
      </c>
      <c r="Y15" s="49" t="str">
        <f t="shared" si="4"/>
        <v/>
      </c>
      <c r="Z15" s="49" t="str">
        <f t="shared" si="4"/>
        <v/>
      </c>
      <c r="AA15" s="49" t="str">
        <f t="shared" si="4"/>
        <v/>
      </c>
      <c r="AB15" s="49" t="str">
        <f t="shared" si="4"/>
        <v/>
      </c>
      <c r="AC15" s="49" t="str">
        <f t="shared" si="4"/>
        <v/>
      </c>
      <c r="AD15" s="49" t="str">
        <f t="shared" si="4"/>
        <v/>
      </c>
      <c r="AE15" s="49" t="str">
        <f t="shared" si="4"/>
        <v/>
      </c>
      <c r="AF15" s="49" t="str">
        <f t="shared" si="4"/>
        <v/>
      </c>
      <c r="AG15" s="49" t="str">
        <f t="shared" si="4"/>
        <v/>
      </c>
      <c r="AH15" s="44">
        <f>SUM(AH13:AH14)</f>
        <v>0</v>
      </c>
      <c r="AI15" s="45">
        <f>SUM(AI13:AI14)</f>
        <v>0</v>
      </c>
      <c r="AJ15" s="45">
        <f>SUM(AJ13:AJ14)</f>
        <v>0</v>
      </c>
      <c r="AK15" s="45">
        <f t="shared" ref="AK15:AL15" si="5">SUM(AK13:AK14)</f>
        <v>0</v>
      </c>
      <c r="AL15" s="45">
        <f t="shared" si="5"/>
        <v>0</v>
      </c>
      <c r="AM15" s="50"/>
      <c r="AN15" s="51">
        <f>IF(A14="","",IF(A14&gt;NomMois,0,IF(A14&lt;$A$3,2.08,(NETWORKDAYS(A14,$A$2)/21.66667)*2.08)))</f>
        <v>1.91999970461543</v>
      </c>
      <c r="AO15" s="51">
        <f>IF(AN15="",0,+AN15)</f>
        <v>1.91999970461543</v>
      </c>
      <c r="AP15" s="50"/>
      <c r="AQ15" s="51">
        <f>+AM15-AI15</f>
        <v>0</v>
      </c>
      <c r="AR15" s="45">
        <f>+AP15-AJ15</f>
        <v>0</v>
      </c>
      <c r="AS15" s="102">
        <f>+AO15+AQ15</f>
        <v>1.91999970461543</v>
      </c>
    </row>
    <row r="16" spans="1:45" s="63" customFormat="1" ht="6.75" customHeight="1" x14ac:dyDescent="0.25">
      <c r="A16" s="60"/>
      <c r="B16" s="42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  <c r="N16" s="64"/>
      <c r="O16" s="64"/>
      <c r="P16" s="64"/>
      <c r="Q16" s="64"/>
      <c r="R16" s="64"/>
      <c r="S16" s="64"/>
      <c r="T16" s="64"/>
      <c r="U16" s="64"/>
      <c r="V16" s="64"/>
      <c r="W16" s="64"/>
      <c r="X16" s="64"/>
      <c r="Y16" s="64"/>
      <c r="Z16" s="64"/>
      <c r="AA16" s="64"/>
      <c r="AB16" s="64"/>
      <c r="AC16" s="64"/>
      <c r="AD16" s="64"/>
      <c r="AE16" s="64"/>
      <c r="AF16" s="64"/>
      <c r="AG16" s="64"/>
      <c r="AH16" s="65"/>
      <c r="AI16" s="65"/>
      <c r="AJ16" s="65"/>
      <c r="AK16" s="65"/>
      <c r="AL16" s="65"/>
      <c r="AM16" s="64"/>
      <c r="AN16" s="65"/>
      <c r="AO16" s="65"/>
      <c r="AP16" s="64"/>
      <c r="AQ16" s="66"/>
      <c r="AR16" s="65"/>
      <c r="AS16" s="65"/>
    </row>
    <row r="17" spans="1:45" s="63" customFormat="1" ht="12.95" customHeight="1" x14ac:dyDescent="0.25">
      <c r="A17" s="41"/>
      <c r="B17" s="42" t="s">
        <v>15</v>
      </c>
      <c r="C17" s="67"/>
      <c r="D17" s="67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4">
        <f>COUNTA(Juin!$C17:$AF17)</f>
        <v>0</v>
      </c>
      <c r="AI17" s="45">
        <f>(COUNTIFS(Juin!$C17:$AF17,("cp")))/2</f>
        <v>0</v>
      </c>
      <c r="AJ17" s="45">
        <f>(COUNTIFS(Juin!$C17:$AG17,("c")))/2</f>
        <v>0</v>
      </c>
      <c r="AK17" s="45">
        <f>COUNTIFS(Juin!$C17:$AG17,"RTT")/2</f>
        <v>0</v>
      </c>
      <c r="AL17" s="45">
        <f>COUNTIFS(Juin!$C17:$AG17,"m")/2</f>
        <v>0</v>
      </c>
      <c r="AM17" s="46"/>
      <c r="AN17" s="47"/>
      <c r="AO17" s="47"/>
      <c r="AP17" s="46"/>
      <c r="AQ17" s="59"/>
      <c r="AR17" s="47"/>
      <c r="AS17" s="47"/>
    </row>
    <row r="18" spans="1:45" s="63" customFormat="1" ht="12.95" customHeight="1" x14ac:dyDescent="0.25">
      <c r="A18" s="48">
        <v>38923</v>
      </c>
      <c r="B18" s="42" t="s">
        <v>16</v>
      </c>
      <c r="C18" s="67"/>
      <c r="D18" s="67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3"/>
      <c r="AC18" s="43"/>
      <c r="AD18" s="43"/>
      <c r="AE18" s="43"/>
      <c r="AF18" s="43"/>
      <c r="AG18" s="43"/>
      <c r="AH18" s="44">
        <f>COUNTA(Juin!$C18:$AF18)</f>
        <v>0</v>
      </c>
      <c r="AI18" s="45">
        <f>(COUNTIFS(Juin!$C18:$AF18,("cp")))/2</f>
        <v>0</v>
      </c>
      <c r="AJ18" s="45">
        <f>(COUNTIFS(Juin!$C18:$AG18,("c")))/2</f>
        <v>0</v>
      </c>
      <c r="AK18" s="45">
        <f>COUNTIFS(Juin!$C18:$AG18,"RTT")/2</f>
        <v>0</v>
      </c>
      <c r="AL18" s="45">
        <f>COUNTIFS(Juin!$C18:$AG18,"m")/2</f>
        <v>0</v>
      </c>
      <c r="AM18" s="46"/>
      <c r="AN18" s="47"/>
      <c r="AO18" s="47"/>
      <c r="AP18" s="46"/>
      <c r="AQ18" s="59"/>
      <c r="AR18" s="47"/>
      <c r="AS18" s="101"/>
    </row>
    <row r="19" spans="1:45" s="63" customFormat="1" ht="12.95" customHeight="1" x14ac:dyDescent="0.25">
      <c r="A19" s="41"/>
      <c r="B19" s="42"/>
      <c r="C19" s="49" t="str">
        <f t="shared" ref="C19:AG19" si="6">IF(C17&gt;0,C17,IF(C18&gt;0,C18,""))</f>
        <v/>
      </c>
      <c r="D19" s="49" t="str">
        <f t="shared" si="6"/>
        <v/>
      </c>
      <c r="E19" s="49" t="str">
        <f t="shared" si="6"/>
        <v/>
      </c>
      <c r="F19" s="49" t="str">
        <f t="shared" si="6"/>
        <v/>
      </c>
      <c r="G19" s="49" t="str">
        <f t="shared" si="6"/>
        <v/>
      </c>
      <c r="H19" s="49" t="str">
        <f t="shared" si="6"/>
        <v/>
      </c>
      <c r="I19" s="49" t="str">
        <f t="shared" si="6"/>
        <v/>
      </c>
      <c r="J19" s="49" t="str">
        <f t="shared" si="6"/>
        <v/>
      </c>
      <c r="K19" s="49" t="str">
        <f t="shared" si="6"/>
        <v/>
      </c>
      <c r="L19" s="49" t="str">
        <f t="shared" si="6"/>
        <v/>
      </c>
      <c r="M19" s="49" t="str">
        <f t="shared" si="6"/>
        <v/>
      </c>
      <c r="N19" s="49" t="str">
        <f t="shared" si="6"/>
        <v/>
      </c>
      <c r="O19" s="49" t="str">
        <f t="shared" si="6"/>
        <v/>
      </c>
      <c r="P19" s="49" t="str">
        <f t="shared" si="6"/>
        <v/>
      </c>
      <c r="Q19" s="49" t="str">
        <f t="shared" si="6"/>
        <v/>
      </c>
      <c r="R19" s="49" t="str">
        <f t="shared" si="6"/>
        <v/>
      </c>
      <c r="S19" s="49" t="str">
        <f t="shared" si="6"/>
        <v/>
      </c>
      <c r="T19" s="49" t="str">
        <f t="shared" si="6"/>
        <v/>
      </c>
      <c r="U19" s="49" t="str">
        <f t="shared" si="6"/>
        <v/>
      </c>
      <c r="V19" s="49" t="str">
        <f t="shared" si="6"/>
        <v/>
      </c>
      <c r="W19" s="49" t="str">
        <f t="shared" si="6"/>
        <v/>
      </c>
      <c r="X19" s="49" t="str">
        <f t="shared" si="6"/>
        <v/>
      </c>
      <c r="Y19" s="49" t="str">
        <f t="shared" si="6"/>
        <v/>
      </c>
      <c r="Z19" s="49" t="str">
        <f t="shared" si="6"/>
        <v/>
      </c>
      <c r="AA19" s="49" t="str">
        <f t="shared" si="6"/>
        <v/>
      </c>
      <c r="AB19" s="49" t="str">
        <f t="shared" si="6"/>
        <v/>
      </c>
      <c r="AC19" s="49" t="str">
        <f t="shared" si="6"/>
        <v/>
      </c>
      <c r="AD19" s="49" t="str">
        <f t="shared" si="6"/>
        <v/>
      </c>
      <c r="AE19" s="49" t="str">
        <f t="shared" si="6"/>
        <v/>
      </c>
      <c r="AF19" s="49" t="str">
        <f t="shared" si="6"/>
        <v/>
      </c>
      <c r="AG19" s="49" t="str">
        <f t="shared" si="6"/>
        <v/>
      </c>
      <c r="AH19" s="44">
        <f>SUM(AH17:AH18)</f>
        <v>0</v>
      </c>
      <c r="AI19" s="45">
        <f>SUM(AI17:AI18)</f>
        <v>0</v>
      </c>
      <c r="AJ19" s="45">
        <f>SUM(AJ17:AJ18)</f>
        <v>0</v>
      </c>
      <c r="AK19" s="45">
        <f>SUM(AK17:AK18)</f>
        <v>0</v>
      </c>
      <c r="AL19" s="45">
        <f t="shared" ref="AL19" si="7">SUM(AL17:AL18)</f>
        <v>0</v>
      </c>
      <c r="AM19" s="50">
        <v>24.54</v>
      </c>
      <c r="AN19" s="51">
        <f>IF(A18="","",IF(A18&gt;NomMois,0,IF(A18&lt;$A$3,2.08,(NETWORKDAYS(A18,$A$2)/21.66667)*2.08)))</f>
        <v>2.08</v>
      </c>
      <c r="AO19" s="51">
        <f>IF(AN19="",0,+AN19)</f>
        <v>2.08</v>
      </c>
      <c r="AP19" s="50"/>
      <c r="AQ19" s="51">
        <f>+AM19-AI19</f>
        <v>24.54</v>
      </c>
      <c r="AR19" s="45">
        <f>+AP19-AJ19</f>
        <v>0</v>
      </c>
      <c r="AS19" s="102">
        <f t="shared" ref="AS19" si="8">+AO19+AQ19</f>
        <v>26.619999999999997</v>
      </c>
    </row>
    <row r="20" spans="1:45" s="63" customFormat="1" ht="6.75" customHeight="1" x14ac:dyDescent="0.25">
      <c r="A20" s="60"/>
      <c r="B20" s="53"/>
      <c r="C20" s="60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0"/>
      <c r="AG20" s="60"/>
      <c r="AH20" s="61"/>
      <c r="AI20" s="61"/>
      <c r="AJ20" s="61"/>
      <c r="AK20" s="61"/>
      <c r="AL20" s="61"/>
      <c r="AM20" s="60"/>
      <c r="AN20" s="61"/>
      <c r="AO20" s="61"/>
      <c r="AP20" s="60"/>
      <c r="AQ20" s="62"/>
      <c r="AR20" s="61"/>
      <c r="AS20" s="65"/>
    </row>
    <row r="21" spans="1:45" s="63" customFormat="1" ht="12.95" customHeight="1" x14ac:dyDescent="0.25">
      <c r="A21" s="41"/>
      <c r="B21" s="42" t="s">
        <v>15</v>
      </c>
      <c r="C21" s="67"/>
      <c r="D21" s="67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43"/>
      <c r="AC21" s="43"/>
      <c r="AD21" s="43"/>
      <c r="AE21" s="43"/>
      <c r="AF21" s="43"/>
      <c r="AG21" s="43"/>
      <c r="AH21" s="44">
        <f>COUNTA(Juin!$C21:$AF21)</f>
        <v>0</v>
      </c>
      <c r="AI21" s="45">
        <f>(COUNTIFS(Juin!$C21:$AF21,("cp")))/2</f>
        <v>0</v>
      </c>
      <c r="AJ21" s="45">
        <f>(COUNTIFS(Juin!$C21:$AG21,("c")))/2</f>
        <v>0</v>
      </c>
      <c r="AK21" s="45">
        <f>COUNTIFS(Juin!$C21:$AG21,"RTT")/2</f>
        <v>0</v>
      </c>
      <c r="AL21" s="45">
        <f>COUNTIFS(Juin!$C21:$AG21,"m")/2</f>
        <v>0</v>
      </c>
      <c r="AM21" s="46"/>
      <c r="AN21" s="47"/>
      <c r="AO21" s="47"/>
      <c r="AP21" s="46"/>
      <c r="AQ21" s="59"/>
      <c r="AR21" s="47"/>
      <c r="AS21" s="47"/>
    </row>
    <row r="22" spans="1:45" s="63" customFormat="1" ht="12.95" customHeight="1" x14ac:dyDescent="0.25">
      <c r="A22" s="48">
        <v>41824</v>
      </c>
      <c r="B22" s="42" t="s">
        <v>16</v>
      </c>
      <c r="C22" s="67"/>
      <c r="D22" s="67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43"/>
      <c r="AC22" s="43"/>
      <c r="AD22" s="43"/>
      <c r="AE22" s="43"/>
      <c r="AF22" s="43"/>
      <c r="AG22" s="43"/>
      <c r="AH22" s="44">
        <f>COUNTA(Juin!$C22:$AF22)</f>
        <v>0</v>
      </c>
      <c r="AI22" s="45">
        <f>(COUNTIFS(Juin!$C22:$AF22,("cp")))/2</f>
        <v>0</v>
      </c>
      <c r="AJ22" s="45">
        <f>(COUNTIFS(Juin!$C22:$AG22,("c")))/2</f>
        <v>0</v>
      </c>
      <c r="AK22" s="45">
        <f>COUNTIFS(Juin!$C22:$AG22,"RTT")/2</f>
        <v>0</v>
      </c>
      <c r="AL22" s="45">
        <f>COUNTIFS(Juin!$C22:$AG22,"m")/2</f>
        <v>0</v>
      </c>
      <c r="AM22" s="46"/>
      <c r="AN22" s="47"/>
      <c r="AO22" s="47"/>
      <c r="AP22" s="46"/>
      <c r="AQ22" s="59"/>
      <c r="AR22" s="47"/>
      <c r="AS22" s="101"/>
    </row>
    <row r="23" spans="1:45" s="63" customFormat="1" ht="12.95" customHeight="1" x14ac:dyDescent="0.25">
      <c r="A23" s="41"/>
      <c r="B23" s="42"/>
      <c r="C23" s="49" t="str">
        <f t="shared" ref="C23:AG23" si="9">IF(C21&gt;0,C21,IF(C22&gt;0,C22,""))</f>
        <v/>
      </c>
      <c r="D23" s="49" t="str">
        <f t="shared" si="9"/>
        <v/>
      </c>
      <c r="E23" s="49" t="str">
        <f t="shared" si="9"/>
        <v/>
      </c>
      <c r="F23" s="49" t="str">
        <f t="shared" si="9"/>
        <v/>
      </c>
      <c r="G23" s="49" t="str">
        <f t="shared" si="9"/>
        <v/>
      </c>
      <c r="H23" s="49" t="str">
        <f t="shared" si="9"/>
        <v/>
      </c>
      <c r="I23" s="49" t="str">
        <f t="shared" si="9"/>
        <v/>
      </c>
      <c r="J23" s="49" t="str">
        <f t="shared" si="9"/>
        <v/>
      </c>
      <c r="K23" s="49" t="str">
        <f t="shared" si="9"/>
        <v/>
      </c>
      <c r="L23" s="49" t="str">
        <f t="shared" si="9"/>
        <v/>
      </c>
      <c r="M23" s="49" t="str">
        <f t="shared" si="9"/>
        <v/>
      </c>
      <c r="N23" s="49" t="str">
        <f t="shared" si="9"/>
        <v/>
      </c>
      <c r="O23" s="49" t="str">
        <f t="shared" si="9"/>
        <v/>
      </c>
      <c r="P23" s="49" t="str">
        <f t="shared" si="9"/>
        <v/>
      </c>
      <c r="Q23" s="49" t="str">
        <f t="shared" si="9"/>
        <v/>
      </c>
      <c r="R23" s="49" t="str">
        <f t="shared" si="9"/>
        <v/>
      </c>
      <c r="S23" s="49" t="str">
        <f t="shared" si="9"/>
        <v/>
      </c>
      <c r="T23" s="49" t="str">
        <f t="shared" si="9"/>
        <v/>
      </c>
      <c r="U23" s="49" t="str">
        <f t="shared" si="9"/>
        <v/>
      </c>
      <c r="V23" s="49" t="str">
        <f t="shared" si="9"/>
        <v/>
      </c>
      <c r="W23" s="49" t="str">
        <f t="shared" si="9"/>
        <v/>
      </c>
      <c r="X23" s="49" t="str">
        <f t="shared" si="9"/>
        <v/>
      </c>
      <c r="Y23" s="49" t="str">
        <f t="shared" si="9"/>
        <v/>
      </c>
      <c r="Z23" s="49" t="str">
        <f t="shared" si="9"/>
        <v/>
      </c>
      <c r="AA23" s="49" t="str">
        <f t="shared" si="9"/>
        <v/>
      </c>
      <c r="AB23" s="49" t="str">
        <f t="shared" si="9"/>
        <v/>
      </c>
      <c r="AC23" s="49" t="str">
        <f t="shared" si="9"/>
        <v/>
      </c>
      <c r="AD23" s="49" t="str">
        <f t="shared" si="9"/>
        <v/>
      </c>
      <c r="AE23" s="49" t="str">
        <f t="shared" si="9"/>
        <v/>
      </c>
      <c r="AF23" s="49" t="str">
        <f t="shared" si="9"/>
        <v/>
      </c>
      <c r="AG23" s="49" t="str">
        <f t="shared" si="9"/>
        <v/>
      </c>
      <c r="AH23" s="44">
        <f>SUM(AH21:AH22)</f>
        <v>0</v>
      </c>
      <c r="AI23" s="45">
        <f>SUM(AI21:AI22)</f>
        <v>0</v>
      </c>
      <c r="AJ23" s="45">
        <f>SUM(AJ21:AJ22)</f>
        <v>0</v>
      </c>
      <c r="AK23" s="45">
        <f>SUM(AK21:AK22)</f>
        <v>0</v>
      </c>
      <c r="AL23" s="45">
        <f t="shared" ref="AL23" si="10">SUM(AL21:AL22)</f>
        <v>0</v>
      </c>
      <c r="AM23" s="50">
        <v>11.23</v>
      </c>
      <c r="AN23" s="51">
        <f>IF(A22="","",IF(A22&gt;NomMois,0,IF(A22&lt;$A$3,2.08,(NETWORKDAYS(A22,$A$2)/21.66667)*2.08)))</f>
        <v>2.08</v>
      </c>
      <c r="AO23" s="51">
        <f>IF(AN23="",0,+AN23)</f>
        <v>2.08</v>
      </c>
      <c r="AP23" s="50"/>
      <c r="AQ23" s="51">
        <f>+AM23-AI23</f>
        <v>11.23</v>
      </c>
      <c r="AR23" s="45">
        <f>+AP23-AJ23</f>
        <v>0</v>
      </c>
      <c r="AS23" s="102">
        <f t="shared" ref="AS23" si="11">+AO23+AQ23</f>
        <v>13.31</v>
      </c>
    </row>
    <row r="24" spans="1:45" s="63" customFormat="1" ht="6.75" customHeight="1" x14ac:dyDescent="0.25">
      <c r="A24" s="60"/>
      <c r="B24" s="53"/>
      <c r="C24" s="60"/>
      <c r="D24" s="60"/>
      <c r="E24" s="60"/>
      <c r="F24" s="60"/>
      <c r="G24" s="60"/>
      <c r="H24" s="60"/>
      <c r="I24" s="60"/>
      <c r="J24" s="60"/>
      <c r="K24" s="60"/>
      <c r="L24" s="60"/>
      <c r="M24" s="60"/>
      <c r="N24" s="60"/>
      <c r="O24" s="60"/>
      <c r="P24" s="60"/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60"/>
      <c r="AD24" s="60"/>
      <c r="AE24" s="60"/>
      <c r="AF24" s="60"/>
      <c r="AG24" s="60"/>
      <c r="AH24" s="61"/>
      <c r="AI24" s="61"/>
      <c r="AJ24" s="61"/>
      <c r="AK24" s="61"/>
      <c r="AL24" s="61"/>
      <c r="AM24" s="60"/>
      <c r="AN24" s="61"/>
      <c r="AO24" s="61"/>
      <c r="AP24" s="60"/>
      <c r="AQ24" s="62"/>
      <c r="AR24" s="61"/>
      <c r="AS24" s="65"/>
    </row>
    <row r="25" spans="1:45" s="63" customFormat="1" ht="12.95" customHeight="1" x14ac:dyDescent="0.25">
      <c r="A25" s="41"/>
      <c r="B25" s="42" t="s">
        <v>15</v>
      </c>
      <c r="C25" s="43"/>
      <c r="D25" s="43"/>
      <c r="E25" s="43"/>
      <c r="F25" s="43"/>
      <c r="G25" s="43"/>
      <c r="H25" s="43"/>
      <c r="I25" s="43" t="s">
        <v>7</v>
      </c>
      <c r="J25" s="43" t="s">
        <v>7</v>
      </c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  <c r="AA25" s="43"/>
      <c r="AB25" s="43"/>
      <c r="AC25" s="43"/>
      <c r="AD25" s="43"/>
      <c r="AE25" s="43"/>
      <c r="AF25" s="43"/>
      <c r="AG25" s="43"/>
      <c r="AH25" s="44">
        <f>COUNTA(Juin!$C25:$AF25)</f>
        <v>2</v>
      </c>
      <c r="AI25" s="45">
        <f>(COUNTIFS(Juin!$C25:$AF25,("cp")))/2</f>
        <v>1</v>
      </c>
      <c r="AJ25" s="45">
        <f>COUNTIFS(Juin!$C25:$AG25,"RTT")/2</f>
        <v>0</v>
      </c>
      <c r="AK25" s="45">
        <f>COUNTIFS(Juin!$C25:$AG25,"m")/2</f>
        <v>0</v>
      </c>
      <c r="AL25" s="45">
        <f>COUNTIFS(Juin!$C25:$AG25,"a")/2</f>
        <v>0</v>
      </c>
      <c r="AM25" s="46"/>
      <c r="AN25" s="47"/>
      <c r="AO25" s="47"/>
      <c r="AP25" s="46"/>
      <c r="AQ25" s="59"/>
      <c r="AR25" s="47"/>
      <c r="AS25" s="47"/>
    </row>
    <row r="26" spans="1:45" s="63" customFormat="1" ht="12.95" customHeight="1" x14ac:dyDescent="0.25">
      <c r="A26" s="48">
        <v>38626</v>
      </c>
      <c r="B26" s="42" t="s">
        <v>16</v>
      </c>
      <c r="C26" s="43"/>
      <c r="D26" s="43"/>
      <c r="E26" s="43"/>
      <c r="F26" s="43"/>
      <c r="G26" s="43"/>
      <c r="H26" s="43"/>
      <c r="I26" s="43" t="s">
        <v>7</v>
      </c>
      <c r="J26" s="43" t="s">
        <v>7</v>
      </c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43"/>
      <c r="AB26" s="43"/>
      <c r="AC26" s="43"/>
      <c r="AD26" s="43"/>
      <c r="AE26" s="43"/>
      <c r="AF26" s="43"/>
      <c r="AG26" s="43"/>
      <c r="AH26" s="44">
        <f>COUNTA(Juin!$C26:$AF26)</f>
        <v>2</v>
      </c>
      <c r="AI26" s="45">
        <f>(COUNTIFS(Juin!$C26:$AF26,("cp")))/2</f>
        <v>1</v>
      </c>
      <c r="AJ26" s="45">
        <f>COUNTIFS(Juin!$C26:$AG26,"RTT")/2</f>
        <v>0</v>
      </c>
      <c r="AK26" s="45">
        <f>COUNTIFS(Juin!$C26:$AG26,"m")/2</f>
        <v>0</v>
      </c>
      <c r="AL26" s="45">
        <f>COUNTIFS(Juin!$C26:$AG26,"a")/2</f>
        <v>0</v>
      </c>
      <c r="AM26" s="46"/>
      <c r="AN26" s="47"/>
      <c r="AO26" s="47"/>
      <c r="AP26" s="46"/>
      <c r="AQ26" s="59"/>
      <c r="AR26" s="47"/>
      <c r="AS26" s="101"/>
    </row>
    <row r="27" spans="1:45" s="63" customFormat="1" ht="12.95" customHeight="1" x14ac:dyDescent="0.25">
      <c r="A27" s="41"/>
      <c r="B27" s="42"/>
      <c r="C27" s="49" t="str">
        <f t="shared" ref="C27:AG27" si="12">IF(C25&gt;0,C25,IF(C26&gt;0,C26,""))</f>
        <v/>
      </c>
      <c r="D27" s="49" t="str">
        <f t="shared" si="12"/>
        <v/>
      </c>
      <c r="E27" s="49" t="str">
        <f t="shared" si="12"/>
        <v/>
      </c>
      <c r="F27" s="49" t="str">
        <f t="shared" si="12"/>
        <v/>
      </c>
      <c r="G27" s="49" t="str">
        <f t="shared" si="12"/>
        <v/>
      </c>
      <c r="H27" s="49" t="str">
        <f t="shared" si="12"/>
        <v/>
      </c>
      <c r="I27" s="49" t="str">
        <f t="shared" si="12"/>
        <v>CP</v>
      </c>
      <c r="J27" s="49" t="str">
        <f t="shared" si="12"/>
        <v>CP</v>
      </c>
      <c r="K27" s="49" t="str">
        <f t="shared" si="12"/>
        <v/>
      </c>
      <c r="L27" s="49" t="str">
        <f t="shared" si="12"/>
        <v/>
      </c>
      <c r="M27" s="49" t="str">
        <f t="shared" si="12"/>
        <v/>
      </c>
      <c r="N27" s="49" t="str">
        <f t="shared" si="12"/>
        <v/>
      </c>
      <c r="O27" s="49" t="str">
        <f t="shared" si="12"/>
        <v/>
      </c>
      <c r="P27" s="49" t="str">
        <f t="shared" si="12"/>
        <v/>
      </c>
      <c r="Q27" s="49" t="str">
        <f t="shared" si="12"/>
        <v/>
      </c>
      <c r="R27" s="49" t="str">
        <f t="shared" si="12"/>
        <v/>
      </c>
      <c r="S27" s="49" t="str">
        <f t="shared" si="12"/>
        <v/>
      </c>
      <c r="T27" s="49" t="str">
        <f t="shared" si="12"/>
        <v/>
      </c>
      <c r="U27" s="49" t="str">
        <f t="shared" si="12"/>
        <v/>
      </c>
      <c r="V27" s="49" t="str">
        <f t="shared" si="12"/>
        <v/>
      </c>
      <c r="W27" s="49" t="str">
        <f t="shared" si="12"/>
        <v/>
      </c>
      <c r="X27" s="49" t="str">
        <f t="shared" si="12"/>
        <v/>
      </c>
      <c r="Y27" s="49" t="str">
        <f t="shared" si="12"/>
        <v/>
      </c>
      <c r="Z27" s="49" t="str">
        <f t="shared" si="12"/>
        <v/>
      </c>
      <c r="AA27" s="49" t="str">
        <f t="shared" si="12"/>
        <v/>
      </c>
      <c r="AB27" s="49" t="str">
        <f t="shared" si="12"/>
        <v/>
      </c>
      <c r="AC27" s="49" t="str">
        <f t="shared" si="12"/>
        <v/>
      </c>
      <c r="AD27" s="49" t="str">
        <f t="shared" si="12"/>
        <v/>
      </c>
      <c r="AE27" s="49" t="str">
        <f t="shared" si="12"/>
        <v/>
      </c>
      <c r="AF27" s="49" t="str">
        <f t="shared" si="12"/>
        <v/>
      </c>
      <c r="AG27" s="49" t="str">
        <f t="shared" si="12"/>
        <v/>
      </c>
      <c r="AH27" s="44">
        <f>SUM(AH25:AH26)</f>
        <v>4</v>
      </c>
      <c r="AI27" s="45">
        <f>SUM(AI25:AI26)</f>
        <v>2</v>
      </c>
      <c r="AJ27" s="45">
        <f>SUM(AJ25:AJ26)</f>
        <v>0</v>
      </c>
      <c r="AK27" s="45">
        <f t="shared" ref="AK27:AL27" si="13">SUM(AK25:AK26)</f>
        <v>0</v>
      </c>
      <c r="AL27" s="45">
        <f t="shared" si="13"/>
        <v>0</v>
      </c>
      <c r="AM27" s="50">
        <v>28.7</v>
      </c>
      <c r="AN27" s="51">
        <f>IF(A26="","",IF(A26&gt;NomMois,0,IF(A26&lt;$A$3,2.08,(NETWORKDAYS(A26,$A$2)/21.66667)*2.08)))</f>
        <v>2.08</v>
      </c>
      <c r="AO27" s="51">
        <f>IF(AN27="",0,+AN27)</f>
        <v>2.08</v>
      </c>
      <c r="AP27" s="50"/>
      <c r="AQ27" s="51">
        <f>+AM27-AI27</f>
        <v>26.7</v>
      </c>
      <c r="AR27" s="45">
        <f>+AP27-AJ27</f>
        <v>0</v>
      </c>
      <c r="AS27" s="102">
        <f t="shared" ref="AS27" si="14">+AO27+AQ27</f>
        <v>28.78</v>
      </c>
    </row>
    <row r="28" spans="1:45" s="63" customFormat="1" ht="6.75" customHeight="1" x14ac:dyDescent="0.25">
      <c r="A28" s="60"/>
      <c r="B28" s="53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1"/>
      <c r="AI28" s="61"/>
      <c r="AJ28" s="61"/>
      <c r="AK28" s="61"/>
      <c r="AL28" s="61"/>
      <c r="AM28" s="60"/>
      <c r="AN28" s="61"/>
      <c r="AO28" s="61"/>
      <c r="AP28" s="60"/>
      <c r="AQ28" s="62"/>
      <c r="AR28" s="61"/>
      <c r="AS28" s="65"/>
    </row>
    <row r="29" spans="1:45" s="63" customFormat="1" ht="12.95" customHeight="1" x14ac:dyDescent="0.25">
      <c r="A29" s="41"/>
      <c r="B29" s="42" t="s">
        <v>15</v>
      </c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4">
        <f>COUNTA(Juin!$C29:$AF29)</f>
        <v>0</v>
      </c>
      <c r="AI29" s="45">
        <f>(COUNTIFS(Juin!$C29:$AF29,("cp")))/2</f>
        <v>0</v>
      </c>
      <c r="AJ29" s="45">
        <f>COUNTIFS(Juin!$C29:$AG29,"RTT")/2</f>
        <v>0</v>
      </c>
      <c r="AK29" s="45">
        <f>COUNTIFS(Juin!$C29:$AG29,"m")/2</f>
        <v>0</v>
      </c>
      <c r="AL29" s="45">
        <f>COUNTIFS(Juin!$C29:$AG29,"a")/2</f>
        <v>0</v>
      </c>
      <c r="AM29" s="46"/>
      <c r="AN29" s="47"/>
      <c r="AO29" s="47"/>
      <c r="AP29" s="46"/>
      <c r="AQ29" s="59"/>
      <c r="AR29" s="47"/>
      <c r="AS29" s="47"/>
    </row>
    <row r="30" spans="1:45" s="63" customFormat="1" ht="12.95" customHeight="1" x14ac:dyDescent="0.25">
      <c r="A30" s="48">
        <v>36892</v>
      </c>
      <c r="B30" s="42" t="s">
        <v>16</v>
      </c>
      <c r="C30" s="43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4">
        <f>COUNTA(Juin!$C30:$AF30)</f>
        <v>0</v>
      </c>
      <c r="AI30" s="45">
        <f>(COUNTIFS(Juin!$C30:$AF30,("cp")))/2</f>
        <v>0</v>
      </c>
      <c r="AJ30" s="45">
        <f>COUNTIFS(Juin!$C30:$AG30,"RTT")/2</f>
        <v>0</v>
      </c>
      <c r="AK30" s="45">
        <f>COUNTIFS(Juin!$C30:$AG30,"m")/2</f>
        <v>0</v>
      </c>
      <c r="AL30" s="45">
        <f>COUNTIFS(Juin!$C30:$AG30,"a")/2</f>
        <v>0</v>
      </c>
      <c r="AM30" s="46"/>
      <c r="AN30" s="47"/>
      <c r="AO30" s="47"/>
      <c r="AP30" s="46"/>
      <c r="AQ30" s="59"/>
      <c r="AR30" s="47"/>
      <c r="AS30" s="101"/>
    </row>
    <row r="31" spans="1:45" s="63" customFormat="1" ht="12.95" customHeight="1" x14ac:dyDescent="0.25">
      <c r="A31" s="41"/>
      <c r="B31" s="42"/>
      <c r="C31" s="49" t="str">
        <f t="shared" ref="C31:AG31" si="15">IF(C29&gt;0,C29,IF(C30&gt;0,C30,""))</f>
        <v/>
      </c>
      <c r="D31" s="49" t="str">
        <f t="shared" si="15"/>
        <v/>
      </c>
      <c r="E31" s="49" t="str">
        <f t="shared" si="15"/>
        <v/>
      </c>
      <c r="F31" s="49" t="str">
        <f t="shared" si="15"/>
        <v/>
      </c>
      <c r="G31" s="49" t="str">
        <f t="shared" si="15"/>
        <v/>
      </c>
      <c r="H31" s="49" t="str">
        <f t="shared" si="15"/>
        <v/>
      </c>
      <c r="I31" s="49" t="str">
        <f t="shared" si="15"/>
        <v/>
      </c>
      <c r="J31" s="49" t="str">
        <f t="shared" si="15"/>
        <v/>
      </c>
      <c r="K31" s="49" t="str">
        <f t="shared" si="15"/>
        <v/>
      </c>
      <c r="L31" s="49" t="str">
        <f t="shared" si="15"/>
        <v/>
      </c>
      <c r="M31" s="49" t="str">
        <f t="shared" si="15"/>
        <v/>
      </c>
      <c r="N31" s="49" t="str">
        <f t="shared" si="15"/>
        <v/>
      </c>
      <c r="O31" s="49" t="str">
        <f t="shared" si="15"/>
        <v/>
      </c>
      <c r="P31" s="49" t="str">
        <f t="shared" si="15"/>
        <v/>
      </c>
      <c r="Q31" s="49" t="str">
        <f t="shared" si="15"/>
        <v/>
      </c>
      <c r="R31" s="49" t="str">
        <f t="shared" si="15"/>
        <v/>
      </c>
      <c r="S31" s="49" t="str">
        <f t="shared" si="15"/>
        <v/>
      </c>
      <c r="T31" s="49" t="str">
        <f t="shared" si="15"/>
        <v/>
      </c>
      <c r="U31" s="49" t="str">
        <f t="shared" si="15"/>
        <v/>
      </c>
      <c r="V31" s="49" t="str">
        <f t="shared" si="15"/>
        <v/>
      </c>
      <c r="W31" s="49" t="str">
        <f t="shared" si="15"/>
        <v/>
      </c>
      <c r="X31" s="49" t="str">
        <f t="shared" si="15"/>
        <v/>
      </c>
      <c r="Y31" s="49" t="str">
        <f t="shared" si="15"/>
        <v/>
      </c>
      <c r="Z31" s="49" t="str">
        <f t="shared" si="15"/>
        <v/>
      </c>
      <c r="AA31" s="49" t="str">
        <f t="shared" si="15"/>
        <v/>
      </c>
      <c r="AB31" s="49" t="str">
        <f t="shared" si="15"/>
        <v/>
      </c>
      <c r="AC31" s="49" t="str">
        <f t="shared" si="15"/>
        <v/>
      </c>
      <c r="AD31" s="49" t="str">
        <f t="shared" si="15"/>
        <v/>
      </c>
      <c r="AE31" s="49" t="str">
        <f t="shared" si="15"/>
        <v/>
      </c>
      <c r="AF31" s="49" t="str">
        <f t="shared" si="15"/>
        <v/>
      </c>
      <c r="AG31" s="49" t="str">
        <f t="shared" si="15"/>
        <v/>
      </c>
      <c r="AH31" s="44">
        <f>SUM(AH29:AH30)</f>
        <v>0</v>
      </c>
      <c r="AI31" s="45">
        <f>SUM(AI29:AI30)</f>
        <v>0</v>
      </c>
      <c r="AJ31" s="45">
        <f>SUM(AJ29:AJ30)</f>
        <v>0</v>
      </c>
      <c r="AK31" s="45">
        <f t="shared" ref="AK31:AL31" si="16">SUM(AK29:AK30)</f>
        <v>0</v>
      </c>
      <c r="AL31" s="45">
        <f t="shared" si="16"/>
        <v>0</v>
      </c>
      <c r="AM31" s="50">
        <v>30.37</v>
      </c>
      <c r="AN31" s="51">
        <f>IF(A30="","",IF(A30&gt;NomMois,0,IF(A30&lt;$A$3,2.08,(NETWORKDAYS(A30,$A$2)/21.66667)*2.08)))</f>
        <v>2.08</v>
      </c>
      <c r="AO31" s="51">
        <f>IF(AN31="",0,+AN31)</f>
        <v>2.08</v>
      </c>
      <c r="AP31" s="50"/>
      <c r="AQ31" s="51">
        <f>+AM31-AI31</f>
        <v>30.37</v>
      </c>
      <c r="AR31" s="45">
        <f>+AP31-AJ31</f>
        <v>0</v>
      </c>
      <c r="AS31" s="102">
        <f t="shared" ref="AS31:AS91" si="17">+AO31+AQ31</f>
        <v>32.450000000000003</v>
      </c>
    </row>
    <row r="32" spans="1:45" s="63" customFormat="1" ht="6.75" customHeight="1" x14ac:dyDescent="0.25">
      <c r="A32" s="60"/>
      <c r="B32" s="53"/>
      <c r="C32" s="60"/>
      <c r="D32" s="60"/>
      <c r="E32" s="60"/>
      <c r="F32" s="60"/>
      <c r="G32" s="60"/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1"/>
      <c r="AI32" s="61"/>
      <c r="AJ32" s="61"/>
      <c r="AK32" s="61"/>
      <c r="AL32" s="61"/>
      <c r="AM32" s="60"/>
      <c r="AN32" s="61"/>
      <c r="AO32" s="61"/>
      <c r="AP32" s="60"/>
      <c r="AQ32" s="68"/>
      <c r="AR32" s="69"/>
      <c r="AS32" s="65"/>
    </row>
    <row r="33" spans="1:45" s="63" customFormat="1" ht="12.95" customHeight="1" x14ac:dyDescent="0.25">
      <c r="A33" s="41"/>
      <c r="B33" s="42" t="s">
        <v>15</v>
      </c>
      <c r="C33" s="43"/>
      <c r="D33" s="43"/>
      <c r="E33" s="43"/>
      <c r="F33" s="43"/>
      <c r="G33" s="43"/>
      <c r="H33" s="43"/>
      <c r="I33" s="43"/>
      <c r="J33" s="43"/>
      <c r="K33" s="43" t="s">
        <v>7</v>
      </c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4">
        <f>COUNTA(Juin!$C33:$AF33)</f>
        <v>1</v>
      </c>
      <c r="AI33" s="45">
        <f>(COUNTIFS(Juin!$C33:$AF33,("cp")))/2</f>
        <v>0.5</v>
      </c>
      <c r="AJ33" s="45">
        <f>COUNTIFS(Juin!$C33:$AG33,"RTT")/2</f>
        <v>0</v>
      </c>
      <c r="AK33" s="45">
        <f>COUNTIFS(Juin!$C33:$AG33,"m")/2</f>
        <v>0</v>
      </c>
      <c r="AL33" s="45">
        <f>COUNTIFS(Juin!$C33:$AG33,"a")/2</f>
        <v>0</v>
      </c>
      <c r="AM33" s="46"/>
      <c r="AN33" s="47"/>
      <c r="AO33" s="47"/>
      <c r="AP33" s="46"/>
      <c r="AQ33" s="59"/>
      <c r="AR33" s="47"/>
      <c r="AS33" s="47"/>
    </row>
    <row r="34" spans="1:45" s="63" customFormat="1" ht="12.95" customHeight="1" x14ac:dyDescent="0.25">
      <c r="A34" s="48">
        <v>42110</v>
      </c>
      <c r="B34" s="42" t="s">
        <v>16</v>
      </c>
      <c r="C34" s="43"/>
      <c r="D34" s="43"/>
      <c r="E34" s="43"/>
      <c r="F34" s="43"/>
      <c r="G34" s="43"/>
      <c r="H34" s="43"/>
      <c r="I34" s="43"/>
      <c r="J34" s="43"/>
      <c r="K34" s="43" t="s">
        <v>7</v>
      </c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3"/>
      <c r="AE34" s="43"/>
      <c r="AF34" s="43"/>
      <c r="AG34" s="43"/>
      <c r="AH34" s="44">
        <f>COUNTA(Juin!$C34:$AF34)</f>
        <v>1</v>
      </c>
      <c r="AI34" s="45">
        <f>(COUNTIFS(Juin!$C34:$AF34,("cp")))/2</f>
        <v>0.5</v>
      </c>
      <c r="AJ34" s="45">
        <f>COUNTIFS(Juin!$C34:$AG34,"RTT")/2</f>
        <v>0</v>
      </c>
      <c r="AK34" s="45">
        <f>COUNTIFS(Juin!$C34:$AG34,"m")/2</f>
        <v>0</v>
      </c>
      <c r="AL34" s="45">
        <f>COUNTIFS(Juin!$C34:$AG34,"a")/2</f>
        <v>0</v>
      </c>
      <c r="AM34" s="46"/>
      <c r="AN34" s="47"/>
      <c r="AO34" s="47"/>
      <c r="AP34" s="46"/>
      <c r="AQ34" s="59"/>
      <c r="AR34" s="47"/>
      <c r="AS34" s="101"/>
    </row>
    <row r="35" spans="1:45" s="63" customFormat="1" ht="12.95" customHeight="1" x14ac:dyDescent="0.25">
      <c r="A35" s="41"/>
      <c r="B35" s="42"/>
      <c r="C35" s="49" t="str">
        <f t="shared" ref="C35:AF35" si="18">IF(C33&gt;0,C33,IF(C34&gt;0,C34,""))</f>
        <v/>
      </c>
      <c r="D35" s="49" t="str">
        <f t="shared" si="18"/>
        <v/>
      </c>
      <c r="E35" s="49" t="str">
        <f t="shared" si="18"/>
        <v/>
      </c>
      <c r="F35" s="49" t="str">
        <f t="shared" si="18"/>
        <v/>
      </c>
      <c r="G35" s="49" t="str">
        <f t="shared" si="18"/>
        <v/>
      </c>
      <c r="H35" s="49" t="str">
        <f t="shared" si="18"/>
        <v/>
      </c>
      <c r="I35" s="49" t="str">
        <f t="shared" si="18"/>
        <v/>
      </c>
      <c r="J35" s="49" t="str">
        <f t="shared" si="18"/>
        <v/>
      </c>
      <c r="K35" s="49" t="str">
        <f t="shared" si="18"/>
        <v>CP</v>
      </c>
      <c r="L35" s="49" t="str">
        <f t="shared" si="18"/>
        <v/>
      </c>
      <c r="M35" s="49" t="str">
        <f t="shared" si="18"/>
        <v/>
      </c>
      <c r="N35" s="49" t="str">
        <f t="shared" si="18"/>
        <v/>
      </c>
      <c r="O35" s="49" t="str">
        <f t="shared" si="18"/>
        <v/>
      </c>
      <c r="P35" s="49" t="str">
        <f t="shared" si="18"/>
        <v/>
      </c>
      <c r="Q35" s="49" t="str">
        <f t="shared" si="18"/>
        <v/>
      </c>
      <c r="R35" s="49" t="str">
        <f t="shared" si="18"/>
        <v/>
      </c>
      <c r="S35" s="49" t="str">
        <f t="shared" si="18"/>
        <v/>
      </c>
      <c r="T35" s="49" t="str">
        <f t="shared" si="18"/>
        <v/>
      </c>
      <c r="U35" s="49" t="str">
        <f t="shared" si="18"/>
        <v/>
      </c>
      <c r="V35" s="49" t="str">
        <f t="shared" si="18"/>
        <v/>
      </c>
      <c r="W35" s="49" t="str">
        <f t="shared" si="18"/>
        <v/>
      </c>
      <c r="X35" s="49" t="str">
        <f t="shared" si="18"/>
        <v/>
      </c>
      <c r="Y35" s="49" t="str">
        <f t="shared" si="18"/>
        <v/>
      </c>
      <c r="Z35" s="49" t="str">
        <f t="shared" si="18"/>
        <v/>
      </c>
      <c r="AA35" s="49" t="str">
        <f t="shared" si="18"/>
        <v/>
      </c>
      <c r="AB35" s="49" t="str">
        <f t="shared" si="18"/>
        <v/>
      </c>
      <c r="AC35" s="49" t="str">
        <f t="shared" si="18"/>
        <v/>
      </c>
      <c r="AD35" s="49" t="str">
        <f t="shared" si="18"/>
        <v/>
      </c>
      <c r="AE35" s="49" t="str">
        <f t="shared" si="18"/>
        <v/>
      </c>
      <c r="AF35" s="49" t="str">
        <f t="shared" si="18"/>
        <v/>
      </c>
      <c r="AG35" s="44">
        <f>SUM(AG33:AG34)</f>
        <v>0</v>
      </c>
      <c r="AH35" s="44">
        <f>SUM(AH33:AH34)</f>
        <v>2</v>
      </c>
      <c r="AI35" s="45">
        <f>SUM(AI33:AI34)</f>
        <v>1</v>
      </c>
      <c r="AJ35" s="45">
        <f>SUM(AJ33:AJ34)</f>
        <v>0</v>
      </c>
      <c r="AK35" s="45">
        <f t="shared" ref="AK35:AL35" si="19">SUM(AK33:AK34)</f>
        <v>0</v>
      </c>
      <c r="AL35" s="45">
        <f t="shared" si="19"/>
        <v>0</v>
      </c>
      <c r="AM35" s="50">
        <v>14.56</v>
      </c>
      <c r="AN35" s="51">
        <f>IF(A34="","",IF(A34&gt;NomMois,0,IF(A34&lt;$A$3,2.08,(NETWORKDAYS(A34,$A$2)/21.66667)*2.08)))</f>
        <v>2.08</v>
      </c>
      <c r="AO35" s="51">
        <f>IF(AN35="",0,+AN35)</f>
        <v>2.08</v>
      </c>
      <c r="AP35" s="50"/>
      <c r="AQ35" s="51">
        <f>+AM35-AI35</f>
        <v>13.56</v>
      </c>
      <c r="AR35" s="45">
        <f>+AP35-AJ35</f>
        <v>0</v>
      </c>
      <c r="AS35" s="102">
        <f t="shared" si="17"/>
        <v>15.64</v>
      </c>
    </row>
    <row r="36" spans="1:45" s="63" customFormat="1" ht="6.75" customHeight="1" x14ac:dyDescent="0.25">
      <c r="A36" s="60"/>
      <c r="B36" s="53"/>
      <c r="C36" s="60"/>
      <c r="D36" s="60"/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0"/>
      <c r="Z36" s="60"/>
      <c r="AA36" s="60"/>
      <c r="AB36" s="60"/>
      <c r="AC36" s="60"/>
      <c r="AD36" s="60"/>
      <c r="AE36" s="60"/>
      <c r="AF36" s="60"/>
      <c r="AG36" s="60"/>
      <c r="AH36" s="61"/>
      <c r="AI36" s="61"/>
      <c r="AJ36" s="61"/>
      <c r="AK36" s="61"/>
      <c r="AL36" s="61"/>
      <c r="AM36" s="60"/>
      <c r="AN36" s="61"/>
      <c r="AO36" s="61"/>
      <c r="AP36" s="60"/>
      <c r="AQ36" s="62"/>
      <c r="AR36" s="61"/>
      <c r="AS36" s="65"/>
    </row>
    <row r="37" spans="1:45" s="63" customFormat="1" ht="12.95" customHeight="1" x14ac:dyDescent="0.25">
      <c r="A37" s="41"/>
      <c r="B37" s="42" t="s">
        <v>15</v>
      </c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  <c r="AB37" s="43"/>
      <c r="AC37" s="43"/>
      <c r="AD37" s="43"/>
      <c r="AE37" s="43"/>
      <c r="AF37" s="43"/>
      <c r="AG37" s="43"/>
      <c r="AH37" s="44">
        <f>COUNTA(Juin!$C37:$AF37)</f>
        <v>0</v>
      </c>
      <c r="AI37" s="45">
        <f>(COUNTIFS(Juin!$C37:$AF37,("cp")))/2</f>
        <v>0</v>
      </c>
      <c r="AJ37" s="45">
        <f>COUNTIFS(Juin!$C37:$AG37,"RTT")/2</f>
        <v>0</v>
      </c>
      <c r="AK37" s="45">
        <f>COUNTIFS(Juin!$C37:$AG37,"m")/2</f>
        <v>0</v>
      </c>
      <c r="AL37" s="45">
        <f>COUNTIFS(Juin!$C37:$AG37,"a")/2</f>
        <v>0</v>
      </c>
      <c r="AM37" s="46"/>
      <c r="AN37" s="47"/>
      <c r="AO37" s="47"/>
      <c r="AP37" s="46"/>
      <c r="AQ37" s="59"/>
      <c r="AR37" s="47"/>
      <c r="AS37" s="47"/>
    </row>
    <row r="38" spans="1:45" s="63" customFormat="1" ht="12.95" customHeight="1" x14ac:dyDescent="0.25">
      <c r="A38" s="48">
        <v>42373</v>
      </c>
      <c r="B38" s="42" t="s">
        <v>16</v>
      </c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4">
        <f>COUNTA(Juin!$C38:$AF38)</f>
        <v>0</v>
      </c>
      <c r="AI38" s="45">
        <f>(COUNTIFS(Juin!$C38:$AF38,("cp")))/2</f>
        <v>0</v>
      </c>
      <c r="AJ38" s="45">
        <f>COUNTIFS(Juin!$C38:$AG38,"RTT")/2</f>
        <v>0</v>
      </c>
      <c r="AK38" s="45">
        <f>COUNTIFS(Juin!$C38:$AG38,"m")/2</f>
        <v>0</v>
      </c>
      <c r="AL38" s="45">
        <f>COUNTIFS(Juin!$C38:$AG38,"a")/2</f>
        <v>0</v>
      </c>
      <c r="AM38" s="46"/>
      <c r="AN38" s="47"/>
      <c r="AO38" s="47"/>
      <c r="AP38" s="46"/>
      <c r="AQ38" s="59"/>
      <c r="AR38" s="47"/>
      <c r="AS38" s="101"/>
    </row>
    <row r="39" spans="1:45" s="63" customFormat="1" ht="12.95" customHeight="1" x14ac:dyDescent="0.25">
      <c r="A39" s="41"/>
      <c r="B39" s="42"/>
      <c r="C39" s="49" t="str">
        <f t="shared" ref="C39:AF39" si="20">IF(C37&gt;0,C37,IF(C38&gt;0,C38,""))</f>
        <v/>
      </c>
      <c r="D39" s="49" t="str">
        <f t="shared" si="20"/>
        <v/>
      </c>
      <c r="E39" s="49" t="str">
        <f t="shared" si="20"/>
        <v/>
      </c>
      <c r="F39" s="49" t="str">
        <f t="shared" si="20"/>
        <v/>
      </c>
      <c r="G39" s="49" t="str">
        <f t="shared" si="20"/>
        <v/>
      </c>
      <c r="H39" s="49" t="str">
        <f t="shared" si="20"/>
        <v/>
      </c>
      <c r="I39" s="49" t="str">
        <f t="shared" si="20"/>
        <v/>
      </c>
      <c r="J39" s="49" t="str">
        <f t="shared" si="20"/>
        <v/>
      </c>
      <c r="K39" s="49" t="str">
        <f t="shared" si="20"/>
        <v/>
      </c>
      <c r="L39" s="49" t="str">
        <f t="shared" si="20"/>
        <v/>
      </c>
      <c r="M39" s="49" t="str">
        <f t="shared" si="20"/>
        <v/>
      </c>
      <c r="N39" s="49" t="str">
        <f t="shared" si="20"/>
        <v/>
      </c>
      <c r="O39" s="49" t="str">
        <f t="shared" si="20"/>
        <v/>
      </c>
      <c r="P39" s="49" t="str">
        <f t="shared" si="20"/>
        <v/>
      </c>
      <c r="Q39" s="49" t="str">
        <f t="shared" si="20"/>
        <v/>
      </c>
      <c r="R39" s="49" t="str">
        <f t="shared" si="20"/>
        <v/>
      </c>
      <c r="S39" s="49" t="str">
        <f t="shared" si="20"/>
        <v/>
      </c>
      <c r="T39" s="49" t="str">
        <f t="shared" si="20"/>
        <v/>
      </c>
      <c r="U39" s="49" t="str">
        <f t="shared" si="20"/>
        <v/>
      </c>
      <c r="V39" s="49" t="str">
        <f t="shared" si="20"/>
        <v/>
      </c>
      <c r="W39" s="49" t="str">
        <f t="shared" si="20"/>
        <v/>
      </c>
      <c r="X39" s="49" t="str">
        <f t="shared" si="20"/>
        <v/>
      </c>
      <c r="Y39" s="49" t="str">
        <f t="shared" si="20"/>
        <v/>
      </c>
      <c r="Z39" s="49" t="str">
        <f t="shared" si="20"/>
        <v/>
      </c>
      <c r="AA39" s="49" t="str">
        <f t="shared" si="20"/>
        <v/>
      </c>
      <c r="AB39" s="49" t="str">
        <f t="shared" si="20"/>
        <v/>
      </c>
      <c r="AC39" s="49" t="str">
        <f t="shared" si="20"/>
        <v/>
      </c>
      <c r="AD39" s="49" t="str">
        <f t="shared" si="20"/>
        <v/>
      </c>
      <c r="AE39" s="49" t="str">
        <f t="shared" si="20"/>
        <v/>
      </c>
      <c r="AF39" s="49" t="str">
        <f t="shared" si="20"/>
        <v/>
      </c>
      <c r="AG39" s="44">
        <f>SUM(AG37:AG38)</f>
        <v>0</v>
      </c>
      <c r="AH39" s="44">
        <f>SUM(AH37:AH38)</f>
        <v>0</v>
      </c>
      <c r="AI39" s="45">
        <f>SUM(AI37:AI38)</f>
        <v>0</v>
      </c>
      <c r="AJ39" s="45">
        <f>SUM(AJ37:AJ38)</f>
        <v>0</v>
      </c>
      <c r="AK39" s="45">
        <f t="shared" ref="AK39:AL39" si="21">SUM(AK37:AK38)</f>
        <v>0</v>
      </c>
      <c r="AL39" s="45">
        <f t="shared" si="21"/>
        <v>0</v>
      </c>
      <c r="AM39" s="50">
        <v>14.14</v>
      </c>
      <c r="AN39" s="51">
        <f>IF(A38="","",IF(A38&gt;NomMois,0,IF(A38&lt;$A$3,2.08,(NETWORKDAYS(A38,$A$2)/21.66667)*2.08)))</f>
        <v>2.08</v>
      </c>
      <c r="AO39" s="51">
        <f>IF(AN39="",0,+AN39)</f>
        <v>2.08</v>
      </c>
      <c r="AP39" s="50"/>
      <c r="AQ39" s="51">
        <f>+AM39-AI39</f>
        <v>14.14</v>
      </c>
      <c r="AR39" s="45">
        <f>+AP39-AJ39</f>
        <v>0</v>
      </c>
      <c r="AS39" s="102">
        <f t="shared" si="17"/>
        <v>16.22</v>
      </c>
    </row>
    <row r="40" spans="1:45" s="63" customFormat="1" ht="6.75" customHeight="1" x14ac:dyDescent="0.25">
      <c r="A40" s="60"/>
      <c r="B40" s="53"/>
      <c r="C40" s="60"/>
      <c r="D40" s="60"/>
      <c r="E40" s="60"/>
      <c r="F40" s="60"/>
      <c r="G40" s="60"/>
      <c r="H40" s="60"/>
      <c r="I40" s="60"/>
      <c r="J40" s="60"/>
      <c r="K40" s="60"/>
      <c r="L40" s="60"/>
      <c r="M40" s="60"/>
      <c r="N40" s="60"/>
      <c r="O40" s="60"/>
      <c r="P40" s="60"/>
      <c r="Q40" s="60"/>
      <c r="R40" s="60"/>
      <c r="S40" s="60"/>
      <c r="T40" s="60"/>
      <c r="U40" s="60"/>
      <c r="V40" s="60"/>
      <c r="W40" s="60"/>
      <c r="X40" s="60"/>
      <c r="Y40" s="60"/>
      <c r="Z40" s="60"/>
      <c r="AA40" s="60"/>
      <c r="AB40" s="60"/>
      <c r="AC40" s="60"/>
      <c r="AD40" s="60"/>
      <c r="AE40" s="60"/>
      <c r="AF40" s="60"/>
      <c r="AG40" s="60"/>
      <c r="AH40" s="61"/>
      <c r="AI40" s="61"/>
      <c r="AJ40" s="61"/>
      <c r="AK40" s="61"/>
      <c r="AL40" s="61"/>
      <c r="AM40" s="60"/>
      <c r="AN40" s="61"/>
      <c r="AO40" s="61"/>
      <c r="AP40" s="60"/>
      <c r="AQ40" s="62"/>
      <c r="AR40" s="61"/>
      <c r="AS40" s="65"/>
    </row>
    <row r="41" spans="1:45" s="63" customFormat="1" ht="12.95" customHeight="1" x14ac:dyDescent="0.25">
      <c r="A41" s="41"/>
      <c r="B41" s="42" t="s">
        <v>15</v>
      </c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4">
        <f>COUNTA(Juin!$C41:$AF41)</f>
        <v>0</v>
      </c>
      <c r="AI41" s="45">
        <f>(COUNTIFS(Juin!$C41:$AF41,("cp")))/2</f>
        <v>0</v>
      </c>
      <c r="AJ41" s="45">
        <f>COUNTIFS(Juin!$C41:$AG41,"RTT")/2</f>
        <v>0</v>
      </c>
      <c r="AK41" s="45">
        <f>COUNTIFS(Juin!$C41:$AG41,"m")/2</f>
        <v>0</v>
      </c>
      <c r="AL41" s="45">
        <f>COUNTIFS(Juin!$C41:$AG41,"a")/2</f>
        <v>0</v>
      </c>
      <c r="AM41" s="46"/>
      <c r="AN41" s="47"/>
      <c r="AO41" s="47"/>
      <c r="AP41" s="46"/>
      <c r="AQ41" s="59"/>
      <c r="AR41" s="47"/>
      <c r="AS41" s="47"/>
    </row>
    <row r="42" spans="1:45" s="63" customFormat="1" ht="12.95" customHeight="1" x14ac:dyDescent="0.25">
      <c r="A42" s="48">
        <v>41821</v>
      </c>
      <c r="B42" s="42" t="s">
        <v>16</v>
      </c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3"/>
      <c r="AE42" s="43"/>
      <c r="AF42" s="43"/>
      <c r="AG42" s="43"/>
      <c r="AH42" s="44">
        <f>COUNTA(Juin!$C42:$AF42)</f>
        <v>0</v>
      </c>
      <c r="AI42" s="45">
        <f>(COUNTIFS(Juin!$C42:$AF42,("cp")))/2</f>
        <v>0</v>
      </c>
      <c r="AJ42" s="45">
        <f>COUNTIFS(Juin!$C42:$AG42,"RTT")/2</f>
        <v>0</v>
      </c>
      <c r="AK42" s="45">
        <f>COUNTIFS(Juin!$C42:$AG42,"m")/2</f>
        <v>0</v>
      </c>
      <c r="AL42" s="45">
        <f>COUNTIFS(Juin!$C42:$AG42,"a")/2</f>
        <v>0</v>
      </c>
      <c r="AM42" s="46"/>
      <c r="AN42" s="47"/>
      <c r="AO42" s="47"/>
      <c r="AP42" s="46"/>
      <c r="AQ42" s="59"/>
      <c r="AR42" s="47"/>
      <c r="AS42" s="101"/>
    </row>
    <row r="43" spans="1:45" s="63" customFormat="1" ht="12.95" customHeight="1" x14ac:dyDescent="0.25">
      <c r="A43" s="41"/>
      <c r="B43" s="42"/>
      <c r="C43" s="49" t="str">
        <f t="shared" ref="C43:AG43" si="22">IF(C41&gt;0,C41,IF(C42&gt;0,C42,""))</f>
        <v/>
      </c>
      <c r="D43" s="49" t="str">
        <f t="shared" si="22"/>
        <v/>
      </c>
      <c r="E43" s="49" t="str">
        <f t="shared" si="22"/>
        <v/>
      </c>
      <c r="F43" s="49" t="str">
        <f t="shared" si="22"/>
        <v/>
      </c>
      <c r="G43" s="49" t="str">
        <f t="shared" si="22"/>
        <v/>
      </c>
      <c r="H43" s="49" t="str">
        <f t="shared" si="22"/>
        <v/>
      </c>
      <c r="I43" s="49" t="str">
        <f t="shared" si="22"/>
        <v/>
      </c>
      <c r="J43" s="49" t="str">
        <f t="shared" si="22"/>
        <v/>
      </c>
      <c r="K43" s="49" t="str">
        <f t="shared" si="22"/>
        <v/>
      </c>
      <c r="L43" s="49" t="str">
        <f t="shared" si="22"/>
        <v/>
      </c>
      <c r="M43" s="49" t="str">
        <f t="shared" si="22"/>
        <v/>
      </c>
      <c r="N43" s="49" t="str">
        <f t="shared" si="22"/>
        <v/>
      </c>
      <c r="O43" s="49" t="str">
        <f t="shared" si="22"/>
        <v/>
      </c>
      <c r="P43" s="49" t="str">
        <f t="shared" si="22"/>
        <v/>
      </c>
      <c r="Q43" s="49" t="str">
        <f t="shared" si="22"/>
        <v/>
      </c>
      <c r="R43" s="49" t="str">
        <f t="shared" si="22"/>
        <v/>
      </c>
      <c r="S43" s="49" t="str">
        <f t="shared" si="22"/>
        <v/>
      </c>
      <c r="T43" s="49" t="str">
        <f t="shared" si="22"/>
        <v/>
      </c>
      <c r="U43" s="49" t="str">
        <f t="shared" si="22"/>
        <v/>
      </c>
      <c r="V43" s="49" t="str">
        <f t="shared" si="22"/>
        <v/>
      </c>
      <c r="W43" s="49" t="str">
        <f t="shared" si="22"/>
        <v/>
      </c>
      <c r="X43" s="49" t="str">
        <f t="shared" si="22"/>
        <v/>
      </c>
      <c r="Y43" s="49" t="str">
        <f t="shared" si="22"/>
        <v/>
      </c>
      <c r="Z43" s="49" t="str">
        <f t="shared" si="22"/>
        <v/>
      </c>
      <c r="AA43" s="49" t="str">
        <f t="shared" si="22"/>
        <v/>
      </c>
      <c r="AB43" s="49" t="str">
        <f t="shared" si="22"/>
        <v/>
      </c>
      <c r="AC43" s="49" t="str">
        <f t="shared" si="22"/>
        <v/>
      </c>
      <c r="AD43" s="49" t="str">
        <f t="shared" si="22"/>
        <v/>
      </c>
      <c r="AE43" s="49" t="str">
        <f t="shared" si="22"/>
        <v/>
      </c>
      <c r="AF43" s="49" t="str">
        <f t="shared" si="22"/>
        <v/>
      </c>
      <c r="AG43" s="49" t="str">
        <f t="shared" si="22"/>
        <v/>
      </c>
      <c r="AH43" s="44">
        <f>SUM(AH41:AH42)</f>
        <v>0</v>
      </c>
      <c r="AI43" s="45">
        <f>SUM(AI41:AI42)</f>
        <v>0</v>
      </c>
      <c r="AJ43" s="45">
        <f>SUM(AJ41:AJ42)</f>
        <v>0</v>
      </c>
      <c r="AK43" s="45">
        <f t="shared" ref="AK43:AL43" si="23">SUM(AK41:AK42)</f>
        <v>0</v>
      </c>
      <c r="AL43" s="45">
        <f t="shared" si="23"/>
        <v>0</v>
      </c>
      <c r="AM43" s="50">
        <v>20.38</v>
      </c>
      <c r="AN43" s="51">
        <f>IF(A42="","",IF(A42&gt;NomMois,0,IF(A42&lt;$A$3,2.08,(NETWORKDAYS(A42,$A$2)/21.66667)*2.08)))</f>
        <v>2.08</v>
      </c>
      <c r="AO43" s="51">
        <f>IF(AN43="",0,+AN43)</f>
        <v>2.08</v>
      </c>
      <c r="AP43" s="50"/>
      <c r="AQ43" s="51">
        <f>+AM43-AI43</f>
        <v>20.38</v>
      </c>
      <c r="AR43" s="45">
        <f>+AP43-AJ43</f>
        <v>0</v>
      </c>
      <c r="AS43" s="102">
        <f t="shared" si="17"/>
        <v>22.46</v>
      </c>
    </row>
    <row r="44" spans="1:45" s="63" customFormat="1" ht="6.75" customHeight="1" x14ac:dyDescent="0.25">
      <c r="A44" s="60"/>
      <c r="B44" s="53"/>
      <c r="C44" s="60"/>
      <c r="D44" s="60"/>
      <c r="E44" s="60"/>
      <c r="F44" s="60"/>
      <c r="G44" s="60"/>
      <c r="H44" s="60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61"/>
      <c r="AI44" s="61"/>
      <c r="AJ44" s="61"/>
      <c r="AK44" s="61"/>
      <c r="AL44" s="61"/>
      <c r="AM44" s="60"/>
      <c r="AN44" s="61"/>
      <c r="AO44" s="61"/>
      <c r="AP44" s="60"/>
      <c r="AQ44" s="68"/>
      <c r="AR44" s="69"/>
      <c r="AS44" s="65"/>
    </row>
    <row r="45" spans="1:45" s="63" customFormat="1" ht="12.95" customHeight="1" x14ac:dyDescent="0.25">
      <c r="A45" s="41"/>
      <c r="B45" s="42" t="s">
        <v>15</v>
      </c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4">
        <f>COUNTA(Juin!$C45:$AF45)</f>
        <v>0</v>
      </c>
      <c r="AI45" s="45">
        <f>(COUNTIFS(Juin!$C45:$AF45,("cp")))/2</f>
        <v>0</v>
      </c>
      <c r="AJ45" s="45">
        <f>COUNTIFS(Juin!$C45:$AG45,"RTT")/2</f>
        <v>0</v>
      </c>
      <c r="AK45" s="45">
        <f>COUNTIFS(Juin!$C45:$AG45,"m")/2</f>
        <v>0</v>
      </c>
      <c r="AL45" s="45">
        <f>COUNTIFS(Juin!$C45:$AG45,"a")/2</f>
        <v>0</v>
      </c>
      <c r="AM45" s="46"/>
      <c r="AN45" s="47"/>
      <c r="AO45" s="47"/>
      <c r="AP45" s="46"/>
      <c r="AQ45" s="59"/>
      <c r="AR45" s="47"/>
      <c r="AS45" s="47"/>
    </row>
    <row r="46" spans="1:45" s="63" customFormat="1" ht="12.95" customHeight="1" x14ac:dyDescent="0.25">
      <c r="A46" s="48">
        <v>40575</v>
      </c>
      <c r="B46" s="42" t="s">
        <v>16</v>
      </c>
      <c r="C46" s="43"/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3"/>
      <c r="AC46" s="43"/>
      <c r="AD46" s="43"/>
      <c r="AE46" s="43"/>
      <c r="AF46" s="43"/>
      <c r="AG46" s="43"/>
      <c r="AH46" s="44">
        <f>COUNTA(Juin!$C46:$AF46)</f>
        <v>0</v>
      </c>
      <c r="AI46" s="45">
        <f>(COUNTIFS(Juin!$C46:$AF46,("cp")))/2</f>
        <v>0</v>
      </c>
      <c r="AJ46" s="45">
        <f>COUNTIFS(Juin!$C46:$AG46,"RTT")/2</f>
        <v>0</v>
      </c>
      <c r="AK46" s="45">
        <f>COUNTIFS(Juin!$C46:$AG46,"m")/2</f>
        <v>0</v>
      </c>
      <c r="AL46" s="45">
        <f>COUNTIFS(Juin!$C46:$AG46,"a")/2</f>
        <v>0</v>
      </c>
      <c r="AM46" s="46"/>
      <c r="AN46" s="47"/>
      <c r="AO46" s="47"/>
      <c r="AP46" s="46"/>
      <c r="AQ46" s="59"/>
      <c r="AR46" s="47"/>
      <c r="AS46" s="101"/>
    </row>
    <row r="47" spans="1:45" s="63" customFormat="1" ht="12.95" customHeight="1" x14ac:dyDescent="0.25">
      <c r="A47" s="41"/>
      <c r="B47" s="42"/>
      <c r="C47" s="49" t="str">
        <f t="shared" ref="C47:AG47" si="24">IF(C45&gt;0,C45,IF(C46&gt;0,C46,""))</f>
        <v/>
      </c>
      <c r="D47" s="49" t="str">
        <f t="shared" si="24"/>
        <v/>
      </c>
      <c r="E47" s="49" t="str">
        <f t="shared" si="24"/>
        <v/>
      </c>
      <c r="F47" s="49" t="str">
        <f t="shared" si="24"/>
        <v/>
      </c>
      <c r="G47" s="49" t="str">
        <f t="shared" si="24"/>
        <v/>
      </c>
      <c r="H47" s="49" t="str">
        <f t="shared" si="24"/>
        <v/>
      </c>
      <c r="I47" s="49" t="str">
        <f t="shared" si="24"/>
        <v/>
      </c>
      <c r="J47" s="49" t="str">
        <f t="shared" si="24"/>
        <v/>
      </c>
      <c r="K47" s="49" t="str">
        <f t="shared" si="24"/>
        <v/>
      </c>
      <c r="L47" s="49" t="str">
        <f t="shared" si="24"/>
        <v/>
      </c>
      <c r="M47" s="49" t="str">
        <f t="shared" si="24"/>
        <v/>
      </c>
      <c r="N47" s="49" t="str">
        <f t="shared" si="24"/>
        <v/>
      </c>
      <c r="O47" s="49" t="str">
        <f t="shared" si="24"/>
        <v/>
      </c>
      <c r="P47" s="49" t="str">
        <f t="shared" si="24"/>
        <v/>
      </c>
      <c r="Q47" s="49" t="str">
        <f t="shared" si="24"/>
        <v/>
      </c>
      <c r="R47" s="49" t="str">
        <f t="shared" si="24"/>
        <v/>
      </c>
      <c r="S47" s="49" t="str">
        <f t="shared" si="24"/>
        <v/>
      </c>
      <c r="T47" s="49" t="str">
        <f t="shared" si="24"/>
        <v/>
      </c>
      <c r="U47" s="49" t="str">
        <f t="shared" si="24"/>
        <v/>
      </c>
      <c r="V47" s="49" t="str">
        <f t="shared" si="24"/>
        <v/>
      </c>
      <c r="W47" s="49" t="str">
        <f t="shared" si="24"/>
        <v/>
      </c>
      <c r="X47" s="49" t="str">
        <f t="shared" si="24"/>
        <v/>
      </c>
      <c r="Y47" s="49" t="str">
        <f t="shared" si="24"/>
        <v/>
      </c>
      <c r="Z47" s="49" t="str">
        <f t="shared" si="24"/>
        <v/>
      </c>
      <c r="AA47" s="49" t="str">
        <f t="shared" si="24"/>
        <v/>
      </c>
      <c r="AB47" s="49" t="str">
        <f t="shared" si="24"/>
        <v/>
      </c>
      <c r="AC47" s="49" t="str">
        <f t="shared" si="24"/>
        <v/>
      </c>
      <c r="AD47" s="49" t="str">
        <f t="shared" si="24"/>
        <v/>
      </c>
      <c r="AE47" s="49" t="str">
        <f t="shared" si="24"/>
        <v/>
      </c>
      <c r="AF47" s="49" t="str">
        <f t="shared" si="24"/>
        <v/>
      </c>
      <c r="AG47" s="49" t="str">
        <f t="shared" si="24"/>
        <v/>
      </c>
      <c r="AH47" s="44">
        <f>SUM(AH45:AH46)</f>
        <v>0</v>
      </c>
      <c r="AI47" s="45">
        <f>SUM(AI45:AI46)</f>
        <v>0</v>
      </c>
      <c r="AJ47" s="45">
        <f>SUM(AJ45:AJ46)</f>
        <v>0</v>
      </c>
      <c r="AK47" s="45">
        <f t="shared" ref="AK47:AL47" si="25">SUM(AK45:AK46)</f>
        <v>0</v>
      </c>
      <c r="AL47" s="45">
        <f t="shared" si="25"/>
        <v>0</v>
      </c>
      <c r="AM47" s="50">
        <v>24.96</v>
      </c>
      <c r="AN47" s="51">
        <f>IF(A46="","",IF(A46&gt;NomMois,0,IF(A46&lt;$A$3,2.08,(NETWORKDAYS(A46,$A$2)/21.66667)*2.08)))</f>
        <v>2.08</v>
      </c>
      <c r="AO47" s="51">
        <f>IF(AN47="",0,+AN47)</f>
        <v>2.08</v>
      </c>
      <c r="AP47" s="50"/>
      <c r="AQ47" s="51">
        <f>+AM47-AI47</f>
        <v>24.96</v>
      </c>
      <c r="AR47" s="45">
        <f>+AP47-AJ47</f>
        <v>0</v>
      </c>
      <c r="AS47" s="102">
        <f t="shared" si="17"/>
        <v>27.04</v>
      </c>
    </row>
    <row r="48" spans="1:45" s="63" customFormat="1" ht="6.75" customHeight="1" x14ac:dyDescent="0.25">
      <c r="A48" s="60"/>
      <c r="B48" s="53"/>
      <c r="C48" s="60"/>
      <c r="D48" s="60"/>
      <c r="E48" s="60"/>
      <c r="F48" s="60"/>
      <c r="G48" s="60"/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60"/>
      <c r="Z48" s="60"/>
      <c r="AA48" s="60"/>
      <c r="AB48" s="60"/>
      <c r="AC48" s="60"/>
      <c r="AD48" s="60"/>
      <c r="AE48" s="60"/>
      <c r="AF48" s="60"/>
      <c r="AG48" s="60"/>
      <c r="AH48" s="61"/>
      <c r="AI48" s="61"/>
      <c r="AJ48" s="61"/>
      <c r="AK48" s="61"/>
      <c r="AL48" s="61"/>
      <c r="AM48" s="60"/>
      <c r="AN48" s="61"/>
      <c r="AO48" s="61"/>
      <c r="AP48" s="60"/>
      <c r="AQ48" s="68"/>
      <c r="AR48" s="69"/>
      <c r="AS48" s="65"/>
    </row>
    <row r="49" spans="1:45" s="63" customFormat="1" ht="12.95" customHeight="1" x14ac:dyDescent="0.25">
      <c r="A49" s="41"/>
      <c r="B49" s="42" t="s">
        <v>15</v>
      </c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  <c r="AA49" s="43"/>
      <c r="AB49" s="43"/>
      <c r="AC49" s="43"/>
      <c r="AD49" s="43"/>
      <c r="AE49" s="43"/>
      <c r="AF49" s="43"/>
      <c r="AG49" s="43"/>
      <c r="AH49" s="44">
        <f>COUNTA(Juin!$C49:$AF49)</f>
        <v>0</v>
      </c>
      <c r="AI49" s="45">
        <f>(COUNTIFS(Juin!$C49:$AF49,("cp")))/2</f>
        <v>0</v>
      </c>
      <c r="AJ49" s="45">
        <f>COUNTIFS(Juin!$C49:$AG49,"RTT")/2</f>
        <v>0</v>
      </c>
      <c r="AK49" s="45">
        <f>COUNTIFS(Juin!$C49:$AG49,"m")/2</f>
        <v>0</v>
      </c>
      <c r="AL49" s="45">
        <f>COUNTIFS(Juin!$C49:$AG49,"a")/2</f>
        <v>0</v>
      </c>
      <c r="AM49" s="46"/>
      <c r="AN49" s="47"/>
      <c r="AO49" s="47"/>
      <c r="AP49" s="46"/>
      <c r="AQ49" s="59"/>
      <c r="AR49" s="47"/>
      <c r="AS49" s="47"/>
    </row>
    <row r="50" spans="1:45" s="63" customFormat="1" ht="12.95" customHeight="1" x14ac:dyDescent="0.25">
      <c r="A50" s="48">
        <v>42793</v>
      </c>
      <c r="B50" s="42" t="s">
        <v>16</v>
      </c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  <c r="AA50" s="43"/>
      <c r="AB50" s="43"/>
      <c r="AC50" s="43"/>
      <c r="AD50" s="43"/>
      <c r="AE50" s="43"/>
      <c r="AF50" s="43"/>
      <c r="AG50" s="43"/>
      <c r="AH50" s="44">
        <f>COUNTA(Juin!$C50:$AF50)</f>
        <v>0</v>
      </c>
      <c r="AI50" s="45">
        <f>(COUNTIFS(Juin!$C50:$AF50,("cp")))/2</f>
        <v>0</v>
      </c>
      <c r="AJ50" s="45">
        <f>COUNTIFS(Juin!$C50:$AG50,"RTT")/2</f>
        <v>0</v>
      </c>
      <c r="AK50" s="45">
        <f>COUNTIFS(Juin!$C50:$AG50,"m")/2</f>
        <v>0</v>
      </c>
      <c r="AL50" s="45">
        <f>COUNTIFS(Juin!$C50:$AG50,"a")/2</f>
        <v>0</v>
      </c>
      <c r="AM50" s="46"/>
      <c r="AN50" s="47" t="str">
        <f>IF(A49="","",IF(A49&gt;NomMois,0,IF(A49&lt;$A$3,2.08,(NETWORKDAYS(A49,$A$2)/21.66667)*2.08)))</f>
        <v/>
      </c>
      <c r="AO50" s="47">
        <f>IF(AN50="",0,+AN50)</f>
        <v>0</v>
      </c>
      <c r="AP50" s="46"/>
      <c r="AQ50" s="59"/>
      <c r="AR50" s="47"/>
      <c r="AS50" s="101"/>
    </row>
    <row r="51" spans="1:45" s="63" customFormat="1" ht="12.95" customHeight="1" x14ac:dyDescent="0.25">
      <c r="A51" s="41"/>
      <c r="B51" s="42"/>
      <c r="C51" s="49" t="str">
        <f t="shared" ref="C51:AG51" si="26">IF(C49&gt;0,C49,IF(C50&gt;0,C50,""))</f>
        <v/>
      </c>
      <c r="D51" s="49" t="str">
        <f t="shared" si="26"/>
        <v/>
      </c>
      <c r="E51" s="49" t="str">
        <f t="shared" si="26"/>
        <v/>
      </c>
      <c r="F51" s="49" t="str">
        <f t="shared" si="26"/>
        <v/>
      </c>
      <c r="G51" s="49" t="str">
        <f t="shared" si="26"/>
        <v/>
      </c>
      <c r="H51" s="49" t="str">
        <f t="shared" si="26"/>
        <v/>
      </c>
      <c r="I51" s="49" t="str">
        <f t="shared" si="26"/>
        <v/>
      </c>
      <c r="J51" s="49" t="str">
        <f t="shared" si="26"/>
        <v/>
      </c>
      <c r="K51" s="49" t="str">
        <f t="shared" si="26"/>
        <v/>
      </c>
      <c r="L51" s="49" t="str">
        <f t="shared" si="26"/>
        <v/>
      </c>
      <c r="M51" s="49" t="str">
        <f t="shared" si="26"/>
        <v/>
      </c>
      <c r="N51" s="49" t="str">
        <f t="shared" si="26"/>
        <v/>
      </c>
      <c r="O51" s="49" t="str">
        <f t="shared" si="26"/>
        <v/>
      </c>
      <c r="P51" s="49" t="str">
        <f t="shared" si="26"/>
        <v/>
      </c>
      <c r="Q51" s="49" t="str">
        <f t="shared" si="26"/>
        <v/>
      </c>
      <c r="R51" s="49" t="str">
        <f t="shared" si="26"/>
        <v/>
      </c>
      <c r="S51" s="49" t="str">
        <f t="shared" si="26"/>
        <v/>
      </c>
      <c r="T51" s="49" t="str">
        <f t="shared" si="26"/>
        <v/>
      </c>
      <c r="U51" s="49" t="str">
        <f t="shared" si="26"/>
        <v/>
      </c>
      <c r="V51" s="49" t="str">
        <f t="shared" si="26"/>
        <v/>
      </c>
      <c r="W51" s="49" t="str">
        <f t="shared" si="26"/>
        <v/>
      </c>
      <c r="X51" s="49" t="str">
        <f t="shared" si="26"/>
        <v/>
      </c>
      <c r="Y51" s="49" t="str">
        <f t="shared" si="26"/>
        <v/>
      </c>
      <c r="Z51" s="49" t="str">
        <f t="shared" si="26"/>
        <v/>
      </c>
      <c r="AA51" s="49" t="str">
        <f t="shared" si="26"/>
        <v/>
      </c>
      <c r="AB51" s="49" t="str">
        <f t="shared" si="26"/>
        <v/>
      </c>
      <c r="AC51" s="49" t="str">
        <f t="shared" si="26"/>
        <v/>
      </c>
      <c r="AD51" s="49" t="str">
        <f t="shared" si="26"/>
        <v/>
      </c>
      <c r="AE51" s="49" t="str">
        <f t="shared" si="26"/>
        <v/>
      </c>
      <c r="AF51" s="49" t="str">
        <f t="shared" si="26"/>
        <v/>
      </c>
      <c r="AG51" s="49" t="str">
        <f t="shared" si="26"/>
        <v/>
      </c>
      <c r="AH51" s="44">
        <f>SUM(AH49:AH50)</f>
        <v>0</v>
      </c>
      <c r="AI51" s="45">
        <f>SUM(AI49:AI50)</f>
        <v>0</v>
      </c>
      <c r="AJ51" s="45">
        <f>SUM(AJ49:AJ50)</f>
        <v>0</v>
      </c>
      <c r="AK51" s="45">
        <f t="shared" ref="AK51:AL51" si="27">SUM(AK49:AK50)</f>
        <v>0</v>
      </c>
      <c r="AL51" s="45">
        <f t="shared" si="27"/>
        <v>0</v>
      </c>
      <c r="AM51" s="50">
        <v>6.41</v>
      </c>
      <c r="AN51" s="51">
        <f>IF(A50="","",IF(A50&gt;NomMois,0,IF(A50&lt;$A$3,2.08,(NETWORKDAYS(A50,$A$2)/21.66667)*2.08)))</f>
        <v>2.08</v>
      </c>
      <c r="AO51" s="51">
        <f>IF(AN51="",0,+AN51)</f>
        <v>2.08</v>
      </c>
      <c r="AP51" s="50"/>
      <c r="AQ51" s="51">
        <f>+AM51-AI51</f>
        <v>6.41</v>
      </c>
      <c r="AR51" s="45">
        <f>+AP51-AJ51</f>
        <v>0</v>
      </c>
      <c r="AS51" s="102">
        <f t="shared" si="17"/>
        <v>8.49</v>
      </c>
    </row>
    <row r="52" spans="1:45" s="63" customFormat="1" ht="6.75" customHeight="1" x14ac:dyDescent="0.25">
      <c r="A52" s="60"/>
      <c r="B52" s="53"/>
      <c r="C52" s="60"/>
      <c r="D52" s="60"/>
      <c r="E52" s="60"/>
      <c r="F52" s="60"/>
      <c r="G52" s="60"/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0"/>
      <c r="W52" s="60"/>
      <c r="X52" s="60"/>
      <c r="Y52" s="60"/>
      <c r="Z52" s="60"/>
      <c r="AA52" s="60"/>
      <c r="AB52" s="60"/>
      <c r="AC52" s="60"/>
      <c r="AD52" s="60"/>
      <c r="AE52" s="60"/>
      <c r="AF52" s="60"/>
      <c r="AG52" s="60"/>
      <c r="AH52" s="61"/>
      <c r="AI52" s="61"/>
      <c r="AJ52" s="61"/>
      <c r="AK52" s="61"/>
      <c r="AL52" s="61"/>
      <c r="AM52" s="60"/>
      <c r="AN52" s="61"/>
      <c r="AO52" s="61"/>
      <c r="AP52" s="60"/>
      <c r="AQ52" s="68"/>
      <c r="AR52" s="69"/>
      <c r="AS52" s="65"/>
    </row>
    <row r="53" spans="1:45" s="63" customFormat="1" ht="12.95" customHeight="1" x14ac:dyDescent="0.25">
      <c r="A53" s="41"/>
      <c r="B53" s="42" t="s">
        <v>15</v>
      </c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  <c r="AA53" s="43"/>
      <c r="AB53" s="43"/>
      <c r="AC53" s="43"/>
      <c r="AD53" s="43"/>
      <c r="AE53" s="43"/>
      <c r="AF53" s="43"/>
      <c r="AG53" s="43"/>
      <c r="AH53" s="44">
        <f>COUNTA(Juin!$C53:$AF53)</f>
        <v>0</v>
      </c>
      <c r="AI53" s="45">
        <f>(COUNTIFS(Juin!$C53:$AF53,("cp")))/2</f>
        <v>0</v>
      </c>
      <c r="AJ53" s="45">
        <f>COUNTIFS(Juin!$C53:$AG53,"RTT")/2</f>
        <v>0</v>
      </c>
      <c r="AK53" s="45">
        <f>COUNTIFS(Juin!$C53:$AG53,"m")/2</f>
        <v>0</v>
      </c>
      <c r="AL53" s="45">
        <f>COUNTIFS(Juin!$C53:$AG53,"a")/2</f>
        <v>0</v>
      </c>
      <c r="AM53" s="46"/>
      <c r="AN53" s="47"/>
      <c r="AO53" s="47"/>
      <c r="AP53" s="46"/>
      <c r="AQ53" s="59"/>
      <c r="AR53" s="47"/>
      <c r="AS53" s="47"/>
    </row>
    <row r="54" spans="1:45" s="63" customFormat="1" ht="12.95" customHeight="1" x14ac:dyDescent="0.25">
      <c r="A54" s="48">
        <v>42660</v>
      </c>
      <c r="B54" s="42" t="s">
        <v>16</v>
      </c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  <c r="AA54" s="43"/>
      <c r="AB54" s="43"/>
      <c r="AC54" s="43"/>
      <c r="AD54" s="43"/>
      <c r="AE54" s="43"/>
      <c r="AF54" s="43"/>
      <c r="AG54" s="43"/>
      <c r="AH54" s="44">
        <f>COUNTA(Juin!$C54:$AF54)</f>
        <v>0</v>
      </c>
      <c r="AI54" s="45">
        <f>(COUNTIFS(Juin!$C54:$AF54,("cp")))/2</f>
        <v>0</v>
      </c>
      <c r="AJ54" s="45">
        <f>COUNTIFS(Juin!$C54:$AG54,"RTT")/2</f>
        <v>0</v>
      </c>
      <c r="AK54" s="45">
        <f>COUNTIFS(Juin!$C54:$AG54,"m")/2</f>
        <v>0</v>
      </c>
      <c r="AL54" s="45">
        <f>COUNTIFS(Juin!$C54:$AG54,"a")/2</f>
        <v>0</v>
      </c>
      <c r="AM54" s="46"/>
      <c r="AN54" s="47"/>
      <c r="AO54" s="47"/>
      <c r="AP54" s="46"/>
      <c r="AQ54" s="59"/>
      <c r="AR54" s="47"/>
      <c r="AS54" s="101"/>
    </row>
    <row r="55" spans="1:45" s="63" customFormat="1" ht="12.95" customHeight="1" x14ac:dyDescent="0.25">
      <c r="A55" s="41"/>
      <c r="B55" s="42"/>
      <c r="C55" s="49" t="str">
        <f t="shared" ref="C55:AG55" si="28">IF(C53&gt;0,C53,IF(C54&gt;0,C54,""))</f>
        <v/>
      </c>
      <c r="D55" s="49" t="str">
        <f t="shared" si="28"/>
        <v/>
      </c>
      <c r="E55" s="49" t="str">
        <f t="shared" si="28"/>
        <v/>
      </c>
      <c r="F55" s="49" t="str">
        <f t="shared" si="28"/>
        <v/>
      </c>
      <c r="G55" s="49" t="str">
        <f t="shared" si="28"/>
        <v/>
      </c>
      <c r="H55" s="49" t="str">
        <f t="shared" si="28"/>
        <v/>
      </c>
      <c r="I55" s="49" t="str">
        <f t="shared" si="28"/>
        <v/>
      </c>
      <c r="J55" s="49" t="str">
        <f t="shared" si="28"/>
        <v/>
      </c>
      <c r="K55" s="49" t="str">
        <f t="shared" si="28"/>
        <v/>
      </c>
      <c r="L55" s="49" t="str">
        <f t="shared" si="28"/>
        <v/>
      </c>
      <c r="M55" s="49" t="str">
        <f t="shared" si="28"/>
        <v/>
      </c>
      <c r="N55" s="49" t="str">
        <f t="shared" si="28"/>
        <v/>
      </c>
      <c r="O55" s="49" t="str">
        <f t="shared" si="28"/>
        <v/>
      </c>
      <c r="P55" s="49" t="str">
        <f t="shared" si="28"/>
        <v/>
      </c>
      <c r="Q55" s="49" t="str">
        <f t="shared" si="28"/>
        <v/>
      </c>
      <c r="R55" s="49" t="str">
        <f t="shared" si="28"/>
        <v/>
      </c>
      <c r="S55" s="49" t="str">
        <f t="shared" si="28"/>
        <v/>
      </c>
      <c r="T55" s="49" t="str">
        <f t="shared" si="28"/>
        <v/>
      </c>
      <c r="U55" s="49" t="str">
        <f t="shared" si="28"/>
        <v/>
      </c>
      <c r="V55" s="49" t="str">
        <f t="shared" si="28"/>
        <v/>
      </c>
      <c r="W55" s="49" t="str">
        <f t="shared" si="28"/>
        <v/>
      </c>
      <c r="X55" s="49" t="str">
        <f t="shared" si="28"/>
        <v/>
      </c>
      <c r="Y55" s="49" t="str">
        <f t="shared" si="28"/>
        <v/>
      </c>
      <c r="Z55" s="49" t="str">
        <f t="shared" si="28"/>
        <v/>
      </c>
      <c r="AA55" s="49" t="str">
        <f t="shared" si="28"/>
        <v/>
      </c>
      <c r="AB55" s="49" t="str">
        <f t="shared" si="28"/>
        <v/>
      </c>
      <c r="AC55" s="49" t="str">
        <f t="shared" si="28"/>
        <v/>
      </c>
      <c r="AD55" s="49" t="str">
        <f t="shared" si="28"/>
        <v/>
      </c>
      <c r="AE55" s="49" t="str">
        <f t="shared" si="28"/>
        <v/>
      </c>
      <c r="AF55" s="49" t="str">
        <f t="shared" si="28"/>
        <v/>
      </c>
      <c r="AG55" s="49" t="str">
        <f t="shared" si="28"/>
        <v/>
      </c>
      <c r="AH55" s="44">
        <f>SUM(AH53:AH54)</f>
        <v>0</v>
      </c>
      <c r="AI55" s="45">
        <f>SUM(AI53:AI54)</f>
        <v>0</v>
      </c>
      <c r="AJ55" s="45">
        <f>SUM(AJ53:AJ54)</f>
        <v>0</v>
      </c>
      <c r="AK55" s="45">
        <f t="shared" ref="AK55:AL55" si="29">SUM(AK53:AK54)</f>
        <v>0</v>
      </c>
      <c r="AL55" s="45">
        <f t="shared" si="29"/>
        <v>0</v>
      </c>
      <c r="AM55" s="50">
        <v>15.68</v>
      </c>
      <c r="AN55" s="51">
        <f>IF(A54="","",IF(A54&gt;NomMois,0,IF(A54&lt;$A$3,2.08,(NETWORKDAYS(A54,$A$2)/21.66667)*2.08)))</f>
        <v>2.08</v>
      </c>
      <c r="AO55" s="51">
        <f>IF(AN55="",0,+AN55)</f>
        <v>2.08</v>
      </c>
      <c r="AP55" s="50"/>
      <c r="AQ55" s="51">
        <f>+AM55-AI55</f>
        <v>15.68</v>
      </c>
      <c r="AR55" s="45">
        <f>+AP55-AJ55</f>
        <v>0</v>
      </c>
      <c r="AS55" s="102">
        <f t="shared" si="17"/>
        <v>17.759999999999998</v>
      </c>
    </row>
    <row r="56" spans="1:45" s="63" customFormat="1" ht="6.75" customHeight="1" x14ac:dyDescent="0.25">
      <c r="A56" s="60"/>
      <c r="B56" s="53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60"/>
      <c r="X56" s="60"/>
      <c r="Y56" s="60"/>
      <c r="Z56" s="60"/>
      <c r="AA56" s="60"/>
      <c r="AB56" s="60"/>
      <c r="AC56" s="60"/>
      <c r="AD56" s="60"/>
      <c r="AE56" s="60"/>
      <c r="AF56" s="60"/>
      <c r="AG56" s="60"/>
      <c r="AH56" s="61"/>
      <c r="AI56" s="61"/>
      <c r="AJ56" s="61"/>
      <c r="AK56" s="61"/>
      <c r="AL56" s="61"/>
      <c r="AM56" s="60"/>
      <c r="AN56" s="61"/>
      <c r="AO56" s="61"/>
      <c r="AP56" s="60"/>
      <c r="AQ56" s="68"/>
      <c r="AR56" s="69"/>
      <c r="AS56" s="65"/>
    </row>
    <row r="57" spans="1:45" s="63" customFormat="1" ht="12.95" customHeight="1" x14ac:dyDescent="0.25">
      <c r="A57" s="41"/>
      <c r="B57" s="42" t="s">
        <v>15</v>
      </c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3"/>
      <c r="AB57" s="43"/>
      <c r="AC57" s="43"/>
      <c r="AD57" s="43"/>
      <c r="AE57" s="43"/>
      <c r="AF57" s="43"/>
      <c r="AG57" s="43"/>
      <c r="AH57" s="44">
        <f>COUNTA(Juin!$C57:$AF57)</f>
        <v>0</v>
      </c>
      <c r="AI57" s="45">
        <f>(COUNTIFS(Juin!$C57:$AF57,("cp")))/2</f>
        <v>0</v>
      </c>
      <c r="AJ57" s="45">
        <f>COUNTIFS(Juin!$C57:$AG57,"RTT")/2</f>
        <v>0</v>
      </c>
      <c r="AK57" s="45">
        <f>COUNTIFS(Juin!$C57:$AG57,"m")/2</f>
        <v>0</v>
      </c>
      <c r="AL57" s="45">
        <f>COUNTIFS(Juin!$C57:$AG57,"a")/2</f>
        <v>0</v>
      </c>
      <c r="AM57" s="46"/>
      <c r="AN57" s="47"/>
      <c r="AO57" s="47"/>
      <c r="AP57" s="46"/>
      <c r="AQ57" s="59"/>
      <c r="AR57" s="47"/>
      <c r="AS57" s="47"/>
    </row>
    <row r="58" spans="1:45" s="63" customFormat="1" ht="12.95" customHeight="1" x14ac:dyDescent="0.25">
      <c r="A58" s="48">
        <v>42975</v>
      </c>
      <c r="B58" s="42" t="s">
        <v>16</v>
      </c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3"/>
      <c r="AB58" s="43"/>
      <c r="AC58" s="43"/>
      <c r="AD58" s="43"/>
      <c r="AE58" s="43"/>
      <c r="AF58" s="43"/>
      <c r="AG58" s="43"/>
      <c r="AH58" s="44">
        <f>COUNTA(Juin!$C58:$AF58)</f>
        <v>0</v>
      </c>
      <c r="AI58" s="45">
        <f>(COUNTIFS(Juin!$C58:$AF58,("cp")))/2</f>
        <v>0</v>
      </c>
      <c r="AJ58" s="45">
        <f>COUNTIFS(Juin!$C58:$AG58,"RTT")/2</f>
        <v>0</v>
      </c>
      <c r="AK58" s="45">
        <f>COUNTIFS(Juin!$C58:$AG58,"m")/2</f>
        <v>0</v>
      </c>
      <c r="AL58" s="45">
        <f>COUNTIFS(Juin!$C58:$AG58,"a")/2</f>
        <v>0</v>
      </c>
      <c r="AM58" s="46"/>
      <c r="AN58" s="47"/>
      <c r="AO58" s="47"/>
      <c r="AP58" s="46"/>
      <c r="AQ58" s="59"/>
      <c r="AR58" s="47"/>
      <c r="AS58" s="101"/>
    </row>
    <row r="59" spans="1:45" s="63" customFormat="1" ht="12.95" customHeight="1" x14ac:dyDescent="0.25">
      <c r="A59" s="41"/>
      <c r="B59" s="42"/>
      <c r="C59" s="49" t="str">
        <f t="shared" ref="C59:AG59" si="30">IF(C57&gt;0,C57,IF(C58&gt;0,C58,""))</f>
        <v/>
      </c>
      <c r="D59" s="49" t="str">
        <f t="shared" si="30"/>
        <v/>
      </c>
      <c r="E59" s="49" t="str">
        <f t="shared" si="30"/>
        <v/>
      </c>
      <c r="F59" s="49" t="str">
        <f t="shared" si="30"/>
        <v/>
      </c>
      <c r="G59" s="49" t="str">
        <f t="shared" si="30"/>
        <v/>
      </c>
      <c r="H59" s="49" t="str">
        <f t="shared" si="30"/>
        <v/>
      </c>
      <c r="I59" s="49" t="str">
        <f t="shared" si="30"/>
        <v/>
      </c>
      <c r="J59" s="49" t="str">
        <f t="shared" si="30"/>
        <v/>
      </c>
      <c r="K59" s="49" t="str">
        <f t="shared" si="30"/>
        <v/>
      </c>
      <c r="L59" s="49" t="str">
        <f t="shared" si="30"/>
        <v/>
      </c>
      <c r="M59" s="49" t="str">
        <f t="shared" si="30"/>
        <v/>
      </c>
      <c r="N59" s="49" t="str">
        <f t="shared" si="30"/>
        <v/>
      </c>
      <c r="O59" s="49" t="str">
        <f t="shared" si="30"/>
        <v/>
      </c>
      <c r="P59" s="49" t="str">
        <f t="shared" si="30"/>
        <v/>
      </c>
      <c r="Q59" s="49" t="str">
        <f t="shared" si="30"/>
        <v/>
      </c>
      <c r="R59" s="49" t="str">
        <f t="shared" si="30"/>
        <v/>
      </c>
      <c r="S59" s="49" t="str">
        <f t="shared" si="30"/>
        <v/>
      </c>
      <c r="T59" s="49" t="str">
        <f t="shared" si="30"/>
        <v/>
      </c>
      <c r="U59" s="49" t="str">
        <f t="shared" si="30"/>
        <v/>
      </c>
      <c r="V59" s="49" t="str">
        <f t="shared" si="30"/>
        <v/>
      </c>
      <c r="W59" s="49" t="str">
        <f t="shared" si="30"/>
        <v/>
      </c>
      <c r="X59" s="49" t="str">
        <f t="shared" si="30"/>
        <v/>
      </c>
      <c r="Y59" s="49" t="str">
        <f t="shared" si="30"/>
        <v/>
      </c>
      <c r="Z59" s="49" t="str">
        <f t="shared" si="30"/>
        <v/>
      </c>
      <c r="AA59" s="49" t="str">
        <f t="shared" si="30"/>
        <v/>
      </c>
      <c r="AB59" s="49" t="str">
        <f t="shared" si="30"/>
        <v/>
      </c>
      <c r="AC59" s="49" t="str">
        <f t="shared" si="30"/>
        <v/>
      </c>
      <c r="AD59" s="49" t="str">
        <f t="shared" si="30"/>
        <v/>
      </c>
      <c r="AE59" s="49" t="str">
        <f t="shared" si="30"/>
        <v/>
      </c>
      <c r="AF59" s="49" t="str">
        <f t="shared" si="30"/>
        <v/>
      </c>
      <c r="AG59" s="49" t="str">
        <f t="shared" si="30"/>
        <v/>
      </c>
      <c r="AH59" s="44">
        <f>SUM(AH57:AH58)</f>
        <v>0</v>
      </c>
      <c r="AI59" s="45">
        <f>SUM(AI57:AI58)</f>
        <v>0</v>
      </c>
      <c r="AJ59" s="45">
        <f>SUM(AJ57:AJ58)</f>
        <v>0</v>
      </c>
      <c r="AK59" s="45">
        <f t="shared" ref="AK59:AL59" si="31">SUM(AK57:AK58)</f>
        <v>0</v>
      </c>
      <c r="AL59" s="45">
        <f t="shared" si="31"/>
        <v>0</v>
      </c>
      <c r="AM59" s="50">
        <v>0</v>
      </c>
      <c r="AN59" s="51">
        <f>IF(A58="","",IF(A58&gt;NomMois,0,IF(A58&lt;$A$3,2.08,(NETWORKDAYS(A58,$A$2)/21.66667)*2.08)))</f>
        <v>0</v>
      </c>
      <c r="AO59" s="51">
        <f>IF(AN59="",0,+AN59)</f>
        <v>0</v>
      </c>
      <c r="AP59" s="50"/>
      <c r="AQ59" s="51">
        <f>+AM59-AI59</f>
        <v>0</v>
      </c>
      <c r="AR59" s="45">
        <f>+AP59-AJ59</f>
        <v>0</v>
      </c>
      <c r="AS59" s="102">
        <f t="shared" si="17"/>
        <v>0</v>
      </c>
    </row>
    <row r="60" spans="1:45" s="63" customFormat="1" ht="6.75" customHeight="1" x14ac:dyDescent="0.25">
      <c r="A60" s="60"/>
      <c r="B60" s="42"/>
      <c r="C60" s="64"/>
      <c r="D60" s="64"/>
      <c r="E60" s="64"/>
      <c r="F60" s="64"/>
      <c r="G60" s="64"/>
      <c r="H60" s="64"/>
      <c r="I60" s="64"/>
      <c r="J60" s="64"/>
      <c r="K60" s="64"/>
      <c r="L60" s="64"/>
      <c r="M60" s="64"/>
      <c r="N60" s="64"/>
      <c r="O60" s="64"/>
      <c r="P60" s="64"/>
      <c r="Q60" s="64"/>
      <c r="R60" s="64"/>
      <c r="S60" s="64"/>
      <c r="T60" s="64"/>
      <c r="U60" s="64"/>
      <c r="V60" s="64"/>
      <c r="W60" s="64"/>
      <c r="X60" s="64"/>
      <c r="Y60" s="64"/>
      <c r="Z60" s="64"/>
      <c r="AA60" s="64"/>
      <c r="AB60" s="64"/>
      <c r="AC60" s="64"/>
      <c r="AD60" s="64"/>
      <c r="AE60" s="64"/>
      <c r="AF60" s="64"/>
      <c r="AG60" s="64"/>
      <c r="AH60" s="65"/>
      <c r="AI60" s="65"/>
      <c r="AJ60" s="65"/>
      <c r="AK60" s="65"/>
      <c r="AL60" s="65"/>
      <c r="AM60" s="64"/>
      <c r="AN60" s="65"/>
      <c r="AO60" s="65"/>
      <c r="AP60" s="64"/>
      <c r="AQ60" s="68"/>
      <c r="AR60" s="69"/>
      <c r="AS60" s="65"/>
    </row>
    <row r="61" spans="1:45" s="63" customFormat="1" ht="12.95" customHeight="1" x14ac:dyDescent="0.25">
      <c r="A61" s="41"/>
      <c r="B61" s="42" t="s">
        <v>15</v>
      </c>
      <c r="C61" s="43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  <c r="AA61" s="43"/>
      <c r="AB61" s="43"/>
      <c r="AC61" s="43"/>
      <c r="AD61" s="43"/>
      <c r="AE61" s="43"/>
      <c r="AF61" s="43"/>
      <c r="AG61" s="43"/>
      <c r="AH61" s="44">
        <f>COUNTA(Juin!$C61:$AF61)</f>
        <v>0</v>
      </c>
      <c r="AI61" s="45">
        <f>(COUNTIFS(Juin!$C61:$AF61,("cp")))/2</f>
        <v>0</v>
      </c>
      <c r="AJ61" s="45">
        <f>COUNTIFS(Juin!$C61:$AG61,"RTT")/2</f>
        <v>0</v>
      </c>
      <c r="AK61" s="45">
        <f>COUNTIFS(Juin!$C61:$AG61,"m")/2</f>
        <v>0</v>
      </c>
      <c r="AL61" s="45">
        <f>COUNTIFS(Juin!$C61:$AG61,"a")/2</f>
        <v>0</v>
      </c>
      <c r="AM61" s="46"/>
      <c r="AN61" s="47"/>
      <c r="AO61" s="47"/>
      <c r="AP61" s="46"/>
      <c r="AQ61" s="59"/>
      <c r="AR61" s="47"/>
      <c r="AS61" s="47"/>
    </row>
    <row r="62" spans="1:45" s="63" customFormat="1" ht="12.95" customHeight="1" x14ac:dyDescent="0.25">
      <c r="A62" s="48">
        <v>42646</v>
      </c>
      <c r="B62" s="42" t="s">
        <v>16</v>
      </c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  <c r="AA62" s="43"/>
      <c r="AB62" s="43"/>
      <c r="AC62" s="43"/>
      <c r="AD62" s="43"/>
      <c r="AE62" s="43"/>
      <c r="AF62" s="43"/>
      <c r="AG62" s="43"/>
      <c r="AH62" s="44">
        <f>COUNTA(Juin!$C62:$AF62)</f>
        <v>0</v>
      </c>
      <c r="AI62" s="45">
        <f>(COUNTIFS(Juin!$C62:$AF62,("cp")))/2</f>
        <v>0</v>
      </c>
      <c r="AJ62" s="45">
        <f>COUNTIFS(Juin!$C62:$AG62,"RTT")/2</f>
        <v>0</v>
      </c>
      <c r="AK62" s="45">
        <f>COUNTIFS(Juin!$C62:$AG62,"m")/2</f>
        <v>0</v>
      </c>
      <c r="AL62" s="45">
        <f>COUNTIFS(Juin!$C62:$AG62,"a")/2</f>
        <v>0</v>
      </c>
      <c r="AM62" s="46"/>
      <c r="AN62" s="47"/>
      <c r="AO62" s="47"/>
      <c r="AP62" s="46"/>
      <c r="AQ62" s="59"/>
      <c r="AR62" s="47"/>
      <c r="AS62" s="101"/>
    </row>
    <row r="63" spans="1:45" s="63" customFormat="1" ht="12.95" customHeight="1" x14ac:dyDescent="0.25">
      <c r="A63" s="41"/>
      <c r="B63" s="42"/>
      <c r="C63" s="49" t="str">
        <f t="shared" ref="C63:AG63" si="32">IF(C61&gt;0,C61,IF(C62&gt;0,C62,""))</f>
        <v/>
      </c>
      <c r="D63" s="49" t="str">
        <f t="shared" si="32"/>
        <v/>
      </c>
      <c r="E63" s="49" t="str">
        <f t="shared" si="32"/>
        <v/>
      </c>
      <c r="F63" s="49" t="str">
        <f t="shared" si="32"/>
        <v/>
      </c>
      <c r="G63" s="49" t="str">
        <f t="shared" si="32"/>
        <v/>
      </c>
      <c r="H63" s="49" t="str">
        <f t="shared" si="32"/>
        <v/>
      </c>
      <c r="I63" s="49" t="str">
        <f t="shared" si="32"/>
        <v/>
      </c>
      <c r="J63" s="49" t="str">
        <f t="shared" si="32"/>
        <v/>
      </c>
      <c r="K63" s="49" t="str">
        <f t="shared" si="32"/>
        <v/>
      </c>
      <c r="L63" s="49" t="str">
        <f t="shared" si="32"/>
        <v/>
      </c>
      <c r="M63" s="49" t="str">
        <f t="shared" si="32"/>
        <v/>
      </c>
      <c r="N63" s="49" t="str">
        <f t="shared" si="32"/>
        <v/>
      </c>
      <c r="O63" s="49" t="str">
        <f t="shared" si="32"/>
        <v/>
      </c>
      <c r="P63" s="49" t="str">
        <f t="shared" si="32"/>
        <v/>
      </c>
      <c r="Q63" s="49" t="str">
        <f t="shared" si="32"/>
        <v/>
      </c>
      <c r="R63" s="49" t="str">
        <f t="shared" si="32"/>
        <v/>
      </c>
      <c r="S63" s="49" t="str">
        <f t="shared" si="32"/>
        <v/>
      </c>
      <c r="T63" s="49" t="str">
        <f t="shared" si="32"/>
        <v/>
      </c>
      <c r="U63" s="49" t="str">
        <f t="shared" si="32"/>
        <v/>
      </c>
      <c r="V63" s="49" t="str">
        <f t="shared" si="32"/>
        <v/>
      </c>
      <c r="W63" s="49" t="str">
        <f t="shared" si="32"/>
        <v/>
      </c>
      <c r="X63" s="49" t="str">
        <f t="shared" si="32"/>
        <v/>
      </c>
      <c r="Y63" s="49" t="str">
        <f t="shared" si="32"/>
        <v/>
      </c>
      <c r="Z63" s="49" t="str">
        <f t="shared" si="32"/>
        <v/>
      </c>
      <c r="AA63" s="49" t="str">
        <f t="shared" si="32"/>
        <v/>
      </c>
      <c r="AB63" s="49" t="str">
        <f t="shared" si="32"/>
        <v/>
      </c>
      <c r="AC63" s="49" t="str">
        <f t="shared" si="32"/>
        <v/>
      </c>
      <c r="AD63" s="49" t="str">
        <f t="shared" si="32"/>
        <v/>
      </c>
      <c r="AE63" s="49" t="str">
        <f t="shared" si="32"/>
        <v/>
      </c>
      <c r="AF63" s="49" t="str">
        <f t="shared" si="32"/>
        <v/>
      </c>
      <c r="AG63" s="49" t="str">
        <f t="shared" si="32"/>
        <v/>
      </c>
      <c r="AH63" s="44">
        <f>SUM(AH61:AH62)</f>
        <v>0</v>
      </c>
      <c r="AI63" s="45">
        <f>SUM(AI61:AI62)</f>
        <v>0</v>
      </c>
      <c r="AJ63" s="45">
        <f>SUM(AJ61:AJ62)</f>
        <v>0</v>
      </c>
      <c r="AK63" s="45">
        <f t="shared" ref="AK63:AL63" si="33">SUM(AK61:AK62)</f>
        <v>0</v>
      </c>
      <c r="AL63" s="45">
        <f t="shared" si="33"/>
        <v>0</v>
      </c>
      <c r="AM63" s="50">
        <v>16.64</v>
      </c>
      <c r="AN63" s="51">
        <f>IF(A62="","",IF(A62&gt;NomMois,0,IF(A62&lt;$A$3,2.08,(NETWORKDAYS(A62,$A$2)/21.66667)*2.08)))</f>
        <v>2.08</v>
      </c>
      <c r="AO63" s="51">
        <f>IF(AN63="",0,+AN63)</f>
        <v>2.08</v>
      </c>
      <c r="AP63" s="50"/>
      <c r="AQ63" s="51">
        <f>+AM63-AI63</f>
        <v>16.64</v>
      </c>
      <c r="AR63" s="45">
        <f>+AP63-AJ63</f>
        <v>0</v>
      </c>
      <c r="AS63" s="102">
        <f t="shared" si="17"/>
        <v>18.72</v>
      </c>
    </row>
    <row r="64" spans="1:45" s="63" customFormat="1" ht="6.75" customHeight="1" x14ac:dyDescent="0.25">
      <c r="A64" s="60"/>
      <c r="B64" s="53"/>
      <c r="C64" s="60"/>
      <c r="D64" s="60"/>
      <c r="E64" s="60"/>
      <c r="F64" s="60"/>
      <c r="G64" s="60"/>
      <c r="H64" s="60"/>
      <c r="I64" s="60"/>
      <c r="J64" s="60"/>
      <c r="K64" s="60"/>
      <c r="L64" s="60"/>
      <c r="M64" s="60"/>
      <c r="N64" s="60"/>
      <c r="O64" s="60"/>
      <c r="P64" s="60"/>
      <c r="Q64" s="60"/>
      <c r="R64" s="60"/>
      <c r="S64" s="60"/>
      <c r="T64" s="60"/>
      <c r="U64" s="60"/>
      <c r="V64" s="60"/>
      <c r="W64" s="60"/>
      <c r="X64" s="60"/>
      <c r="Y64" s="60"/>
      <c r="Z64" s="60"/>
      <c r="AA64" s="60"/>
      <c r="AB64" s="60"/>
      <c r="AC64" s="60"/>
      <c r="AD64" s="60"/>
      <c r="AE64" s="60"/>
      <c r="AF64" s="60"/>
      <c r="AG64" s="60"/>
      <c r="AH64" s="61">
        <v>0</v>
      </c>
      <c r="AI64" s="61">
        <v>0</v>
      </c>
      <c r="AJ64" s="61">
        <v>0</v>
      </c>
      <c r="AK64" s="61">
        <v>0</v>
      </c>
      <c r="AL64" s="61">
        <v>0</v>
      </c>
      <c r="AM64" s="60"/>
      <c r="AN64" s="61"/>
      <c r="AO64" s="61"/>
      <c r="AP64" s="60"/>
      <c r="AQ64" s="68"/>
      <c r="AR64" s="69"/>
      <c r="AS64" s="65"/>
    </row>
    <row r="65" spans="1:45" s="63" customFormat="1" ht="12.95" customHeight="1" x14ac:dyDescent="0.25">
      <c r="A65" s="41"/>
      <c r="B65" s="42" t="s">
        <v>15</v>
      </c>
      <c r="C65" s="43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  <c r="W65" s="43"/>
      <c r="X65" s="43"/>
      <c r="Y65" s="43"/>
      <c r="Z65" s="43"/>
      <c r="AA65" s="43"/>
      <c r="AB65" s="43"/>
      <c r="AC65" s="43"/>
      <c r="AD65" s="43"/>
      <c r="AE65" s="43"/>
      <c r="AF65" s="43"/>
      <c r="AG65" s="43"/>
      <c r="AH65" s="44">
        <f>COUNTA(Juin!$C65:$AF65)</f>
        <v>0</v>
      </c>
      <c r="AI65" s="45">
        <f>(COUNTIFS(Juin!$C65:$AF65,("cp")))/2</f>
        <v>0</v>
      </c>
      <c r="AJ65" s="45">
        <f>COUNTIFS(Juin!$C65:$AG65,"RTT")/2</f>
        <v>0</v>
      </c>
      <c r="AK65" s="45">
        <f>COUNTIFS(Juin!$C65:$AG65,"m")/2</f>
        <v>0</v>
      </c>
      <c r="AL65" s="45">
        <f>COUNTIFS(Juin!$C65:$AG65,"a")/2</f>
        <v>0</v>
      </c>
      <c r="AM65" s="46"/>
      <c r="AN65" s="47"/>
      <c r="AO65" s="47"/>
      <c r="AP65" s="46"/>
      <c r="AQ65" s="59"/>
      <c r="AR65" s="47"/>
      <c r="AS65" s="47"/>
    </row>
    <row r="66" spans="1:45" s="63" customFormat="1" ht="12.95" customHeight="1" x14ac:dyDescent="0.25">
      <c r="A66" s="48">
        <v>42410</v>
      </c>
      <c r="B66" s="42" t="s">
        <v>16</v>
      </c>
      <c r="C66" s="43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3"/>
      <c r="T66" s="43"/>
      <c r="U66" s="43"/>
      <c r="V66" s="43"/>
      <c r="W66" s="43"/>
      <c r="X66" s="43"/>
      <c r="Y66" s="43"/>
      <c r="Z66" s="43"/>
      <c r="AA66" s="43"/>
      <c r="AB66" s="43"/>
      <c r="AC66" s="43"/>
      <c r="AD66" s="43"/>
      <c r="AE66" s="43"/>
      <c r="AF66" s="43"/>
      <c r="AG66" s="43"/>
      <c r="AH66" s="44">
        <f>COUNTA(Juin!$C66:$AF66)</f>
        <v>0</v>
      </c>
      <c r="AI66" s="45">
        <f>(COUNTIFS(Juin!$C66:$AF66,("cp")))/2</f>
        <v>0</v>
      </c>
      <c r="AJ66" s="45">
        <f>COUNTIFS(Juin!$C66:$AG66,"RTT")/2</f>
        <v>0</v>
      </c>
      <c r="AK66" s="45">
        <f>COUNTIFS(Juin!$C66:$AG66,"m")/2</f>
        <v>0</v>
      </c>
      <c r="AL66" s="45">
        <f>COUNTIFS(Juin!$C66:$AG66,"a")/2</f>
        <v>0</v>
      </c>
      <c r="AM66" s="46"/>
      <c r="AN66" s="47"/>
      <c r="AO66" s="47"/>
      <c r="AP66" s="46"/>
      <c r="AQ66" s="59"/>
      <c r="AR66" s="47"/>
      <c r="AS66" s="101"/>
    </row>
    <row r="67" spans="1:45" s="63" customFormat="1" ht="12.95" customHeight="1" x14ac:dyDescent="0.25">
      <c r="A67" s="41"/>
      <c r="B67" s="42"/>
      <c r="C67" s="49" t="str">
        <f t="shared" ref="C67:AG67" si="34">IF(C65&gt;0,C65,IF(C66&gt;0,C66,""))</f>
        <v/>
      </c>
      <c r="D67" s="49" t="str">
        <f t="shared" si="34"/>
        <v/>
      </c>
      <c r="E67" s="49" t="str">
        <f t="shared" si="34"/>
        <v/>
      </c>
      <c r="F67" s="49" t="str">
        <f t="shared" si="34"/>
        <v/>
      </c>
      <c r="G67" s="49" t="str">
        <f t="shared" si="34"/>
        <v/>
      </c>
      <c r="H67" s="49" t="str">
        <f t="shared" si="34"/>
        <v/>
      </c>
      <c r="I67" s="49" t="str">
        <f t="shared" si="34"/>
        <v/>
      </c>
      <c r="J67" s="49" t="str">
        <f t="shared" si="34"/>
        <v/>
      </c>
      <c r="K67" s="49" t="str">
        <f t="shared" si="34"/>
        <v/>
      </c>
      <c r="L67" s="49" t="str">
        <f t="shared" si="34"/>
        <v/>
      </c>
      <c r="M67" s="49" t="str">
        <f t="shared" si="34"/>
        <v/>
      </c>
      <c r="N67" s="49" t="str">
        <f t="shared" si="34"/>
        <v/>
      </c>
      <c r="O67" s="49" t="str">
        <f t="shared" si="34"/>
        <v/>
      </c>
      <c r="P67" s="49" t="str">
        <f t="shared" si="34"/>
        <v/>
      </c>
      <c r="Q67" s="49" t="str">
        <f t="shared" si="34"/>
        <v/>
      </c>
      <c r="R67" s="49" t="str">
        <f t="shared" si="34"/>
        <v/>
      </c>
      <c r="S67" s="49" t="str">
        <f t="shared" si="34"/>
        <v/>
      </c>
      <c r="T67" s="49" t="str">
        <f t="shared" si="34"/>
        <v/>
      </c>
      <c r="U67" s="49" t="str">
        <f t="shared" si="34"/>
        <v/>
      </c>
      <c r="V67" s="49" t="str">
        <f t="shared" si="34"/>
        <v/>
      </c>
      <c r="W67" s="49" t="str">
        <f t="shared" si="34"/>
        <v/>
      </c>
      <c r="X67" s="49" t="str">
        <f t="shared" si="34"/>
        <v/>
      </c>
      <c r="Y67" s="49" t="str">
        <f t="shared" si="34"/>
        <v/>
      </c>
      <c r="Z67" s="49" t="str">
        <f t="shared" si="34"/>
        <v/>
      </c>
      <c r="AA67" s="49" t="str">
        <f t="shared" si="34"/>
        <v/>
      </c>
      <c r="AB67" s="49" t="str">
        <f t="shared" si="34"/>
        <v/>
      </c>
      <c r="AC67" s="49" t="str">
        <f t="shared" si="34"/>
        <v/>
      </c>
      <c r="AD67" s="49" t="str">
        <f t="shared" si="34"/>
        <v/>
      </c>
      <c r="AE67" s="49" t="str">
        <f t="shared" si="34"/>
        <v/>
      </c>
      <c r="AF67" s="49" t="str">
        <f t="shared" si="34"/>
        <v/>
      </c>
      <c r="AG67" s="49" t="str">
        <f t="shared" si="34"/>
        <v/>
      </c>
      <c r="AH67" s="44">
        <f>SUM(AH65:AH66)</f>
        <v>0</v>
      </c>
      <c r="AI67" s="45">
        <f>SUM(AI65:AI66)</f>
        <v>0</v>
      </c>
      <c r="AJ67" s="45">
        <f>SUM(AJ65:AJ66)</f>
        <v>0</v>
      </c>
      <c r="AK67" s="45">
        <f t="shared" ref="AK67:AL67" si="35">SUM(AK65:AK66)</f>
        <v>0</v>
      </c>
      <c r="AL67" s="45">
        <f t="shared" si="35"/>
        <v>0</v>
      </c>
      <c r="AM67" s="50">
        <v>22.46</v>
      </c>
      <c r="AN67" s="51">
        <f>IF(A66="","",IF(A66&gt;NomMois,0,IF(A66&lt;$A$3,2.08,(NETWORKDAYS(A66,$A$2)/21.66667)*2.08)))</f>
        <v>2.08</v>
      </c>
      <c r="AO67" s="51">
        <f>IF(AN67="",0,+AN67)</f>
        <v>2.08</v>
      </c>
      <c r="AP67" s="50"/>
      <c r="AQ67" s="51">
        <f>+AM67-AI67</f>
        <v>22.46</v>
      </c>
      <c r="AR67" s="45">
        <f>+AP67-AJ67</f>
        <v>0</v>
      </c>
      <c r="AS67" s="102">
        <f t="shared" si="17"/>
        <v>24.54</v>
      </c>
    </row>
    <row r="68" spans="1:45" s="63" customFormat="1" ht="6.75" customHeight="1" x14ac:dyDescent="0.25">
      <c r="A68" s="64"/>
      <c r="B68" s="42"/>
      <c r="C68" s="60"/>
      <c r="D68" s="64"/>
      <c r="E68" s="64"/>
      <c r="F68" s="64"/>
      <c r="G68" s="64"/>
      <c r="H68" s="64"/>
      <c r="I68" s="64"/>
      <c r="J68" s="64"/>
      <c r="K68" s="64"/>
      <c r="L68" s="64"/>
      <c r="M68" s="64"/>
      <c r="N68" s="64"/>
      <c r="O68" s="64"/>
      <c r="P68" s="64"/>
      <c r="Q68" s="64"/>
      <c r="R68" s="64"/>
      <c r="S68" s="64"/>
      <c r="T68" s="64"/>
      <c r="U68" s="64"/>
      <c r="V68" s="64"/>
      <c r="W68" s="64"/>
      <c r="X68" s="64"/>
      <c r="Y68" s="64"/>
      <c r="Z68" s="64"/>
      <c r="AA68" s="64"/>
      <c r="AB68" s="64"/>
      <c r="AC68" s="64"/>
      <c r="AD68" s="64"/>
      <c r="AE68" s="64"/>
      <c r="AF68" s="64"/>
      <c r="AG68" s="64"/>
      <c r="AH68" s="65"/>
      <c r="AI68" s="65"/>
      <c r="AJ68" s="65"/>
      <c r="AK68" s="65"/>
      <c r="AL68" s="65"/>
      <c r="AM68" s="64"/>
      <c r="AN68" s="65"/>
      <c r="AO68" s="65"/>
      <c r="AP68" s="64"/>
      <c r="AQ68" s="68"/>
      <c r="AR68" s="69"/>
      <c r="AS68" s="65"/>
    </row>
    <row r="69" spans="1:45" s="63" customFormat="1" ht="12.95" customHeight="1" x14ac:dyDescent="0.25">
      <c r="A69" s="41"/>
      <c r="B69" s="42" t="s">
        <v>15</v>
      </c>
      <c r="C69" s="43"/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43"/>
      <c r="AA69" s="43"/>
      <c r="AB69" s="43"/>
      <c r="AC69" s="43"/>
      <c r="AD69" s="43"/>
      <c r="AE69" s="43"/>
      <c r="AF69" s="43"/>
      <c r="AG69" s="43"/>
      <c r="AH69" s="44">
        <f>COUNTA(Juin!$C69:$AF69)</f>
        <v>0</v>
      </c>
      <c r="AI69" s="45">
        <f>(COUNTIFS(Juin!$C69:$AF69,("cp")))/2</f>
        <v>0</v>
      </c>
      <c r="AJ69" s="45">
        <f>COUNTIFS(Juin!$C69:$AG69,"RTT")/2</f>
        <v>0</v>
      </c>
      <c r="AK69" s="45">
        <f>COUNTIFS(Juin!$C69:$AG69,"m")/2</f>
        <v>0</v>
      </c>
      <c r="AL69" s="45">
        <f>COUNTIFS(Juin!$C69:$AG69,"a")/2</f>
        <v>0</v>
      </c>
      <c r="AM69" s="46"/>
      <c r="AN69" s="47"/>
      <c r="AO69" s="47"/>
      <c r="AP69" s="46"/>
      <c r="AQ69" s="59"/>
      <c r="AR69" s="47"/>
      <c r="AS69" s="47"/>
    </row>
    <row r="70" spans="1:45" s="63" customFormat="1" ht="12.95" customHeight="1" x14ac:dyDescent="0.25">
      <c r="A70" s="48">
        <v>41701</v>
      </c>
      <c r="B70" s="42" t="s">
        <v>16</v>
      </c>
      <c r="C70" s="43"/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  <c r="S70" s="43"/>
      <c r="T70" s="43"/>
      <c r="U70" s="43"/>
      <c r="V70" s="43"/>
      <c r="W70" s="43"/>
      <c r="X70" s="43"/>
      <c r="Y70" s="43"/>
      <c r="Z70" s="43"/>
      <c r="AA70" s="43"/>
      <c r="AB70" s="43"/>
      <c r="AC70" s="43"/>
      <c r="AD70" s="43"/>
      <c r="AE70" s="43"/>
      <c r="AF70" s="43"/>
      <c r="AG70" s="43"/>
      <c r="AH70" s="44">
        <f>COUNTA(Juin!$C70:$AF70)</f>
        <v>0</v>
      </c>
      <c r="AI70" s="45">
        <f>(COUNTIFS(Juin!$C70:$AF70,("cp")))/2</f>
        <v>0</v>
      </c>
      <c r="AJ70" s="45">
        <f>COUNTIFS(Juin!$C70:$AG70,"RTT")/2</f>
        <v>0</v>
      </c>
      <c r="AK70" s="45">
        <f>COUNTIFS(Juin!$C70:$AG70,"m")/2</f>
        <v>0</v>
      </c>
      <c r="AL70" s="45">
        <f>COUNTIFS(Juin!$C70:$AG70,"a")/2</f>
        <v>0</v>
      </c>
      <c r="AM70" s="46"/>
      <c r="AN70" s="47"/>
      <c r="AO70" s="47"/>
      <c r="AP70" s="46"/>
      <c r="AQ70" s="59"/>
      <c r="AR70" s="47"/>
      <c r="AS70" s="101"/>
    </row>
    <row r="71" spans="1:45" s="63" customFormat="1" ht="12.95" customHeight="1" x14ac:dyDescent="0.25">
      <c r="A71" s="41"/>
      <c r="B71" s="42"/>
      <c r="C71" s="49" t="str">
        <f t="shared" ref="C71:AG71" si="36">IF(C69&gt;0,C69,IF(C70&gt;0,C70,""))</f>
        <v/>
      </c>
      <c r="D71" s="49" t="str">
        <f t="shared" si="36"/>
        <v/>
      </c>
      <c r="E71" s="49" t="str">
        <f t="shared" si="36"/>
        <v/>
      </c>
      <c r="F71" s="49" t="str">
        <f t="shared" si="36"/>
        <v/>
      </c>
      <c r="G71" s="49" t="str">
        <f t="shared" si="36"/>
        <v/>
      </c>
      <c r="H71" s="49" t="str">
        <f t="shared" si="36"/>
        <v/>
      </c>
      <c r="I71" s="49" t="str">
        <f t="shared" si="36"/>
        <v/>
      </c>
      <c r="J71" s="49" t="str">
        <f t="shared" si="36"/>
        <v/>
      </c>
      <c r="K71" s="49" t="str">
        <f t="shared" si="36"/>
        <v/>
      </c>
      <c r="L71" s="49" t="str">
        <f t="shared" si="36"/>
        <v/>
      </c>
      <c r="M71" s="49" t="str">
        <f t="shared" si="36"/>
        <v/>
      </c>
      <c r="N71" s="49" t="str">
        <f t="shared" si="36"/>
        <v/>
      </c>
      <c r="O71" s="49" t="str">
        <f t="shared" si="36"/>
        <v/>
      </c>
      <c r="P71" s="49" t="str">
        <f t="shared" si="36"/>
        <v/>
      </c>
      <c r="Q71" s="49" t="str">
        <f t="shared" si="36"/>
        <v/>
      </c>
      <c r="R71" s="49" t="str">
        <f t="shared" si="36"/>
        <v/>
      </c>
      <c r="S71" s="49" t="str">
        <f t="shared" si="36"/>
        <v/>
      </c>
      <c r="T71" s="49" t="str">
        <f t="shared" si="36"/>
        <v/>
      </c>
      <c r="U71" s="49" t="str">
        <f t="shared" si="36"/>
        <v/>
      </c>
      <c r="V71" s="49" t="str">
        <f t="shared" si="36"/>
        <v/>
      </c>
      <c r="W71" s="49" t="str">
        <f t="shared" si="36"/>
        <v/>
      </c>
      <c r="X71" s="49" t="str">
        <f t="shared" si="36"/>
        <v/>
      </c>
      <c r="Y71" s="49" t="str">
        <f t="shared" si="36"/>
        <v/>
      </c>
      <c r="Z71" s="49" t="str">
        <f t="shared" si="36"/>
        <v/>
      </c>
      <c r="AA71" s="49" t="str">
        <f t="shared" si="36"/>
        <v/>
      </c>
      <c r="AB71" s="49" t="str">
        <f t="shared" si="36"/>
        <v/>
      </c>
      <c r="AC71" s="49" t="str">
        <f t="shared" si="36"/>
        <v/>
      </c>
      <c r="AD71" s="49" t="str">
        <f t="shared" si="36"/>
        <v/>
      </c>
      <c r="AE71" s="49" t="str">
        <f t="shared" si="36"/>
        <v/>
      </c>
      <c r="AF71" s="49" t="str">
        <f t="shared" si="36"/>
        <v/>
      </c>
      <c r="AG71" s="49" t="str">
        <f t="shared" si="36"/>
        <v/>
      </c>
      <c r="AH71" s="44">
        <f>SUM(AH69:AH70)</f>
        <v>0</v>
      </c>
      <c r="AI71" s="45">
        <f>SUM(AI69:AI70)</f>
        <v>0</v>
      </c>
      <c r="AJ71" s="45">
        <f>SUM(AJ69:AJ70)</f>
        <v>0</v>
      </c>
      <c r="AK71" s="45">
        <f t="shared" ref="AK71:AL71" si="37">SUM(AK69:AK70)</f>
        <v>0</v>
      </c>
      <c r="AL71" s="45">
        <f t="shared" si="37"/>
        <v>0</v>
      </c>
      <c r="AM71" s="50">
        <v>45.34</v>
      </c>
      <c r="AN71" s="51">
        <f>IF(A70="","",IF(A70&gt;NomMois,0,IF(A70&lt;$A$3,2.08,(NETWORKDAYS(A70,$A$2)/21.66667)*2.08)))</f>
        <v>2.08</v>
      </c>
      <c r="AO71" s="51">
        <f>IF(AN71="",0,+AN71)</f>
        <v>2.08</v>
      </c>
      <c r="AP71" s="50"/>
      <c r="AQ71" s="51">
        <f>+AM71-AI71</f>
        <v>45.34</v>
      </c>
      <c r="AR71" s="45">
        <f>+AP71-AJ71</f>
        <v>0</v>
      </c>
      <c r="AS71" s="102">
        <f t="shared" si="17"/>
        <v>47.42</v>
      </c>
    </row>
    <row r="72" spans="1:45" s="63" customFormat="1" ht="6.75" customHeight="1" x14ac:dyDescent="0.25">
      <c r="A72" s="60"/>
      <c r="B72" s="53"/>
      <c r="C72" s="60"/>
      <c r="D72" s="60"/>
      <c r="E72" s="60"/>
      <c r="F72" s="60"/>
      <c r="G72" s="60"/>
      <c r="H72" s="60"/>
      <c r="I72" s="60"/>
      <c r="J72" s="60"/>
      <c r="K72" s="60"/>
      <c r="L72" s="60"/>
      <c r="M72" s="60"/>
      <c r="N72" s="60"/>
      <c r="O72" s="60"/>
      <c r="P72" s="60"/>
      <c r="Q72" s="60"/>
      <c r="R72" s="60"/>
      <c r="S72" s="60"/>
      <c r="T72" s="60"/>
      <c r="U72" s="60"/>
      <c r="V72" s="60"/>
      <c r="W72" s="60"/>
      <c r="X72" s="60"/>
      <c r="Y72" s="60"/>
      <c r="Z72" s="60"/>
      <c r="AA72" s="60"/>
      <c r="AB72" s="60"/>
      <c r="AC72" s="60"/>
      <c r="AD72" s="60"/>
      <c r="AE72" s="60"/>
      <c r="AF72" s="60"/>
      <c r="AG72" s="60"/>
      <c r="AH72" s="61"/>
      <c r="AI72" s="61"/>
      <c r="AJ72" s="61"/>
      <c r="AK72" s="61"/>
      <c r="AL72" s="61"/>
      <c r="AM72" s="60"/>
      <c r="AN72" s="61"/>
      <c r="AO72" s="61"/>
      <c r="AP72" s="60"/>
      <c r="AQ72" s="68"/>
      <c r="AR72" s="69"/>
      <c r="AS72" s="65"/>
    </row>
    <row r="73" spans="1:45" s="63" customFormat="1" ht="12.95" customHeight="1" x14ac:dyDescent="0.25">
      <c r="A73" s="41"/>
      <c r="B73" s="42" t="s">
        <v>15</v>
      </c>
      <c r="C73" s="43"/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43"/>
      <c r="AH73" s="44">
        <f>COUNTA(Juin!$C73:$AF73)</f>
        <v>0</v>
      </c>
      <c r="AI73" s="45">
        <f>(COUNTIFS(Juin!$C73:$AF73,("cp")))/2</f>
        <v>0</v>
      </c>
      <c r="AJ73" s="45">
        <f>COUNTIFS(Juin!$C73:$AG73,"RTT")/2</f>
        <v>0</v>
      </c>
      <c r="AK73" s="45">
        <f>COUNTIFS(Juin!$C73:$AG73,"m")/2</f>
        <v>0</v>
      </c>
      <c r="AL73" s="45">
        <f>COUNTIFS(Juin!$C73:$AG73,"a")/2</f>
        <v>0</v>
      </c>
      <c r="AM73" s="46"/>
      <c r="AN73" s="47"/>
      <c r="AO73" s="47"/>
      <c r="AP73" s="46"/>
      <c r="AQ73" s="59"/>
      <c r="AR73" s="47"/>
      <c r="AS73" s="47"/>
    </row>
    <row r="74" spans="1:45" s="63" customFormat="1" ht="12.95" customHeight="1" x14ac:dyDescent="0.25">
      <c r="A74" s="48">
        <v>42979</v>
      </c>
      <c r="B74" s="42" t="s">
        <v>16</v>
      </c>
      <c r="C74" s="43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43"/>
      <c r="AH74" s="44">
        <f>COUNTA(Juin!$C74:$AF74)</f>
        <v>0</v>
      </c>
      <c r="AI74" s="45">
        <f>(COUNTIFS(Juin!$C74:$AF74,("cp")))/2</f>
        <v>0</v>
      </c>
      <c r="AJ74" s="45">
        <f>COUNTIFS(Juin!$C74:$AG74,"RTT")/2</f>
        <v>0</v>
      </c>
      <c r="AK74" s="45">
        <f>COUNTIFS(Juin!$C74:$AG74,"m")/2</f>
        <v>0</v>
      </c>
      <c r="AL74" s="45">
        <f>COUNTIFS(Juin!$C74:$AG74,"a")/2</f>
        <v>0</v>
      </c>
      <c r="AM74" s="46"/>
      <c r="AN74" s="47"/>
      <c r="AO74" s="47"/>
      <c r="AP74" s="46"/>
      <c r="AQ74" s="59"/>
      <c r="AR74" s="47"/>
      <c r="AS74" s="101"/>
    </row>
    <row r="75" spans="1:45" s="63" customFormat="1" ht="12.95" customHeight="1" x14ac:dyDescent="0.25">
      <c r="A75" s="41"/>
      <c r="B75" s="42"/>
      <c r="C75" s="49" t="str">
        <f t="shared" ref="C75:AG75" si="38">IF(C73&gt;0,C73,IF(C74&gt;0,C74,""))</f>
        <v/>
      </c>
      <c r="D75" s="49" t="str">
        <f t="shared" si="38"/>
        <v/>
      </c>
      <c r="E75" s="49" t="str">
        <f t="shared" si="38"/>
        <v/>
      </c>
      <c r="F75" s="49" t="str">
        <f t="shared" si="38"/>
        <v/>
      </c>
      <c r="G75" s="49" t="str">
        <f t="shared" si="38"/>
        <v/>
      </c>
      <c r="H75" s="49" t="str">
        <f t="shared" si="38"/>
        <v/>
      </c>
      <c r="I75" s="49" t="str">
        <f t="shared" si="38"/>
        <v/>
      </c>
      <c r="J75" s="49" t="str">
        <f t="shared" si="38"/>
        <v/>
      </c>
      <c r="K75" s="49" t="str">
        <f t="shared" si="38"/>
        <v/>
      </c>
      <c r="L75" s="49" t="str">
        <f t="shared" si="38"/>
        <v/>
      </c>
      <c r="M75" s="49" t="str">
        <f t="shared" si="38"/>
        <v/>
      </c>
      <c r="N75" s="49" t="str">
        <f t="shared" si="38"/>
        <v/>
      </c>
      <c r="O75" s="49" t="str">
        <f t="shared" si="38"/>
        <v/>
      </c>
      <c r="P75" s="49" t="str">
        <f t="shared" si="38"/>
        <v/>
      </c>
      <c r="Q75" s="49" t="str">
        <f t="shared" si="38"/>
        <v/>
      </c>
      <c r="R75" s="49" t="str">
        <f t="shared" si="38"/>
        <v/>
      </c>
      <c r="S75" s="49" t="str">
        <f t="shared" si="38"/>
        <v/>
      </c>
      <c r="T75" s="49" t="str">
        <f t="shared" si="38"/>
        <v/>
      </c>
      <c r="U75" s="49" t="str">
        <f t="shared" si="38"/>
        <v/>
      </c>
      <c r="V75" s="49" t="str">
        <f t="shared" si="38"/>
        <v/>
      </c>
      <c r="W75" s="49" t="str">
        <f t="shared" si="38"/>
        <v/>
      </c>
      <c r="X75" s="49" t="str">
        <f t="shared" si="38"/>
        <v/>
      </c>
      <c r="Y75" s="49" t="str">
        <f t="shared" si="38"/>
        <v/>
      </c>
      <c r="Z75" s="49" t="str">
        <f t="shared" si="38"/>
        <v/>
      </c>
      <c r="AA75" s="49" t="str">
        <f t="shared" si="38"/>
        <v/>
      </c>
      <c r="AB75" s="49" t="str">
        <f t="shared" si="38"/>
        <v/>
      </c>
      <c r="AC75" s="49" t="str">
        <f t="shared" si="38"/>
        <v/>
      </c>
      <c r="AD75" s="49" t="str">
        <f t="shared" si="38"/>
        <v/>
      </c>
      <c r="AE75" s="49" t="str">
        <f t="shared" si="38"/>
        <v/>
      </c>
      <c r="AF75" s="49" t="str">
        <f t="shared" si="38"/>
        <v/>
      </c>
      <c r="AG75" s="49" t="str">
        <f t="shared" si="38"/>
        <v/>
      </c>
      <c r="AH75" s="44">
        <f>SUM(AH73:AH74)</f>
        <v>0</v>
      </c>
      <c r="AI75" s="45">
        <f>SUM(AI73:AI74)</f>
        <v>0</v>
      </c>
      <c r="AJ75" s="45">
        <f>SUM(AJ73:AJ74)</f>
        <v>0</v>
      </c>
      <c r="AK75" s="45">
        <f t="shared" ref="AK75:AL75" si="39">SUM(AK73:AK74)</f>
        <v>0</v>
      </c>
      <c r="AL75" s="45">
        <f t="shared" si="39"/>
        <v>0</v>
      </c>
      <c r="AM75" s="50">
        <v>0</v>
      </c>
      <c r="AN75" s="51">
        <f>IF(A74="","",IF(A74&gt;NomMois,0,IF(A74&lt;$A$3,2.08,(NETWORKDAYS(A74,$A$2)/21.66667)*2.08)))</f>
        <v>0</v>
      </c>
      <c r="AO75" s="51">
        <f>IF(AN75="",0,+AN75)</f>
        <v>0</v>
      </c>
      <c r="AP75" s="50"/>
      <c r="AQ75" s="51">
        <f>+AM75-AI75</f>
        <v>0</v>
      </c>
      <c r="AR75" s="45">
        <f>+AP75-AJ75</f>
        <v>0</v>
      </c>
      <c r="AS75" s="102">
        <f t="shared" si="17"/>
        <v>0</v>
      </c>
    </row>
    <row r="76" spans="1:45" s="63" customFormat="1" ht="6.75" customHeight="1" x14ac:dyDescent="0.25">
      <c r="A76" s="64"/>
      <c r="B76" s="42"/>
      <c r="C76" s="60"/>
      <c r="D76" s="64"/>
      <c r="E76" s="64"/>
      <c r="F76" s="64"/>
      <c r="G76" s="64"/>
      <c r="H76" s="64"/>
      <c r="I76" s="64"/>
      <c r="J76" s="64"/>
      <c r="K76" s="64"/>
      <c r="L76" s="64"/>
      <c r="M76" s="64"/>
      <c r="N76" s="64"/>
      <c r="O76" s="64"/>
      <c r="P76" s="64"/>
      <c r="Q76" s="64"/>
      <c r="R76" s="64"/>
      <c r="S76" s="64"/>
      <c r="T76" s="64"/>
      <c r="U76" s="64"/>
      <c r="V76" s="64"/>
      <c r="W76" s="64"/>
      <c r="X76" s="64"/>
      <c r="Y76" s="64"/>
      <c r="Z76" s="64"/>
      <c r="AA76" s="64"/>
      <c r="AB76" s="64"/>
      <c r="AC76" s="64"/>
      <c r="AD76" s="64"/>
      <c r="AE76" s="64"/>
      <c r="AF76" s="64"/>
      <c r="AG76" s="64"/>
      <c r="AH76" s="65"/>
      <c r="AI76" s="65"/>
      <c r="AJ76" s="65"/>
      <c r="AK76" s="65"/>
      <c r="AL76" s="65"/>
      <c r="AM76" s="64"/>
      <c r="AN76" s="65"/>
      <c r="AO76" s="65"/>
      <c r="AP76" s="64"/>
      <c r="AQ76" s="68"/>
      <c r="AR76" s="69"/>
      <c r="AS76" s="65"/>
    </row>
    <row r="77" spans="1:45" s="63" customFormat="1" ht="12.95" customHeight="1" x14ac:dyDescent="0.25">
      <c r="A77" s="41"/>
      <c r="B77" s="42" t="s">
        <v>15</v>
      </c>
      <c r="C77" s="43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43"/>
      <c r="AH77" s="44">
        <f>COUNTA(Juin!$C77:$AF77)</f>
        <v>0</v>
      </c>
      <c r="AI77" s="45">
        <f>(COUNTIFS(Juin!$C77:$AF77,("cp")))/2</f>
        <v>0</v>
      </c>
      <c r="AJ77" s="45">
        <f>COUNTIFS(Juin!$C77:$AG77,"RTT")/2</f>
        <v>0</v>
      </c>
      <c r="AK77" s="45">
        <f>COUNTIFS(Juin!$C77:$AG77,"m")/2</f>
        <v>0</v>
      </c>
      <c r="AL77" s="45">
        <f>COUNTIFS(Juin!$C77:$AG77,"a")/2</f>
        <v>0</v>
      </c>
      <c r="AM77" s="46"/>
      <c r="AN77" s="47"/>
      <c r="AO77" s="47"/>
      <c r="AP77" s="46"/>
      <c r="AQ77" s="59"/>
      <c r="AR77" s="47"/>
      <c r="AS77" s="47"/>
    </row>
    <row r="78" spans="1:45" s="63" customFormat="1" ht="12.95" customHeight="1" x14ac:dyDescent="0.25">
      <c r="A78" s="48">
        <v>43059</v>
      </c>
      <c r="B78" s="42" t="s">
        <v>16</v>
      </c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  <c r="AA78" s="43"/>
      <c r="AB78" s="43"/>
      <c r="AC78" s="43"/>
      <c r="AD78" s="43"/>
      <c r="AE78" s="43"/>
      <c r="AF78" s="43"/>
      <c r="AG78" s="43"/>
      <c r="AH78" s="44">
        <f>COUNTA(Juin!$C78:$AF78)</f>
        <v>0</v>
      </c>
      <c r="AI78" s="45">
        <f>(COUNTIFS(Juin!$C78:$AF78,("cp")))/2</f>
        <v>0</v>
      </c>
      <c r="AJ78" s="45">
        <f>COUNTIFS(Juin!$C78:$AG78,"RTT")/2</f>
        <v>0</v>
      </c>
      <c r="AK78" s="45">
        <f>COUNTIFS(Juin!$C78:$AG78,"m")/2</f>
        <v>0</v>
      </c>
      <c r="AL78" s="45">
        <f>COUNTIFS(Juin!$C78:$AG78,"a")/2</f>
        <v>0</v>
      </c>
      <c r="AM78" s="46"/>
      <c r="AN78" s="47"/>
      <c r="AO78" s="47"/>
      <c r="AP78" s="46"/>
      <c r="AQ78" s="59"/>
      <c r="AR78" s="47"/>
      <c r="AS78" s="101"/>
    </row>
    <row r="79" spans="1:45" s="63" customFormat="1" ht="12.95" customHeight="1" x14ac:dyDescent="0.25">
      <c r="A79" s="41"/>
      <c r="B79" s="42"/>
      <c r="C79" s="49" t="str">
        <f t="shared" ref="C79:AG79" si="40">IF(C77&gt;0,C77,IF(C78&gt;0,C78,""))</f>
        <v/>
      </c>
      <c r="D79" s="49" t="str">
        <f t="shared" si="40"/>
        <v/>
      </c>
      <c r="E79" s="49" t="str">
        <f t="shared" si="40"/>
        <v/>
      </c>
      <c r="F79" s="49" t="str">
        <f t="shared" si="40"/>
        <v/>
      </c>
      <c r="G79" s="49" t="str">
        <f t="shared" si="40"/>
        <v/>
      </c>
      <c r="H79" s="49" t="str">
        <f t="shared" si="40"/>
        <v/>
      </c>
      <c r="I79" s="49" t="str">
        <f t="shared" si="40"/>
        <v/>
      </c>
      <c r="J79" s="49" t="str">
        <f t="shared" si="40"/>
        <v/>
      </c>
      <c r="K79" s="49" t="str">
        <f t="shared" si="40"/>
        <v/>
      </c>
      <c r="L79" s="49" t="str">
        <f t="shared" si="40"/>
        <v/>
      </c>
      <c r="M79" s="49" t="str">
        <f t="shared" si="40"/>
        <v/>
      </c>
      <c r="N79" s="49" t="str">
        <f t="shared" si="40"/>
        <v/>
      </c>
      <c r="O79" s="49" t="str">
        <f t="shared" si="40"/>
        <v/>
      </c>
      <c r="P79" s="49" t="str">
        <f t="shared" si="40"/>
        <v/>
      </c>
      <c r="Q79" s="49" t="str">
        <f t="shared" si="40"/>
        <v/>
      </c>
      <c r="R79" s="49" t="str">
        <f t="shared" si="40"/>
        <v/>
      </c>
      <c r="S79" s="49" t="str">
        <f t="shared" si="40"/>
        <v/>
      </c>
      <c r="T79" s="49" t="str">
        <f t="shared" si="40"/>
        <v/>
      </c>
      <c r="U79" s="49" t="str">
        <f t="shared" si="40"/>
        <v/>
      </c>
      <c r="V79" s="49" t="str">
        <f t="shared" si="40"/>
        <v/>
      </c>
      <c r="W79" s="49" t="str">
        <f t="shared" si="40"/>
        <v/>
      </c>
      <c r="X79" s="49" t="str">
        <f t="shared" si="40"/>
        <v/>
      </c>
      <c r="Y79" s="49" t="str">
        <f t="shared" si="40"/>
        <v/>
      </c>
      <c r="Z79" s="49" t="str">
        <f t="shared" si="40"/>
        <v/>
      </c>
      <c r="AA79" s="49" t="str">
        <f t="shared" si="40"/>
        <v/>
      </c>
      <c r="AB79" s="49" t="str">
        <f t="shared" si="40"/>
        <v/>
      </c>
      <c r="AC79" s="49" t="str">
        <f t="shared" si="40"/>
        <v/>
      </c>
      <c r="AD79" s="49" t="str">
        <f t="shared" si="40"/>
        <v/>
      </c>
      <c r="AE79" s="49" t="str">
        <f t="shared" si="40"/>
        <v/>
      </c>
      <c r="AF79" s="49" t="str">
        <f t="shared" si="40"/>
        <v/>
      </c>
      <c r="AG79" s="49" t="str">
        <f t="shared" si="40"/>
        <v/>
      </c>
      <c r="AH79" s="44">
        <f>SUM(AH77:AH78)</f>
        <v>0</v>
      </c>
      <c r="AI79" s="45">
        <f>SUM(AI77:AI78)</f>
        <v>0</v>
      </c>
      <c r="AJ79" s="45">
        <f>SUM(AJ77:AJ78)</f>
        <v>0</v>
      </c>
      <c r="AK79" s="45">
        <f t="shared" ref="AK79:AL79" si="41">SUM(AK77:AK78)</f>
        <v>0</v>
      </c>
      <c r="AL79" s="45">
        <f t="shared" si="41"/>
        <v>0</v>
      </c>
      <c r="AM79" s="50">
        <v>0</v>
      </c>
      <c r="AN79" s="51">
        <f>IF(A78="","",IF(A78&gt;NomMois,0,IF(A78&lt;$A$3,2.08,(NETWORKDAYS(A78,$A$2)/21.66667)*2.08)))</f>
        <v>0</v>
      </c>
      <c r="AO79" s="51">
        <f>IF(AN79="",0,+AN79)</f>
        <v>0</v>
      </c>
      <c r="AP79" s="50"/>
      <c r="AQ79" s="51">
        <f>+AM79-AI79</f>
        <v>0</v>
      </c>
      <c r="AR79" s="45">
        <f>+AP79-AJ79</f>
        <v>0</v>
      </c>
      <c r="AS79" s="102">
        <f t="shared" si="17"/>
        <v>0</v>
      </c>
    </row>
    <row r="80" spans="1:45" s="63" customFormat="1" ht="6.75" customHeight="1" x14ac:dyDescent="0.25">
      <c r="A80" s="64"/>
      <c r="B80" s="42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  <c r="X80" s="64"/>
      <c r="Y80" s="64"/>
      <c r="Z80" s="64"/>
      <c r="AA80" s="64"/>
      <c r="AB80" s="64"/>
      <c r="AC80" s="64"/>
      <c r="AD80" s="64"/>
      <c r="AE80" s="64"/>
      <c r="AF80" s="64"/>
      <c r="AG80" s="64"/>
      <c r="AH80" s="65"/>
      <c r="AI80" s="65"/>
      <c r="AJ80" s="65"/>
      <c r="AK80" s="65"/>
      <c r="AL80" s="65"/>
      <c r="AM80" s="64"/>
      <c r="AN80" s="65"/>
      <c r="AO80" s="65"/>
      <c r="AP80" s="64"/>
      <c r="AQ80" s="68"/>
      <c r="AR80" s="69"/>
      <c r="AS80" s="65"/>
    </row>
    <row r="81" spans="1:45" s="63" customFormat="1" ht="12.95" customHeight="1" x14ac:dyDescent="0.25">
      <c r="A81" s="41"/>
      <c r="B81" s="42" t="s">
        <v>15</v>
      </c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  <c r="AA81" s="43"/>
      <c r="AB81" s="43"/>
      <c r="AC81" s="43"/>
      <c r="AD81" s="43"/>
      <c r="AE81" s="43"/>
      <c r="AF81" s="43"/>
      <c r="AG81" s="43"/>
      <c r="AH81" s="44">
        <f>COUNTA(Juin!$C81:$AF81)</f>
        <v>0</v>
      </c>
      <c r="AI81" s="45">
        <f>(COUNTIFS(Juin!$C81:$AF81,("cp")))/2</f>
        <v>0</v>
      </c>
      <c r="AJ81" s="45">
        <f>COUNTIFS(Juin!$C81:$AG81,"RTT")/2</f>
        <v>0</v>
      </c>
      <c r="AK81" s="45">
        <f>COUNTIFS(Juin!$C81:$AG81,"m")/2</f>
        <v>0</v>
      </c>
      <c r="AL81" s="45">
        <f>COUNTIFS(Juin!$C81:$AG81,"a")/2</f>
        <v>0</v>
      </c>
      <c r="AM81" s="46"/>
      <c r="AN81" s="47"/>
      <c r="AO81" s="47"/>
      <c r="AP81" s="46"/>
      <c r="AQ81" s="59"/>
      <c r="AR81" s="47"/>
      <c r="AS81" s="47"/>
    </row>
    <row r="82" spans="1:45" s="63" customFormat="1" ht="12.95" customHeight="1" x14ac:dyDescent="0.25">
      <c r="A82" s="48">
        <v>42506</v>
      </c>
      <c r="B82" s="42" t="s">
        <v>16</v>
      </c>
      <c r="C82" s="43"/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  <c r="S82" s="43"/>
      <c r="T82" s="43"/>
      <c r="U82" s="43"/>
      <c r="V82" s="43"/>
      <c r="W82" s="43"/>
      <c r="X82" s="43"/>
      <c r="Y82" s="43"/>
      <c r="Z82" s="43"/>
      <c r="AA82" s="43"/>
      <c r="AB82" s="43"/>
      <c r="AC82" s="43"/>
      <c r="AD82" s="43"/>
      <c r="AE82" s="43"/>
      <c r="AF82" s="43"/>
      <c r="AG82" s="43"/>
      <c r="AH82" s="44">
        <f>COUNTA(Juin!$C82:$AF82)</f>
        <v>0</v>
      </c>
      <c r="AI82" s="45">
        <f>(COUNTIFS(Juin!$C82:$AF82,("cp")))/2</f>
        <v>0</v>
      </c>
      <c r="AJ82" s="45">
        <f>COUNTIFS(Juin!$C82:$AG82,"RTT")/2</f>
        <v>0</v>
      </c>
      <c r="AK82" s="45">
        <f>COUNTIFS(Juin!$C82:$AG82,"m")/2</f>
        <v>0</v>
      </c>
      <c r="AL82" s="45">
        <f>COUNTIFS(Juin!$C82:$AG82,"a")/2</f>
        <v>0</v>
      </c>
      <c r="AM82" s="46"/>
      <c r="AN82" s="47"/>
      <c r="AO82" s="47"/>
      <c r="AP82" s="46"/>
      <c r="AQ82" s="59"/>
      <c r="AR82" s="47"/>
      <c r="AS82" s="101"/>
    </row>
    <row r="83" spans="1:45" s="63" customFormat="1" ht="12.95" customHeight="1" x14ac:dyDescent="0.25">
      <c r="A83" s="41"/>
      <c r="B83" s="42"/>
      <c r="C83" s="49" t="str">
        <f t="shared" ref="C83:AG83" si="42">IF(C81&gt;0,C81,IF(C82&gt;0,C82,""))</f>
        <v/>
      </c>
      <c r="D83" s="49" t="str">
        <f t="shared" si="42"/>
        <v/>
      </c>
      <c r="E83" s="49" t="str">
        <f t="shared" si="42"/>
        <v/>
      </c>
      <c r="F83" s="49" t="str">
        <f t="shared" si="42"/>
        <v/>
      </c>
      <c r="G83" s="49" t="str">
        <f t="shared" si="42"/>
        <v/>
      </c>
      <c r="H83" s="49" t="str">
        <f t="shared" si="42"/>
        <v/>
      </c>
      <c r="I83" s="49" t="str">
        <f t="shared" si="42"/>
        <v/>
      </c>
      <c r="J83" s="49" t="str">
        <f t="shared" si="42"/>
        <v/>
      </c>
      <c r="K83" s="49" t="str">
        <f t="shared" si="42"/>
        <v/>
      </c>
      <c r="L83" s="49" t="str">
        <f t="shared" si="42"/>
        <v/>
      </c>
      <c r="M83" s="49" t="str">
        <f t="shared" si="42"/>
        <v/>
      </c>
      <c r="N83" s="49" t="str">
        <f t="shared" si="42"/>
        <v/>
      </c>
      <c r="O83" s="49" t="str">
        <f t="shared" si="42"/>
        <v/>
      </c>
      <c r="P83" s="49" t="str">
        <f t="shared" si="42"/>
        <v/>
      </c>
      <c r="Q83" s="49" t="str">
        <f t="shared" si="42"/>
        <v/>
      </c>
      <c r="R83" s="49" t="str">
        <f t="shared" si="42"/>
        <v/>
      </c>
      <c r="S83" s="49" t="str">
        <f t="shared" si="42"/>
        <v/>
      </c>
      <c r="T83" s="49" t="str">
        <f t="shared" si="42"/>
        <v/>
      </c>
      <c r="U83" s="49" t="str">
        <f t="shared" si="42"/>
        <v/>
      </c>
      <c r="V83" s="49" t="str">
        <f t="shared" si="42"/>
        <v/>
      </c>
      <c r="W83" s="49" t="str">
        <f t="shared" si="42"/>
        <v/>
      </c>
      <c r="X83" s="49" t="str">
        <f t="shared" si="42"/>
        <v/>
      </c>
      <c r="Y83" s="49" t="str">
        <f t="shared" si="42"/>
        <v/>
      </c>
      <c r="Z83" s="49" t="str">
        <f t="shared" si="42"/>
        <v/>
      </c>
      <c r="AA83" s="49" t="str">
        <f t="shared" si="42"/>
        <v/>
      </c>
      <c r="AB83" s="49" t="str">
        <f t="shared" si="42"/>
        <v/>
      </c>
      <c r="AC83" s="49" t="str">
        <f t="shared" si="42"/>
        <v/>
      </c>
      <c r="AD83" s="49" t="str">
        <f t="shared" si="42"/>
        <v/>
      </c>
      <c r="AE83" s="49" t="str">
        <f t="shared" si="42"/>
        <v/>
      </c>
      <c r="AF83" s="49" t="str">
        <f t="shared" si="42"/>
        <v/>
      </c>
      <c r="AG83" s="49" t="str">
        <f t="shared" si="42"/>
        <v/>
      </c>
      <c r="AH83" s="44">
        <f>SUM(AH81:AH82)</f>
        <v>0</v>
      </c>
      <c r="AI83" s="45">
        <f>SUM(AI81:AI82)</f>
        <v>0</v>
      </c>
      <c r="AJ83" s="45">
        <f>SUM(AJ81:AJ82)</f>
        <v>0</v>
      </c>
      <c r="AK83" s="45">
        <f t="shared" ref="AK83:AL83" si="43">SUM(AK81:AK82)</f>
        <v>0</v>
      </c>
      <c r="AL83" s="45">
        <f t="shared" si="43"/>
        <v>0</v>
      </c>
      <c r="AM83" s="50">
        <v>-9.98</v>
      </c>
      <c r="AN83" s="51">
        <f>IF(A82="","",IF(A82&gt;NomMois,0,IF(A82&lt;$A$3,2.08,(NETWORKDAYS(A82,$A$2)/21.66667)*2.08)))</f>
        <v>2.08</v>
      </c>
      <c r="AO83" s="51">
        <f>IF(AN83="",0,+AN83)</f>
        <v>2.08</v>
      </c>
      <c r="AP83" s="50"/>
      <c r="AQ83" s="51">
        <f>+AM83-AI83</f>
        <v>-9.98</v>
      </c>
      <c r="AR83" s="45">
        <f>+AP83-AJ83</f>
        <v>0</v>
      </c>
      <c r="AS83" s="102">
        <f t="shared" si="17"/>
        <v>-7.9</v>
      </c>
    </row>
    <row r="84" spans="1:45" s="63" customFormat="1" ht="6.75" customHeight="1" x14ac:dyDescent="0.25">
      <c r="A84" s="64"/>
      <c r="B84" s="42"/>
      <c r="C84" s="60"/>
      <c r="D84" s="64"/>
      <c r="E84" s="64"/>
      <c r="F84" s="64"/>
      <c r="G84" s="64"/>
      <c r="H84" s="64"/>
      <c r="I84" s="64"/>
      <c r="J84" s="64"/>
      <c r="K84" s="64"/>
      <c r="L84" s="64"/>
      <c r="M84" s="64"/>
      <c r="N84" s="64"/>
      <c r="O84" s="64"/>
      <c r="P84" s="64"/>
      <c r="Q84" s="64"/>
      <c r="R84" s="64"/>
      <c r="S84" s="64"/>
      <c r="T84" s="64"/>
      <c r="U84" s="64"/>
      <c r="V84" s="64"/>
      <c r="W84" s="64"/>
      <c r="X84" s="64"/>
      <c r="Y84" s="64"/>
      <c r="Z84" s="64"/>
      <c r="AA84" s="64"/>
      <c r="AB84" s="64"/>
      <c r="AC84" s="64"/>
      <c r="AD84" s="64"/>
      <c r="AE84" s="64"/>
      <c r="AF84" s="64"/>
      <c r="AG84" s="64"/>
      <c r="AH84" s="65"/>
      <c r="AI84" s="65"/>
      <c r="AJ84" s="65"/>
      <c r="AK84" s="65"/>
      <c r="AL84" s="65"/>
      <c r="AM84" s="64"/>
      <c r="AN84" s="65"/>
      <c r="AO84" s="65"/>
      <c r="AP84" s="64"/>
      <c r="AQ84" s="68"/>
      <c r="AR84" s="69"/>
      <c r="AS84" s="65"/>
    </row>
    <row r="85" spans="1:45" s="63" customFormat="1" ht="12.95" customHeight="1" x14ac:dyDescent="0.25">
      <c r="A85" s="41"/>
      <c r="B85" s="42" t="s">
        <v>15</v>
      </c>
      <c r="C85" s="43"/>
      <c r="D85" s="43"/>
      <c r="E85" s="43"/>
      <c r="F85" s="43"/>
      <c r="G85" s="43"/>
      <c r="H85" s="43"/>
      <c r="I85" s="43"/>
      <c r="J85" s="43"/>
      <c r="K85" s="43"/>
      <c r="L85" s="43"/>
      <c r="M85" s="43"/>
      <c r="N85" s="43"/>
      <c r="O85" s="43"/>
      <c r="P85" s="43"/>
      <c r="Q85" s="43"/>
      <c r="R85" s="43"/>
      <c r="S85" s="43"/>
      <c r="T85" s="43"/>
      <c r="U85" s="43"/>
      <c r="V85" s="43"/>
      <c r="W85" s="43"/>
      <c r="X85" s="43"/>
      <c r="Y85" s="43"/>
      <c r="Z85" s="43"/>
      <c r="AA85" s="43"/>
      <c r="AB85" s="43"/>
      <c r="AC85" s="43"/>
      <c r="AD85" s="43"/>
      <c r="AE85" s="43"/>
      <c r="AF85" s="43"/>
      <c r="AG85" s="43"/>
      <c r="AH85" s="44">
        <f>COUNTA(Juin!$C85:$AF85)</f>
        <v>0</v>
      </c>
      <c r="AI85" s="45">
        <f>(COUNTIFS(Juin!$C85:$AF85,("cp")))/2</f>
        <v>0</v>
      </c>
      <c r="AJ85" s="45">
        <f>COUNTIFS(Juin!$C85:$AG85,"RTT")/2</f>
        <v>0</v>
      </c>
      <c r="AK85" s="45">
        <f>COUNTIFS(Juin!$C85:$AG85,"m")/2</f>
        <v>0</v>
      </c>
      <c r="AL85" s="45">
        <f>COUNTIFS(Juin!$C85:$AG85,"a")/2</f>
        <v>0</v>
      </c>
      <c r="AM85" s="46"/>
      <c r="AN85" s="47"/>
      <c r="AO85" s="47"/>
      <c r="AP85" s="46"/>
      <c r="AQ85" s="59"/>
      <c r="AR85" s="47"/>
      <c r="AS85" s="47"/>
    </row>
    <row r="86" spans="1:45" s="63" customFormat="1" ht="12.95" customHeight="1" x14ac:dyDescent="0.25">
      <c r="A86" s="48">
        <v>42303</v>
      </c>
      <c r="B86" s="42" t="s">
        <v>16</v>
      </c>
      <c r="C86" s="43"/>
      <c r="D86" s="43"/>
      <c r="E86" s="43"/>
      <c r="F86" s="43"/>
      <c r="G86" s="43"/>
      <c r="H86" s="43"/>
      <c r="I86" s="43"/>
      <c r="J86" s="43"/>
      <c r="K86" s="43"/>
      <c r="L86" s="43"/>
      <c r="M86" s="43"/>
      <c r="N86" s="43"/>
      <c r="O86" s="43"/>
      <c r="P86" s="43"/>
      <c r="Q86" s="43"/>
      <c r="R86" s="43"/>
      <c r="S86" s="43"/>
      <c r="T86" s="43"/>
      <c r="U86" s="43"/>
      <c r="V86" s="43"/>
      <c r="W86" s="43"/>
      <c r="X86" s="43"/>
      <c r="Y86" s="43"/>
      <c r="Z86" s="43"/>
      <c r="AA86" s="43"/>
      <c r="AB86" s="43"/>
      <c r="AC86" s="43"/>
      <c r="AD86" s="43"/>
      <c r="AE86" s="43"/>
      <c r="AF86" s="43"/>
      <c r="AG86" s="43"/>
      <c r="AH86" s="44">
        <f>COUNTA(Juin!$C86:$AF86)</f>
        <v>0</v>
      </c>
      <c r="AI86" s="45">
        <f>(COUNTIFS(Juin!$C86:$AF86,("cp")))/2</f>
        <v>0</v>
      </c>
      <c r="AJ86" s="45">
        <f>COUNTIFS(Juin!$C86:$AG86,"RTT")/2</f>
        <v>0</v>
      </c>
      <c r="AK86" s="45">
        <f>COUNTIFS(Juin!$C86:$AG86,"m")/2</f>
        <v>0</v>
      </c>
      <c r="AL86" s="45">
        <f>COUNTIFS(Juin!$C86:$AG86,"a")/2</f>
        <v>0</v>
      </c>
      <c r="AM86" s="46"/>
      <c r="AN86" s="47"/>
      <c r="AO86" s="47"/>
      <c r="AP86" s="46"/>
      <c r="AQ86" s="59"/>
      <c r="AR86" s="47"/>
      <c r="AS86" s="101"/>
    </row>
    <row r="87" spans="1:45" s="63" customFormat="1" ht="12.95" customHeight="1" x14ac:dyDescent="0.25">
      <c r="A87" s="41"/>
      <c r="B87" s="42"/>
      <c r="C87" s="49" t="str">
        <f t="shared" ref="C87:AG87" si="44">IF(C85&gt;0,C85,IF(C86&gt;0,C86,""))</f>
        <v/>
      </c>
      <c r="D87" s="49" t="str">
        <f t="shared" si="44"/>
        <v/>
      </c>
      <c r="E87" s="49" t="str">
        <f t="shared" si="44"/>
        <v/>
      </c>
      <c r="F87" s="49" t="str">
        <f t="shared" si="44"/>
        <v/>
      </c>
      <c r="G87" s="49" t="str">
        <f t="shared" si="44"/>
        <v/>
      </c>
      <c r="H87" s="49" t="str">
        <f t="shared" si="44"/>
        <v/>
      </c>
      <c r="I87" s="49" t="str">
        <f t="shared" si="44"/>
        <v/>
      </c>
      <c r="J87" s="49" t="str">
        <f t="shared" si="44"/>
        <v/>
      </c>
      <c r="K87" s="49" t="str">
        <f t="shared" si="44"/>
        <v/>
      </c>
      <c r="L87" s="49" t="str">
        <f t="shared" si="44"/>
        <v/>
      </c>
      <c r="M87" s="49" t="str">
        <f t="shared" si="44"/>
        <v/>
      </c>
      <c r="N87" s="49" t="str">
        <f t="shared" si="44"/>
        <v/>
      </c>
      <c r="O87" s="49" t="str">
        <f t="shared" si="44"/>
        <v/>
      </c>
      <c r="P87" s="49" t="str">
        <f t="shared" si="44"/>
        <v/>
      </c>
      <c r="Q87" s="49" t="str">
        <f t="shared" si="44"/>
        <v/>
      </c>
      <c r="R87" s="49" t="str">
        <f t="shared" si="44"/>
        <v/>
      </c>
      <c r="S87" s="49" t="str">
        <f t="shared" si="44"/>
        <v/>
      </c>
      <c r="T87" s="49" t="str">
        <f t="shared" si="44"/>
        <v/>
      </c>
      <c r="U87" s="49" t="str">
        <f t="shared" si="44"/>
        <v/>
      </c>
      <c r="V87" s="49" t="str">
        <f t="shared" si="44"/>
        <v/>
      </c>
      <c r="W87" s="49" t="str">
        <f t="shared" si="44"/>
        <v/>
      </c>
      <c r="X87" s="49" t="str">
        <f t="shared" si="44"/>
        <v/>
      </c>
      <c r="Y87" s="49" t="str">
        <f t="shared" si="44"/>
        <v/>
      </c>
      <c r="Z87" s="49" t="str">
        <f t="shared" si="44"/>
        <v/>
      </c>
      <c r="AA87" s="49" t="str">
        <f t="shared" si="44"/>
        <v/>
      </c>
      <c r="AB87" s="49" t="str">
        <f t="shared" si="44"/>
        <v/>
      </c>
      <c r="AC87" s="49" t="str">
        <f t="shared" si="44"/>
        <v/>
      </c>
      <c r="AD87" s="49" t="str">
        <f t="shared" si="44"/>
        <v/>
      </c>
      <c r="AE87" s="49" t="str">
        <f t="shared" si="44"/>
        <v/>
      </c>
      <c r="AF87" s="49" t="str">
        <f t="shared" si="44"/>
        <v/>
      </c>
      <c r="AG87" s="49" t="str">
        <f t="shared" si="44"/>
        <v/>
      </c>
      <c r="AH87" s="44">
        <f>SUM(AH85:AH86)</f>
        <v>0</v>
      </c>
      <c r="AI87" s="45">
        <f>SUM(AI85:AI86)</f>
        <v>0</v>
      </c>
      <c r="AJ87" s="45">
        <f>SUM(AJ85:AJ86)</f>
        <v>0</v>
      </c>
      <c r="AK87" s="45">
        <f t="shared" ref="AK87:AL87" si="45">SUM(AK85:AK86)</f>
        <v>0</v>
      </c>
      <c r="AL87" s="45">
        <f t="shared" si="45"/>
        <v>0</v>
      </c>
      <c r="AM87" s="50">
        <v>12.02</v>
      </c>
      <c r="AN87" s="51">
        <f>IF(A86="","",IF(A86&gt;NomMois,0,IF(A86&lt;$A$3,2.5,(NETWORKDAYS(A86,$A$2)/21.66667)*2.5)))</f>
        <v>2.5</v>
      </c>
      <c r="AO87" s="51">
        <f>IF(AN87="",0,+AN87)</f>
        <v>2.5</v>
      </c>
      <c r="AP87" s="50"/>
      <c r="AQ87" s="51">
        <f>+AM87-AI87</f>
        <v>12.02</v>
      </c>
      <c r="AR87" s="45">
        <f>+AP87-AJ87</f>
        <v>0</v>
      </c>
      <c r="AS87" s="102">
        <f t="shared" si="17"/>
        <v>14.52</v>
      </c>
    </row>
    <row r="88" spans="1:45" s="63" customFormat="1" ht="6.75" customHeight="1" x14ac:dyDescent="0.25">
      <c r="A88" s="64"/>
      <c r="B88" s="42"/>
      <c r="C88" s="60"/>
      <c r="D88" s="64"/>
      <c r="E88" s="64"/>
      <c r="F88" s="64"/>
      <c r="G88" s="64"/>
      <c r="H88" s="64"/>
      <c r="I88" s="64"/>
      <c r="J88" s="64"/>
      <c r="K88" s="64"/>
      <c r="L88" s="64"/>
      <c r="M88" s="64"/>
      <c r="N88" s="64"/>
      <c r="O88" s="64"/>
      <c r="P88" s="64"/>
      <c r="Q88" s="64"/>
      <c r="R88" s="64"/>
      <c r="S88" s="64"/>
      <c r="T88" s="64"/>
      <c r="U88" s="64"/>
      <c r="V88" s="64"/>
      <c r="W88" s="64"/>
      <c r="X88" s="64"/>
      <c r="Y88" s="64"/>
      <c r="Z88" s="64"/>
      <c r="AA88" s="64"/>
      <c r="AB88" s="64"/>
      <c r="AC88" s="64"/>
      <c r="AD88" s="64"/>
      <c r="AE88" s="64"/>
      <c r="AF88" s="64"/>
      <c r="AG88" s="64"/>
      <c r="AH88" s="65"/>
      <c r="AI88" s="65"/>
      <c r="AJ88" s="65"/>
      <c r="AK88" s="65"/>
      <c r="AL88" s="65"/>
      <c r="AM88" s="64"/>
      <c r="AN88" s="65"/>
      <c r="AO88" s="65"/>
      <c r="AP88" s="64"/>
      <c r="AQ88" s="68"/>
      <c r="AR88" s="69"/>
      <c r="AS88" s="65"/>
    </row>
    <row r="89" spans="1:45" s="63" customFormat="1" ht="12.95" customHeight="1" x14ac:dyDescent="0.25">
      <c r="A89" s="41"/>
      <c r="B89" s="42" t="s">
        <v>15</v>
      </c>
      <c r="C89" s="43"/>
      <c r="D89" s="43"/>
      <c r="E89" s="43"/>
      <c r="F89" s="43"/>
      <c r="G89" s="43"/>
      <c r="H89" s="43"/>
      <c r="I89" s="43"/>
      <c r="J89" s="43"/>
      <c r="K89" s="43"/>
      <c r="L89" s="43"/>
      <c r="M89" s="43"/>
      <c r="N89" s="43"/>
      <c r="O89" s="43"/>
      <c r="P89" s="43"/>
      <c r="Q89" s="43"/>
      <c r="R89" s="43"/>
      <c r="S89" s="43"/>
      <c r="T89" s="43"/>
      <c r="U89" s="43"/>
      <c r="V89" s="43"/>
      <c r="W89" s="43"/>
      <c r="X89" s="43"/>
      <c r="Y89" s="43"/>
      <c r="Z89" s="43"/>
      <c r="AA89" s="43"/>
      <c r="AB89" s="43"/>
      <c r="AC89" s="43"/>
      <c r="AD89" s="43"/>
      <c r="AE89" s="43"/>
      <c r="AF89" s="43"/>
      <c r="AG89" s="43"/>
      <c r="AH89" s="44">
        <f>COUNTA(Juin!$C89:$AF89)</f>
        <v>0</v>
      </c>
      <c r="AI89" s="45">
        <f>(COUNTIFS(Juin!$C89:$AF89,("cp")))/2</f>
        <v>0</v>
      </c>
      <c r="AJ89" s="45">
        <f>COUNTIFS(Juin!$C89:$AG89,"RTT")/2</f>
        <v>0</v>
      </c>
      <c r="AK89" s="45">
        <f>COUNTIFS(Juin!$C89:$AG89,"m")/2</f>
        <v>0</v>
      </c>
      <c r="AL89" s="45">
        <f>COUNTIFS(Juin!$C89:$AG89,"a")/2</f>
        <v>0</v>
      </c>
      <c r="AM89" s="46"/>
      <c r="AN89" s="47"/>
      <c r="AO89" s="47"/>
      <c r="AP89" s="46"/>
      <c r="AQ89" s="59"/>
      <c r="AR89" s="47"/>
      <c r="AS89" s="47"/>
    </row>
    <row r="90" spans="1:45" s="63" customFormat="1" ht="12.95" customHeight="1" x14ac:dyDescent="0.25">
      <c r="A90" s="48">
        <v>42303</v>
      </c>
      <c r="B90" s="42" t="s">
        <v>16</v>
      </c>
      <c r="C90" s="43"/>
      <c r="D90" s="43"/>
      <c r="E90" s="43"/>
      <c r="F90" s="43"/>
      <c r="G90" s="43"/>
      <c r="H90" s="43"/>
      <c r="I90" s="43"/>
      <c r="J90" s="43"/>
      <c r="K90" s="43"/>
      <c r="L90" s="43"/>
      <c r="M90" s="43"/>
      <c r="N90" s="43"/>
      <c r="O90" s="43"/>
      <c r="P90" s="43"/>
      <c r="Q90" s="43"/>
      <c r="R90" s="43"/>
      <c r="S90" s="43"/>
      <c r="T90" s="43"/>
      <c r="U90" s="43"/>
      <c r="V90" s="43"/>
      <c r="W90" s="43"/>
      <c r="X90" s="43"/>
      <c r="Y90" s="43"/>
      <c r="Z90" s="43"/>
      <c r="AA90" s="43"/>
      <c r="AB90" s="43"/>
      <c r="AC90" s="43"/>
      <c r="AD90" s="43"/>
      <c r="AE90" s="43"/>
      <c r="AF90" s="43"/>
      <c r="AG90" s="43"/>
      <c r="AH90" s="44">
        <f>COUNTA(Juin!$C90:$AF90)</f>
        <v>0</v>
      </c>
      <c r="AI90" s="45">
        <f>(COUNTIFS(Juin!$C90:$AF90,("cp")))/2</f>
        <v>0</v>
      </c>
      <c r="AJ90" s="45">
        <f>COUNTIFS(Juin!$C90:$AG90,"RTT")/2</f>
        <v>0</v>
      </c>
      <c r="AK90" s="45">
        <f>COUNTIFS(Juin!$C90:$AG90,"m")/2</f>
        <v>0</v>
      </c>
      <c r="AL90" s="45">
        <f>COUNTIFS(Juin!$C90:$AG90,"a")/2</f>
        <v>0</v>
      </c>
      <c r="AM90" s="46"/>
      <c r="AN90" s="47"/>
      <c r="AO90" s="47"/>
      <c r="AP90" s="46"/>
      <c r="AQ90" s="59"/>
      <c r="AR90" s="47"/>
      <c r="AS90" s="101"/>
    </row>
    <row r="91" spans="1:45" s="63" customFormat="1" ht="12.95" customHeight="1" x14ac:dyDescent="0.25">
      <c r="A91" s="41"/>
      <c r="B91" s="42"/>
      <c r="C91" s="49" t="str">
        <f t="shared" ref="C91:AG91" si="46">IF(C89&gt;0,C89,IF(C90&gt;0,C90,""))</f>
        <v/>
      </c>
      <c r="D91" s="49" t="str">
        <f t="shared" si="46"/>
        <v/>
      </c>
      <c r="E91" s="49" t="str">
        <f t="shared" si="46"/>
        <v/>
      </c>
      <c r="F91" s="49" t="str">
        <f t="shared" si="46"/>
        <v/>
      </c>
      <c r="G91" s="49" t="str">
        <f t="shared" si="46"/>
        <v/>
      </c>
      <c r="H91" s="49" t="str">
        <f t="shared" si="46"/>
        <v/>
      </c>
      <c r="I91" s="49" t="str">
        <f t="shared" si="46"/>
        <v/>
      </c>
      <c r="J91" s="49" t="str">
        <f t="shared" si="46"/>
        <v/>
      </c>
      <c r="K91" s="49" t="str">
        <f t="shared" si="46"/>
        <v/>
      </c>
      <c r="L91" s="49" t="str">
        <f t="shared" si="46"/>
        <v/>
      </c>
      <c r="M91" s="49" t="str">
        <f t="shared" si="46"/>
        <v/>
      </c>
      <c r="N91" s="49" t="str">
        <f t="shared" si="46"/>
        <v/>
      </c>
      <c r="O91" s="49" t="str">
        <f t="shared" si="46"/>
        <v/>
      </c>
      <c r="P91" s="49" t="str">
        <f t="shared" si="46"/>
        <v/>
      </c>
      <c r="Q91" s="49" t="str">
        <f t="shared" si="46"/>
        <v/>
      </c>
      <c r="R91" s="49" t="str">
        <f t="shared" si="46"/>
        <v/>
      </c>
      <c r="S91" s="49" t="str">
        <f t="shared" si="46"/>
        <v/>
      </c>
      <c r="T91" s="49" t="str">
        <f t="shared" si="46"/>
        <v/>
      </c>
      <c r="U91" s="49" t="str">
        <f t="shared" si="46"/>
        <v/>
      </c>
      <c r="V91" s="49" t="str">
        <f t="shared" si="46"/>
        <v/>
      </c>
      <c r="W91" s="49" t="str">
        <f t="shared" si="46"/>
        <v/>
      </c>
      <c r="X91" s="49" t="str">
        <f t="shared" si="46"/>
        <v/>
      </c>
      <c r="Y91" s="49" t="str">
        <f t="shared" si="46"/>
        <v/>
      </c>
      <c r="Z91" s="49" t="str">
        <f t="shared" si="46"/>
        <v/>
      </c>
      <c r="AA91" s="49" t="str">
        <f t="shared" si="46"/>
        <v/>
      </c>
      <c r="AB91" s="49" t="str">
        <f t="shared" si="46"/>
        <v/>
      </c>
      <c r="AC91" s="49" t="str">
        <f t="shared" si="46"/>
        <v/>
      </c>
      <c r="AD91" s="49" t="str">
        <f t="shared" si="46"/>
        <v/>
      </c>
      <c r="AE91" s="49" t="str">
        <f t="shared" si="46"/>
        <v/>
      </c>
      <c r="AF91" s="49" t="str">
        <f t="shared" si="46"/>
        <v/>
      </c>
      <c r="AG91" s="49" t="str">
        <f t="shared" si="46"/>
        <v/>
      </c>
      <c r="AH91" s="44">
        <f>SUM(AH89:AH90)</f>
        <v>0</v>
      </c>
      <c r="AI91" s="45">
        <f>SUM(AI89:AI90)</f>
        <v>0</v>
      </c>
      <c r="AJ91" s="45">
        <f>SUM(AJ89:AJ90)</f>
        <v>0</v>
      </c>
      <c r="AK91" s="45">
        <f t="shared" ref="AK91:AL91" si="47">SUM(AK89:AK90)</f>
        <v>0</v>
      </c>
      <c r="AL91" s="45">
        <f t="shared" si="47"/>
        <v>0</v>
      </c>
      <c r="AM91" s="50">
        <v>-0.82</v>
      </c>
      <c r="AN91" s="51">
        <f>IF(A90="","",IF(A90&gt;NomMois,0,IF(A90&lt;$A$3,2.5,(NETWORKDAYS(A90,$A$2)/21.66667)*2.5)))</f>
        <v>2.5</v>
      </c>
      <c r="AO91" s="51">
        <f>IF(AN91="",0,+AN91)</f>
        <v>2.5</v>
      </c>
      <c r="AP91" s="50"/>
      <c r="AQ91" s="51">
        <f>+AM91-AI91</f>
        <v>-0.82</v>
      </c>
      <c r="AR91" s="45">
        <f>+AP91-AJ91</f>
        <v>0</v>
      </c>
      <c r="AS91" s="102">
        <f t="shared" si="17"/>
        <v>1.6800000000000002</v>
      </c>
    </row>
    <row r="92" spans="1:45" s="63" customFormat="1" ht="6.75" customHeight="1" x14ac:dyDescent="0.25">
      <c r="A92" s="64"/>
      <c r="B92" s="42"/>
      <c r="C92" s="60"/>
      <c r="D92" s="64"/>
      <c r="E92" s="64"/>
      <c r="F92" s="64"/>
      <c r="G92" s="64"/>
      <c r="H92" s="64"/>
      <c r="I92" s="64"/>
      <c r="J92" s="64"/>
      <c r="K92" s="64"/>
      <c r="L92" s="64"/>
      <c r="M92" s="64"/>
      <c r="N92" s="64"/>
      <c r="O92" s="64"/>
      <c r="P92" s="64"/>
      <c r="Q92" s="64"/>
      <c r="R92" s="64"/>
      <c r="S92" s="64"/>
      <c r="T92" s="64"/>
      <c r="U92" s="64"/>
      <c r="V92" s="64"/>
      <c r="W92" s="64"/>
      <c r="X92" s="64"/>
      <c r="Y92" s="64"/>
      <c r="Z92" s="64"/>
      <c r="AA92" s="64"/>
      <c r="AB92" s="64"/>
      <c r="AC92" s="64"/>
      <c r="AD92" s="64"/>
      <c r="AE92" s="64"/>
      <c r="AF92" s="64"/>
      <c r="AG92" s="64"/>
      <c r="AH92" s="65"/>
      <c r="AI92" s="65"/>
      <c r="AJ92" s="65"/>
      <c r="AK92" s="65"/>
      <c r="AL92" s="65"/>
      <c r="AM92" s="64"/>
      <c r="AN92" s="65"/>
      <c r="AO92" s="65"/>
      <c r="AP92" s="64"/>
      <c r="AQ92" s="68"/>
      <c r="AR92" s="69"/>
      <c r="AS92" s="65"/>
    </row>
    <row r="93" spans="1:45" s="63" customFormat="1" ht="12.95" customHeight="1" x14ac:dyDescent="0.25">
      <c r="A93" s="41"/>
      <c r="B93" s="42" t="s">
        <v>15</v>
      </c>
      <c r="C93" s="43"/>
      <c r="D93" s="43"/>
      <c r="E93" s="43"/>
      <c r="F93" s="43"/>
      <c r="G93" s="43"/>
      <c r="H93" s="43"/>
      <c r="I93" s="43"/>
      <c r="J93" s="43"/>
      <c r="K93" s="43"/>
      <c r="L93" s="43"/>
      <c r="M93" s="43"/>
      <c r="N93" s="43"/>
      <c r="O93" s="43"/>
      <c r="P93" s="43"/>
      <c r="Q93" s="43"/>
      <c r="R93" s="43"/>
      <c r="S93" s="43"/>
      <c r="T93" s="43"/>
      <c r="U93" s="43"/>
      <c r="V93" s="43"/>
      <c r="W93" s="43"/>
      <c r="X93" s="43"/>
      <c r="Y93" s="43"/>
      <c r="Z93" s="43"/>
      <c r="AA93" s="43"/>
      <c r="AB93" s="43"/>
      <c r="AC93" s="43"/>
      <c r="AD93" s="43"/>
      <c r="AE93" s="43"/>
      <c r="AF93" s="43"/>
      <c r="AG93" s="43"/>
      <c r="AH93" s="44">
        <f>COUNTA(Juin!$C93:$AF93)</f>
        <v>0</v>
      </c>
      <c r="AI93" s="45">
        <f>(COUNTIFS(Juin!$C93:$AF93,("cp")))/2</f>
        <v>0</v>
      </c>
      <c r="AJ93" s="45">
        <f>COUNTIFS(Juin!$C93:$AG93,"RTT")/2</f>
        <v>0</v>
      </c>
      <c r="AK93" s="45">
        <f>COUNTIFS(Juin!$C93:$AG93,"m")/2</f>
        <v>0</v>
      </c>
      <c r="AL93" s="45">
        <f>COUNTIFS(Juin!$C93:$AG93,"a")/2</f>
        <v>0</v>
      </c>
      <c r="AM93" s="46"/>
      <c r="AN93" s="47"/>
      <c r="AO93" s="47"/>
      <c r="AP93" s="46"/>
      <c r="AQ93" s="59"/>
      <c r="AR93" s="47"/>
      <c r="AS93" s="47"/>
    </row>
    <row r="94" spans="1:45" s="63" customFormat="1" ht="12.95" customHeight="1" x14ac:dyDescent="0.25">
      <c r="A94" s="48">
        <v>42921</v>
      </c>
      <c r="B94" s="42" t="s">
        <v>16</v>
      </c>
      <c r="C94" s="43"/>
      <c r="D94" s="43"/>
      <c r="E94" s="43"/>
      <c r="F94" s="43"/>
      <c r="G94" s="43"/>
      <c r="H94" s="43"/>
      <c r="I94" s="43"/>
      <c r="J94" s="43"/>
      <c r="K94" s="43"/>
      <c r="L94" s="43"/>
      <c r="M94" s="43"/>
      <c r="N94" s="43"/>
      <c r="O94" s="43"/>
      <c r="P94" s="43"/>
      <c r="Q94" s="43"/>
      <c r="R94" s="43"/>
      <c r="S94" s="43"/>
      <c r="T94" s="43"/>
      <c r="U94" s="43"/>
      <c r="V94" s="43"/>
      <c r="W94" s="43"/>
      <c r="X94" s="43"/>
      <c r="Y94" s="43"/>
      <c r="Z94" s="43"/>
      <c r="AA94" s="43"/>
      <c r="AB94" s="43"/>
      <c r="AC94" s="43"/>
      <c r="AD94" s="43"/>
      <c r="AE94" s="43"/>
      <c r="AF94" s="43"/>
      <c r="AG94" s="43"/>
      <c r="AH94" s="44">
        <f>COUNTA(Juin!$C94:$AF94)</f>
        <v>0</v>
      </c>
      <c r="AI94" s="45">
        <f>(COUNTIFS(Juin!$C94:$AF94,("cp")))/2</f>
        <v>0</v>
      </c>
      <c r="AJ94" s="45">
        <f>COUNTIFS(Juin!$C94:$AG94,"RTT")/2</f>
        <v>0</v>
      </c>
      <c r="AK94" s="45">
        <f>COUNTIFS(Juin!$C94:$AG94,"m")/2</f>
        <v>0</v>
      </c>
      <c r="AL94" s="45">
        <f>COUNTIFS(Juin!$C94:$AG94,"a")/2</f>
        <v>0</v>
      </c>
      <c r="AM94" s="46"/>
      <c r="AN94" s="47"/>
      <c r="AO94" s="47"/>
      <c r="AP94" s="46"/>
      <c r="AQ94" s="59"/>
      <c r="AR94" s="47"/>
      <c r="AS94" s="101"/>
    </row>
    <row r="95" spans="1:45" s="63" customFormat="1" ht="12.95" customHeight="1" x14ac:dyDescent="0.25">
      <c r="A95" s="41"/>
      <c r="B95" s="42"/>
      <c r="C95" s="49" t="str">
        <f t="shared" ref="C95:AG95" si="48">IF(C93&gt;0,C93,IF(C94&gt;0,C94,""))</f>
        <v/>
      </c>
      <c r="D95" s="49" t="str">
        <f t="shared" si="48"/>
        <v/>
      </c>
      <c r="E95" s="49" t="str">
        <f t="shared" si="48"/>
        <v/>
      </c>
      <c r="F95" s="49" t="str">
        <f t="shared" si="48"/>
        <v/>
      </c>
      <c r="G95" s="49" t="str">
        <f t="shared" si="48"/>
        <v/>
      </c>
      <c r="H95" s="49" t="str">
        <f t="shared" si="48"/>
        <v/>
      </c>
      <c r="I95" s="49" t="str">
        <f t="shared" si="48"/>
        <v/>
      </c>
      <c r="J95" s="49" t="str">
        <f t="shared" si="48"/>
        <v/>
      </c>
      <c r="K95" s="49" t="str">
        <f t="shared" si="48"/>
        <v/>
      </c>
      <c r="L95" s="49" t="str">
        <f t="shared" si="48"/>
        <v/>
      </c>
      <c r="M95" s="49" t="str">
        <f t="shared" si="48"/>
        <v/>
      </c>
      <c r="N95" s="49" t="str">
        <f t="shared" si="48"/>
        <v/>
      </c>
      <c r="O95" s="49" t="str">
        <f t="shared" si="48"/>
        <v/>
      </c>
      <c r="P95" s="49" t="str">
        <f t="shared" si="48"/>
        <v/>
      </c>
      <c r="Q95" s="49" t="str">
        <f t="shared" si="48"/>
        <v/>
      </c>
      <c r="R95" s="49" t="str">
        <f t="shared" si="48"/>
        <v/>
      </c>
      <c r="S95" s="49" t="str">
        <f t="shared" si="48"/>
        <v/>
      </c>
      <c r="T95" s="49" t="str">
        <f t="shared" si="48"/>
        <v/>
      </c>
      <c r="U95" s="49" t="str">
        <f t="shared" si="48"/>
        <v/>
      </c>
      <c r="V95" s="49" t="str">
        <f t="shared" si="48"/>
        <v/>
      </c>
      <c r="W95" s="49" t="str">
        <f t="shared" si="48"/>
        <v/>
      </c>
      <c r="X95" s="49" t="str">
        <f t="shared" si="48"/>
        <v/>
      </c>
      <c r="Y95" s="49" t="str">
        <f t="shared" si="48"/>
        <v/>
      </c>
      <c r="Z95" s="49" t="str">
        <f t="shared" si="48"/>
        <v/>
      </c>
      <c r="AA95" s="49" t="str">
        <f t="shared" si="48"/>
        <v/>
      </c>
      <c r="AB95" s="49" t="str">
        <f t="shared" si="48"/>
        <v/>
      </c>
      <c r="AC95" s="49" t="str">
        <f t="shared" si="48"/>
        <v/>
      </c>
      <c r="AD95" s="49" t="str">
        <f t="shared" si="48"/>
        <v/>
      </c>
      <c r="AE95" s="49" t="str">
        <f t="shared" si="48"/>
        <v/>
      </c>
      <c r="AF95" s="49" t="str">
        <f t="shared" si="48"/>
        <v/>
      </c>
      <c r="AG95" s="49" t="str">
        <f t="shared" si="48"/>
        <v/>
      </c>
      <c r="AH95" s="44">
        <f>SUM(AH93:AH94)</f>
        <v>0</v>
      </c>
      <c r="AI95" s="45">
        <f>SUM(AI93:AI94)</f>
        <v>0</v>
      </c>
      <c r="AJ95" s="45">
        <f>SUM(AJ93:AJ94)</f>
        <v>0</v>
      </c>
      <c r="AK95" s="45">
        <f t="shared" ref="AK95:AL95" si="49">SUM(AK93:AK94)</f>
        <v>0</v>
      </c>
      <c r="AL95" s="45">
        <f t="shared" si="49"/>
        <v>0</v>
      </c>
      <c r="AM95" s="50">
        <v>0</v>
      </c>
      <c r="AN95" s="51">
        <f>IF(A94="","",IF(A94&gt;NomMois,0,IF(A94&lt;$A$3,2.08,(NETWORKDAYS(A94,$A$2)/21.66667)*2.08)))</f>
        <v>0</v>
      </c>
      <c r="AO95" s="51">
        <f>IF(AN95="",0,+AN95)</f>
        <v>0</v>
      </c>
      <c r="AP95" s="50"/>
      <c r="AQ95" s="51">
        <f>+AM95-AI95</f>
        <v>0</v>
      </c>
      <c r="AR95" s="45">
        <f>+AP95-AJ95</f>
        <v>0</v>
      </c>
      <c r="AS95" s="102">
        <f t="shared" ref="AS95:AS123" si="50">+AO95+AQ95</f>
        <v>0</v>
      </c>
    </row>
    <row r="96" spans="1:45" s="63" customFormat="1" ht="6.75" customHeight="1" x14ac:dyDescent="0.25">
      <c r="A96" s="64"/>
      <c r="B96" s="42"/>
      <c r="C96" s="60"/>
      <c r="D96" s="64"/>
      <c r="E96" s="64"/>
      <c r="F96" s="64"/>
      <c r="G96" s="64"/>
      <c r="H96" s="64"/>
      <c r="I96" s="64"/>
      <c r="J96" s="64"/>
      <c r="K96" s="64"/>
      <c r="L96" s="64"/>
      <c r="M96" s="64"/>
      <c r="N96" s="64"/>
      <c r="O96" s="64"/>
      <c r="P96" s="64"/>
      <c r="Q96" s="64"/>
      <c r="R96" s="64"/>
      <c r="S96" s="64"/>
      <c r="T96" s="64"/>
      <c r="U96" s="64"/>
      <c r="V96" s="64"/>
      <c r="W96" s="64"/>
      <c r="X96" s="64"/>
      <c r="Y96" s="64"/>
      <c r="Z96" s="64"/>
      <c r="AA96" s="64"/>
      <c r="AB96" s="64"/>
      <c r="AC96" s="64"/>
      <c r="AD96" s="64"/>
      <c r="AE96" s="64"/>
      <c r="AF96" s="64"/>
      <c r="AG96" s="64"/>
      <c r="AH96" s="65"/>
      <c r="AI96" s="65"/>
      <c r="AJ96" s="65"/>
      <c r="AK96" s="65"/>
      <c r="AL96" s="65"/>
      <c r="AM96" s="64"/>
      <c r="AN96" s="65"/>
      <c r="AO96" s="65"/>
      <c r="AP96" s="64"/>
      <c r="AQ96" s="68"/>
      <c r="AR96" s="69"/>
      <c r="AS96" s="65"/>
    </row>
    <row r="97" spans="1:45" s="63" customFormat="1" ht="12.95" customHeight="1" x14ac:dyDescent="0.25">
      <c r="A97" s="70"/>
      <c r="B97" s="42" t="s">
        <v>15</v>
      </c>
      <c r="C97" s="71"/>
      <c r="D97" s="71"/>
      <c r="E97" s="71"/>
      <c r="F97" s="71"/>
      <c r="G97" s="71"/>
      <c r="H97" s="71"/>
      <c r="I97" s="71"/>
      <c r="J97" s="71"/>
      <c r="K97" s="71"/>
      <c r="L97" s="71"/>
      <c r="M97" s="71" t="s">
        <v>7</v>
      </c>
      <c r="N97" s="71" t="s">
        <v>7</v>
      </c>
      <c r="O97" s="71" t="s">
        <v>7</v>
      </c>
      <c r="P97" s="71"/>
      <c r="Q97" s="71"/>
      <c r="R97" s="71"/>
      <c r="S97" s="71"/>
      <c r="T97" s="71"/>
      <c r="U97" s="71"/>
      <c r="V97" s="71"/>
      <c r="W97" s="71"/>
      <c r="X97" s="71"/>
      <c r="Y97" s="71"/>
      <c r="Z97" s="71"/>
      <c r="AA97" s="71"/>
      <c r="AB97" s="71"/>
      <c r="AC97" s="71"/>
      <c r="AD97" s="71"/>
      <c r="AE97" s="71"/>
      <c r="AF97" s="71"/>
      <c r="AG97" s="71"/>
      <c r="AH97" s="72">
        <f>COUNTA(Juin!$C97:$AF97)</f>
        <v>3</v>
      </c>
      <c r="AI97" s="45">
        <f>(COUNTIFS(Juin!$C97:$AF97,("cp")))/2</f>
        <v>1.5</v>
      </c>
      <c r="AJ97" s="45">
        <f>COUNTIFS(Juin!$C97:$AG97,"RTT")/2</f>
        <v>0</v>
      </c>
      <c r="AK97" s="45">
        <f>COUNTIFS(Juin!$C97:$AG97,"m")/2</f>
        <v>0</v>
      </c>
      <c r="AL97" s="45">
        <f>COUNTIFS(Juin!$C97:$AG97,"a")/2</f>
        <v>0</v>
      </c>
      <c r="AM97" s="46"/>
      <c r="AN97" s="47"/>
      <c r="AO97" s="47"/>
      <c r="AP97" s="46"/>
      <c r="AQ97" s="59"/>
      <c r="AR97" s="47"/>
      <c r="AS97" s="47"/>
    </row>
    <row r="98" spans="1:45" s="63" customFormat="1" ht="12.95" customHeight="1" x14ac:dyDescent="0.25">
      <c r="A98" s="73">
        <v>42736</v>
      </c>
      <c r="B98" s="42" t="s">
        <v>16</v>
      </c>
      <c r="C98" s="71"/>
      <c r="D98" s="71"/>
      <c r="E98" s="71"/>
      <c r="F98" s="71"/>
      <c r="G98" s="71"/>
      <c r="H98" s="71"/>
      <c r="I98" s="71"/>
      <c r="J98" s="71"/>
      <c r="K98" s="71"/>
      <c r="L98" s="71"/>
      <c r="M98" s="71" t="s">
        <v>7</v>
      </c>
      <c r="N98" s="71" t="s">
        <v>7</v>
      </c>
      <c r="O98" s="71" t="s">
        <v>7</v>
      </c>
      <c r="P98" s="71"/>
      <c r="Q98" s="71"/>
      <c r="R98" s="71"/>
      <c r="S98" s="71"/>
      <c r="T98" s="71"/>
      <c r="U98" s="71"/>
      <c r="V98" s="71"/>
      <c r="W98" s="71"/>
      <c r="X98" s="71"/>
      <c r="Y98" s="71"/>
      <c r="Z98" s="71"/>
      <c r="AA98" s="71"/>
      <c r="AB98" s="71"/>
      <c r="AC98" s="71"/>
      <c r="AD98" s="71"/>
      <c r="AE98" s="71"/>
      <c r="AF98" s="71"/>
      <c r="AG98" s="71"/>
      <c r="AH98" s="72">
        <f>COUNTA(Juin!$C98:$AF98)</f>
        <v>3</v>
      </c>
      <c r="AI98" s="45">
        <f>(COUNTIFS(Juin!$C98:$AF98,("cp")))/2</f>
        <v>1.5</v>
      </c>
      <c r="AJ98" s="45">
        <f>COUNTIFS(Juin!$C98:$AG98,"RTT")/2</f>
        <v>0</v>
      </c>
      <c r="AK98" s="45">
        <f>COUNTIFS(Juin!$C98:$AG98,"m")/2</f>
        <v>0</v>
      </c>
      <c r="AL98" s="45">
        <f>COUNTIFS(Juin!$C98:$AG98,"a")/2</f>
        <v>0</v>
      </c>
      <c r="AM98" s="46"/>
      <c r="AN98" s="47"/>
      <c r="AO98" s="47"/>
      <c r="AP98" s="46"/>
      <c r="AQ98" s="59"/>
      <c r="AR98" s="47"/>
      <c r="AS98" s="101"/>
    </row>
    <row r="99" spans="1:45" s="63" customFormat="1" ht="12.95" customHeight="1" x14ac:dyDescent="0.25">
      <c r="A99" s="70"/>
      <c r="B99" s="42"/>
      <c r="C99" s="71" t="str">
        <f t="shared" ref="C99:AG99" si="51">IF(C97&gt;0,C97,IF(C98&gt;0,C98,""))</f>
        <v/>
      </c>
      <c r="D99" s="71" t="str">
        <f t="shared" si="51"/>
        <v/>
      </c>
      <c r="E99" s="71" t="str">
        <f t="shared" si="51"/>
        <v/>
      </c>
      <c r="F99" s="71" t="str">
        <f t="shared" si="51"/>
        <v/>
      </c>
      <c r="G99" s="71" t="str">
        <f t="shared" si="51"/>
        <v/>
      </c>
      <c r="H99" s="71" t="str">
        <f t="shared" si="51"/>
        <v/>
      </c>
      <c r="I99" s="71" t="str">
        <f t="shared" si="51"/>
        <v/>
      </c>
      <c r="J99" s="71" t="str">
        <f t="shared" si="51"/>
        <v/>
      </c>
      <c r="K99" s="71" t="str">
        <f t="shared" si="51"/>
        <v/>
      </c>
      <c r="L99" s="71" t="str">
        <f t="shared" si="51"/>
        <v/>
      </c>
      <c r="M99" s="71" t="str">
        <f t="shared" si="51"/>
        <v>CP</v>
      </c>
      <c r="N99" s="71" t="str">
        <f t="shared" si="51"/>
        <v>CP</v>
      </c>
      <c r="O99" s="71" t="str">
        <f t="shared" si="51"/>
        <v>CP</v>
      </c>
      <c r="P99" s="71" t="str">
        <f t="shared" si="51"/>
        <v/>
      </c>
      <c r="Q99" s="71" t="str">
        <f t="shared" si="51"/>
        <v/>
      </c>
      <c r="R99" s="71" t="str">
        <f t="shared" si="51"/>
        <v/>
      </c>
      <c r="S99" s="71" t="str">
        <f t="shared" si="51"/>
        <v/>
      </c>
      <c r="T99" s="71" t="str">
        <f t="shared" si="51"/>
        <v/>
      </c>
      <c r="U99" s="71" t="str">
        <f t="shared" si="51"/>
        <v/>
      </c>
      <c r="V99" s="71" t="str">
        <f t="shared" si="51"/>
        <v/>
      </c>
      <c r="W99" s="71" t="str">
        <f t="shared" si="51"/>
        <v/>
      </c>
      <c r="X99" s="71" t="str">
        <f t="shared" si="51"/>
        <v/>
      </c>
      <c r="Y99" s="71" t="str">
        <f t="shared" si="51"/>
        <v/>
      </c>
      <c r="Z99" s="71" t="str">
        <f t="shared" si="51"/>
        <v/>
      </c>
      <c r="AA99" s="71" t="str">
        <f t="shared" si="51"/>
        <v/>
      </c>
      <c r="AB99" s="71" t="str">
        <f t="shared" si="51"/>
        <v/>
      </c>
      <c r="AC99" s="71" t="str">
        <f t="shared" si="51"/>
        <v/>
      </c>
      <c r="AD99" s="71" t="str">
        <f t="shared" si="51"/>
        <v/>
      </c>
      <c r="AE99" s="71" t="str">
        <f t="shared" si="51"/>
        <v/>
      </c>
      <c r="AF99" s="71" t="str">
        <f t="shared" si="51"/>
        <v/>
      </c>
      <c r="AG99" s="71" t="str">
        <f t="shared" si="51"/>
        <v/>
      </c>
      <c r="AH99" s="72">
        <f>SUM(AH97:AH98)</f>
        <v>6</v>
      </c>
      <c r="AI99" s="45">
        <f>SUM(AI97:AI98)</f>
        <v>3</v>
      </c>
      <c r="AJ99" s="45">
        <f>SUM(AJ97:AJ98)</f>
        <v>0</v>
      </c>
      <c r="AK99" s="45">
        <f t="shared" ref="AK99:AL99" si="52">SUM(AK97:AK98)</f>
        <v>0</v>
      </c>
      <c r="AL99" s="45">
        <f t="shared" si="52"/>
        <v>0</v>
      </c>
      <c r="AM99" s="50">
        <v>5.41</v>
      </c>
      <c r="AN99" s="51">
        <f>IF(A98="","",IF(A98&gt;NomMois,0,IF(A98&lt;$A$3,2.08,(NETWORKDAYS(A98,$A$2)/21.66667)*2.08)))</f>
        <v>2.08</v>
      </c>
      <c r="AO99" s="51">
        <f>IF(AN99="",0,+AN99)</f>
        <v>2.08</v>
      </c>
      <c r="AP99" s="50"/>
      <c r="AQ99" s="51">
        <f>+AM99-AI99</f>
        <v>2.41</v>
      </c>
      <c r="AR99" s="45">
        <f>+AP99-AJ99</f>
        <v>0</v>
      </c>
      <c r="AS99" s="102">
        <f t="shared" si="50"/>
        <v>4.49</v>
      </c>
    </row>
    <row r="100" spans="1:45" s="63" customFormat="1" ht="6.75" customHeight="1" x14ac:dyDescent="0.25">
      <c r="A100" s="64"/>
      <c r="B100" s="42"/>
      <c r="C100" s="60"/>
      <c r="D100" s="64"/>
      <c r="E100" s="64"/>
      <c r="F100" s="64"/>
      <c r="G100" s="64"/>
      <c r="H100" s="64"/>
      <c r="I100" s="64"/>
      <c r="J100" s="64"/>
      <c r="K100" s="64"/>
      <c r="L100" s="64"/>
      <c r="M100" s="64"/>
      <c r="N100" s="64"/>
      <c r="O100" s="64"/>
      <c r="P100" s="64"/>
      <c r="Q100" s="64"/>
      <c r="R100" s="64"/>
      <c r="S100" s="64"/>
      <c r="T100" s="64"/>
      <c r="U100" s="64"/>
      <c r="V100" s="64"/>
      <c r="W100" s="64"/>
      <c r="X100" s="64"/>
      <c r="Y100" s="64"/>
      <c r="Z100" s="64"/>
      <c r="AA100" s="64"/>
      <c r="AB100" s="64"/>
      <c r="AC100" s="64"/>
      <c r="AD100" s="64"/>
      <c r="AE100" s="64"/>
      <c r="AF100" s="64"/>
      <c r="AG100" s="64"/>
      <c r="AH100" s="65"/>
      <c r="AI100" s="65"/>
      <c r="AJ100" s="65"/>
      <c r="AK100" s="65"/>
      <c r="AL100" s="65"/>
      <c r="AM100" s="64"/>
      <c r="AN100" s="65"/>
      <c r="AO100" s="65"/>
      <c r="AP100" s="64"/>
      <c r="AQ100" s="68"/>
      <c r="AR100" s="69"/>
      <c r="AS100" s="65"/>
    </row>
    <row r="101" spans="1:45" s="63" customFormat="1" ht="12.95" customHeight="1" x14ac:dyDescent="0.25">
      <c r="A101" s="70"/>
      <c r="B101" s="42" t="s">
        <v>15</v>
      </c>
      <c r="C101" s="71"/>
      <c r="D101" s="71"/>
      <c r="E101" s="71"/>
      <c r="F101" s="71"/>
      <c r="G101" s="71"/>
      <c r="H101" s="71"/>
      <c r="I101" s="71"/>
      <c r="J101" s="71"/>
      <c r="K101" s="71"/>
      <c r="L101" s="71"/>
      <c r="M101" s="71"/>
      <c r="N101" s="71"/>
      <c r="O101" s="71"/>
      <c r="P101" s="71"/>
      <c r="Q101" s="71"/>
      <c r="R101" s="71"/>
      <c r="S101" s="71"/>
      <c r="T101" s="71"/>
      <c r="U101" s="71"/>
      <c r="V101" s="71"/>
      <c r="W101" s="71"/>
      <c r="X101" s="71"/>
      <c r="Y101" s="71"/>
      <c r="Z101" s="71"/>
      <c r="AA101" s="71"/>
      <c r="AB101" s="71"/>
      <c r="AC101" s="71"/>
      <c r="AD101" s="71"/>
      <c r="AE101" s="71"/>
      <c r="AF101" s="71"/>
      <c r="AG101" s="71"/>
      <c r="AH101" s="72">
        <f>COUNTA(Juin!$C101:$AF101)</f>
        <v>0</v>
      </c>
      <c r="AI101" s="45">
        <f>(COUNTIFS(Juin!$C101:$AF101,("cp")))/2</f>
        <v>0</v>
      </c>
      <c r="AJ101" s="45">
        <f>COUNTIFS(Juin!$C101:$AG101,"RTT")/2</f>
        <v>0</v>
      </c>
      <c r="AK101" s="45">
        <f>COUNTIFS(Juin!$C101:$AG101,"m")/2</f>
        <v>0</v>
      </c>
      <c r="AL101" s="45">
        <f>COUNTIFS(Juin!$C101:$AG101,"a")/2</f>
        <v>0</v>
      </c>
      <c r="AM101" s="46"/>
      <c r="AN101" s="47"/>
      <c r="AO101" s="47"/>
      <c r="AP101" s="46"/>
      <c r="AQ101" s="59"/>
      <c r="AR101" s="47"/>
      <c r="AS101" s="47"/>
    </row>
    <row r="102" spans="1:45" s="63" customFormat="1" ht="12.95" customHeight="1" x14ac:dyDescent="0.25">
      <c r="A102" s="73">
        <v>42814</v>
      </c>
      <c r="B102" s="42" t="s">
        <v>16</v>
      </c>
      <c r="C102" s="71"/>
      <c r="D102" s="71"/>
      <c r="E102" s="71"/>
      <c r="F102" s="71"/>
      <c r="G102" s="71"/>
      <c r="H102" s="71"/>
      <c r="I102" s="71"/>
      <c r="J102" s="71"/>
      <c r="K102" s="71"/>
      <c r="L102" s="71"/>
      <c r="M102" s="71"/>
      <c r="N102" s="71"/>
      <c r="O102" s="71"/>
      <c r="P102" s="71"/>
      <c r="Q102" s="71"/>
      <c r="R102" s="71"/>
      <c r="S102" s="71"/>
      <c r="T102" s="71"/>
      <c r="U102" s="71"/>
      <c r="V102" s="71"/>
      <c r="W102" s="71"/>
      <c r="X102" s="71"/>
      <c r="Y102" s="71"/>
      <c r="Z102" s="71"/>
      <c r="AA102" s="71"/>
      <c r="AB102" s="71"/>
      <c r="AC102" s="71"/>
      <c r="AD102" s="71"/>
      <c r="AE102" s="71"/>
      <c r="AF102" s="71"/>
      <c r="AG102" s="71"/>
      <c r="AH102" s="72">
        <f>COUNTA(Juin!$C102:$AF102)</f>
        <v>0</v>
      </c>
      <c r="AI102" s="45">
        <f>(COUNTIFS(Juin!$C102:$AF102,("cp")))/2</f>
        <v>0</v>
      </c>
      <c r="AJ102" s="45">
        <f>COUNTIFS(Juin!$C102:$AG102,"RTT")/2</f>
        <v>0</v>
      </c>
      <c r="AK102" s="45">
        <f>COUNTIFS(Juin!$C102:$AG102,"m")/2</f>
        <v>0</v>
      </c>
      <c r="AL102" s="45">
        <f>COUNTIFS(Juin!$C102:$AG102,"a")/2</f>
        <v>0</v>
      </c>
      <c r="AM102" s="46"/>
      <c r="AN102" s="47"/>
      <c r="AO102" s="47"/>
      <c r="AP102" s="46"/>
      <c r="AQ102" s="59"/>
      <c r="AR102" s="47"/>
      <c r="AS102" s="101"/>
    </row>
    <row r="103" spans="1:45" s="63" customFormat="1" ht="12.95" customHeight="1" x14ac:dyDescent="0.25">
      <c r="A103" s="70"/>
      <c r="B103" s="42"/>
      <c r="C103" s="71" t="str">
        <f t="shared" ref="C103:AG103" si="53">IF(C101&gt;0,C101,IF(C102&gt;0,C102,""))</f>
        <v/>
      </c>
      <c r="D103" s="71" t="str">
        <f t="shared" si="53"/>
        <v/>
      </c>
      <c r="E103" s="71" t="str">
        <f t="shared" si="53"/>
        <v/>
      </c>
      <c r="F103" s="71" t="str">
        <f t="shared" si="53"/>
        <v/>
      </c>
      <c r="G103" s="71" t="str">
        <f t="shared" si="53"/>
        <v/>
      </c>
      <c r="H103" s="71" t="str">
        <f t="shared" si="53"/>
        <v/>
      </c>
      <c r="I103" s="71" t="str">
        <f t="shared" si="53"/>
        <v/>
      </c>
      <c r="J103" s="71" t="str">
        <f t="shared" si="53"/>
        <v/>
      </c>
      <c r="K103" s="71" t="str">
        <f t="shared" si="53"/>
        <v/>
      </c>
      <c r="L103" s="71" t="str">
        <f t="shared" si="53"/>
        <v/>
      </c>
      <c r="M103" s="71" t="str">
        <f t="shared" si="53"/>
        <v/>
      </c>
      <c r="N103" s="71" t="str">
        <f t="shared" si="53"/>
        <v/>
      </c>
      <c r="O103" s="71" t="str">
        <f t="shared" si="53"/>
        <v/>
      </c>
      <c r="P103" s="71" t="str">
        <f t="shared" si="53"/>
        <v/>
      </c>
      <c r="Q103" s="71" t="str">
        <f t="shared" si="53"/>
        <v/>
      </c>
      <c r="R103" s="71" t="str">
        <f t="shared" si="53"/>
        <v/>
      </c>
      <c r="S103" s="71" t="str">
        <f t="shared" si="53"/>
        <v/>
      </c>
      <c r="T103" s="71" t="str">
        <f t="shared" si="53"/>
        <v/>
      </c>
      <c r="U103" s="71" t="str">
        <f t="shared" si="53"/>
        <v/>
      </c>
      <c r="V103" s="71" t="str">
        <f t="shared" si="53"/>
        <v/>
      </c>
      <c r="W103" s="71" t="str">
        <f t="shared" si="53"/>
        <v/>
      </c>
      <c r="X103" s="71" t="str">
        <f t="shared" si="53"/>
        <v/>
      </c>
      <c r="Y103" s="71" t="str">
        <f t="shared" si="53"/>
        <v/>
      </c>
      <c r="Z103" s="71" t="str">
        <f t="shared" si="53"/>
        <v/>
      </c>
      <c r="AA103" s="71" t="str">
        <f t="shared" si="53"/>
        <v/>
      </c>
      <c r="AB103" s="71" t="str">
        <f t="shared" si="53"/>
        <v/>
      </c>
      <c r="AC103" s="71" t="str">
        <f t="shared" si="53"/>
        <v/>
      </c>
      <c r="AD103" s="71" t="str">
        <f t="shared" si="53"/>
        <v/>
      </c>
      <c r="AE103" s="71" t="str">
        <f t="shared" si="53"/>
        <v/>
      </c>
      <c r="AF103" s="71" t="str">
        <f t="shared" si="53"/>
        <v/>
      </c>
      <c r="AG103" s="71" t="str">
        <f t="shared" si="53"/>
        <v/>
      </c>
      <c r="AH103" s="72">
        <f>SUM(AH101:AH102)</f>
        <v>0</v>
      </c>
      <c r="AI103" s="45">
        <f>SUM(AI101:AI102)</f>
        <v>0</v>
      </c>
      <c r="AJ103" s="45">
        <f>SUM(AJ101:AJ102)</f>
        <v>0</v>
      </c>
      <c r="AK103" s="45">
        <f t="shared" ref="AK103:AL103" si="54">SUM(AK101:AK102)</f>
        <v>0</v>
      </c>
      <c r="AL103" s="45">
        <f t="shared" si="54"/>
        <v>0</v>
      </c>
      <c r="AM103" s="50">
        <v>2.65</v>
      </c>
      <c r="AN103" s="51">
        <f>IF(A102="","",IF(A102&gt;NomMois,0,IF(A102&lt;$A$3,2.08,(NETWORKDAYS(A102,$A$2)/21.66667)*2.08)))</f>
        <v>2.08</v>
      </c>
      <c r="AO103" s="51">
        <f>IF(AN103="",0,+AN103)</f>
        <v>2.08</v>
      </c>
      <c r="AP103" s="50"/>
      <c r="AQ103" s="51">
        <f>+AM103-AI103</f>
        <v>2.65</v>
      </c>
      <c r="AR103" s="45">
        <f>+AP103-AJ103</f>
        <v>0</v>
      </c>
      <c r="AS103" s="102">
        <f t="shared" si="50"/>
        <v>4.7300000000000004</v>
      </c>
    </row>
    <row r="104" spans="1:45" s="63" customFormat="1" ht="8.25" customHeight="1" x14ac:dyDescent="0.25">
      <c r="A104" s="64"/>
      <c r="B104" s="42"/>
      <c r="C104" s="60"/>
      <c r="D104" s="64"/>
      <c r="E104" s="64"/>
      <c r="F104" s="64"/>
      <c r="G104" s="64"/>
      <c r="H104" s="64"/>
      <c r="I104" s="64"/>
      <c r="J104" s="64"/>
      <c r="K104" s="64"/>
      <c r="L104" s="64"/>
      <c r="M104" s="64"/>
      <c r="N104" s="64"/>
      <c r="O104" s="64"/>
      <c r="P104" s="64"/>
      <c r="Q104" s="64"/>
      <c r="R104" s="64"/>
      <c r="S104" s="64"/>
      <c r="T104" s="64"/>
      <c r="U104" s="64"/>
      <c r="V104" s="64"/>
      <c r="W104" s="64"/>
      <c r="X104" s="64"/>
      <c r="Y104" s="64"/>
      <c r="Z104" s="64"/>
      <c r="AA104" s="64"/>
      <c r="AB104" s="64"/>
      <c r="AC104" s="64"/>
      <c r="AD104" s="64"/>
      <c r="AE104" s="64"/>
      <c r="AF104" s="64"/>
      <c r="AG104" s="64"/>
      <c r="AH104" s="65"/>
      <c r="AI104" s="65"/>
      <c r="AJ104" s="65"/>
      <c r="AK104" s="65"/>
      <c r="AL104" s="65"/>
      <c r="AM104" s="64"/>
      <c r="AN104" s="65"/>
      <c r="AO104" s="65"/>
      <c r="AP104" s="64"/>
      <c r="AQ104" s="68"/>
      <c r="AR104" s="69"/>
      <c r="AS104" s="65"/>
    </row>
    <row r="105" spans="1:45" s="63" customFormat="1" ht="12.95" customHeight="1" x14ac:dyDescent="0.25">
      <c r="A105" s="41"/>
      <c r="B105" s="42" t="s">
        <v>15</v>
      </c>
      <c r="C105" s="43"/>
      <c r="D105" s="43"/>
      <c r="E105" s="43"/>
      <c r="F105" s="43"/>
      <c r="G105" s="43"/>
      <c r="H105" s="43"/>
      <c r="I105" s="43"/>
      <c r="J105" s="43"/>
      <c r="K105" s="43"/>
      <c r="L105" s="43"/>
      <c r="M105" s="43"/>
      <c r="N105" s="43"/>
      <c r="O105" s="43"/>
      <c r="P105" s="43"/>
      <c r="Q105" s="43"/>
      <c r="R105" s="43"/>
      <c r="S105" s="43"/>
      <c r="T105" s="43"/>
      <c r="U105" s="43"/>
      <c r="V105" s="43"/>
      <c r="W105" s="43"/>
      <c r="X105" s="43"/>
      <c r="Y105" s="43"/>
      <c r="Z105" s="43"/>
      <c r="AA105" s="43"/>
      <c r="AB105" s="43"/>
      <c r="AC105" s="43"/>
      <c r="AD105" s="43"/>
      <c r="AE105" s="43"/>
      <c r="AF105" s="43"/>
      <c r="AG105" s="43"/>
      <c r="AH105" s="44">
        <f>COUNTA(Juin!$C105:$AF105)</f>
        <v>0</v>
      </c>
      <c r="AI105" s="45">
        <f>(COUNTIFS(Juin!$C105:$AF105,("cp")))/2</f>
        <v>0</v>
      </c>
      <c r="AJ105" s="45">
        <f>COUNTIFS(Juin!$C105:$AG105,"RTT")/2</f>
        <v>0</v>
      </c>
      <c r="AK105" s="45">
        <f>COUNTIFS(Juin!$C105:$AG105,"m")/2</f>
        <v>0</v>
      </c>
      <c r="AL105" s="45">
        <f>COUNTIFS(Juin!$C105:$AG105,"a")/2</f>
        <v>0</v>
      </c>
      <c r="AM105" s="46"/>
      <c r="AN105" s="47"/>
      <c r="AO105" s="47"/>
      <c r="AP105" s="46"/>
      <c r="AQ105" s="59"/>
      <c r="AR105" s="47"/>
      <c r="AS105" s="47"/>
    </row>
    <row r="106" spans="1:45" s="63" customFormat="1" ht="12.95" customHeight="1" x14ac:dyDescent="0.25">
      <c r="A106" s="48">
        <v>43037</v>
      </c>
      <c r="B106" s="42" t="s">
        <v>16</v>
      </c>
      <c r="C106" s="43"/>
      <c r="D106" s="43"/>
      <c r="E106" s="43"/>
      <c r="F106" s="43"/>
      <c r="G106" s="43"/>
      <c r="H106" s="43"/>
      <c r="I106" s="43"/>
      <c r="J106" s="43"/>
      <c r="K106" s="43"/>
      <c r="L106" s="43"/>
      <c r="M106" s="43"/>
      <c r="N106" s="43"/>
      <c r="O106" s="43"/>
      <c r="P106" s="43"/>
      <c r="Q106" s="43"/>
      <c r="R106" s="43"/>
      <c r="S106" s="43"/>
      <c r="T106" s="43"/>
      <c r="U106" s="43"/>
      <c r="V106" s="43"/>
      <c r="W106" s="43"/>
      <c r="X106" s="43"/>
      <c r="Y106" s="43"/>
      <c r="Z106" s="43"/>
      <c r="AA106" s="43"/>
      <c r="AB106" s="43"/>
      <c r="AC106" s="43"/>
      <c r="AD106" s="43"/>
      <c r="AE106" s="43"/>
      <c r="AF106" s="43"/>
      <c r="AG106" s="43"/>
      <c r="AH106" s="44">
        <f>COUNTA(Juin!$C106:$AF106)</f>
        <v>0</v>
      </c>
      <c r="AI106" s="45">
        <f>(COUNTIFS(Juin!$C106:$AF106,("cp")))/2</f>
        <v>0</v>
      </c>
      <c r="AJ106" s="45">
        <f>COUNTIFS(Juin!$C106:$AG106,"RTT")/2</f>
        <v>0</v>
      </c>
      <c r="AK106" s="45">
        <f>COUNTIFS(Juin!$C106:$AG106,"m")/2</f>
        <v>0</v>
      </c>
      <c r="AL106" s="45">
        <f>COUNTIFS(Juin!$C106:$AG106,"a")/2</f>
        <v>0</v>
      </c>
      <c r="AM106" s="46"/>
      <c r="AN106" s="47"/>
      <c r="AO106" s="47"/>
      <c r="AP106" s="46"/>
      <c r="AQ106" s="59"/>
      <c r="AR106" s="47"/>
      <c r="AS106" s="101"/>
    </row>
    <row r="107" spans="1:45" s="63" customFormat="1" ht="12.95" customHeight="1" x14ac:dyDescent="0.25">
      <c r="A107" s="41"/>
      <c r="B107" s="42"/>
      <c r="C107" s="49" t="str">
        <f t="shared" ref="C107:AG107" si="55">IF(C105&gt;0,C105,IF(C106&gt;0,C106,""))</f>
        <v/>
      </c>
      <c r="D107" s="49" t="str">
        <f t="shared" si="55"/>
        <v/>
      </c>
      <c r="E107" s="49" t="str">
        <f t="shared" si="55"/>
        <v/>
      </c>
      <c r="F107" s="49" t="str">
        <f t="shared" si="55"/>
        <v/>
      </c>
      <c r="G107" s="49" t="str">
        <f t="shared" si="55"/>
        <v/>
      </c>
      <c r="H107" s="49" t="str">
        <f t="shared" si="55"/>
        <v/>
      </c>
      <c r="I107" s="49" t="str">
        <f t="shared" si="55"/>
        <v/>
      </c>
      <c r="J107" s="49" t="str">
        <f t="shared" si="55"/>
        <v/>
      </c>
      <c r="K107" s="49" t="str">
        <f t="shared" si="55"/>
        <v/>
      </c>
      <c r="L107" s="49" t="str">
        <f t="shared" si="55"/>
        <v/>
      </c>
      <c r="M107" s="49" t="str">
        <f t="shared" si="55"/>
        <v/>
      </c>
      <c r="N107" s="49" t="str">
        <f t="shared" si="55"/>
        <v/>
      </c>
      <c r="O107" s="49" t="str">
        <f t="shared" si="55"/>
        <v/>
      </c>
      <c r="P107" s="49" t="str">
        <f t="shared" si="55"/>
        <v/>
      </c>
      <c r="Q107" s="49" t="str">
        <f t="shared" si="55"/>
        <v/>
      </c>
      <c r="R107" s="49" t="str">
        <f t="shared" si="55"/>
        <v/>
      </c>
      <c r="S107" s="49" t="str">
        <f t="shared" si="55"/>
        <v/>
      </c>
      <c r="T107" s="49" t="str">
        <f t="shared" si="55"/>
        <v/>
      </c>
      <c r="U107" s="49" t="str">
        <f t="shared" si="55"/>
        <v/>
      </c>
      <c r="V107" s="49" t="str">
        <f t="shared" si="55"/>
        <v/>
      </c>
      <c r="W107" s="49" t="str">
        <f t="shared" si="55"/>
        <v/>
      </c>
      <c r="X107" s="49" t="str">
        <f t="shared" si="55"/>
        <v/>
      </c>
      <c r="Y107" s="49" t="str">
        <f t="shared" si="55"/>
        <v/>
      </c>
      <c r="Z107" s="49" t="str">
        <f t="shared" si="55"/>
        <v/>
      </c>
      <c r="AA107" s="49" t="str">
        <f t="shared" si="55"/>
        <v/>
      </c>
      <c r="AB107" s="49" t="str">
        <f t="shared" si="55"/>
        <v/>
      </c>
      <c r="AC107" s="49" t="str">
        <f t="shared" si="55"/>
        <v/>
      </c>
      <c r="AD107" s="49" t="str">
        <f t="shared" si="55"/>
        <v/>
      </c>
      <c r="AE107" s="49" t="str">
        <f t="shared" si="55"/>
        <v/>
      </c>
      <c r="AF107" s="49" t="str">
        <f t="shared" si="55"/>
        <v/>
      </c>
      <c r="AG107" s="49" t="str">
        <f t="shared" si="55"/>
        <v/>
      </c>
      <c r="AH107" s="44">
        <f>SUM(AH105:AH106)</f>
        <v>0</v>
      </c>
      <c r="AI107" s="45">
        <f>SUM(AI105:AI106)</f>
        <v>0</v>
      </c>
      <c r="AJ107" s="45">
        <f>SUM(AJ105:AJ106)</f>
        <v>0</v>
      </c>
      <c r="AK107" s="45">
        <f t="shared" ref="AK107:AL107" si="56">SUM(AK105:AK106)</f>
        <v>0</v>
      </c>
      <c r="AL107" s="45">
        <f t="shared" si="56"/>
        <v>0</v>
      </c>
      <c r="AM107" s="50">
        <v>0</v>
      </c>
      <c r="AN107" s="51">
        <f>IF(A106="","",IF(A106&gt;NomMois,0,IF(A106&lt;$A$3,2.08,(NETWORKDAYS(A106,$A$2)/21.66667)*2.08)))</f>
        <v>0</v>
      </c>
      <c r="AO107" s="51">
        <f>IF(AN107="",0,+AN107)</f>
        <v>0</v>
      </c>
      <c r="AP107" s="50"/>
      <c r="AQ107" s="51">
        <f>+AM107-AI107</f>
        <v>0</v>
      </c>
      <c r="AR107" s="45">
        <f>+AP107-AJ107</f>
        <v>0</v>
      </c>
      <c r="AS107" s="102">
        <f t="shared" si="50"/>
        <v>0</v>
      </c>
    </row>
    <row r="108" spans="1:45" s="63" customFormat="1" ht="6.75" customHeight="1" x14ac:dyDescent="0.25">
      <c r="A108" s="64"/>
      <c r="B108" s="42"/>
      <c r="C108" s="60"/>
      <c r="D108" s="64"/>
      <c r="E108" s="64"/>
      <c r="F108" s="64"/>
      <c r="G108" s="64"/>
      <c r="H108" s="64"/>
      <c r="I108" s="64"/>
      <c r="J108" s="64"/>
      <c r="K108" s="64"/>
      <c r="L108" s="64"/>
      <c r="M108" s="64"/>
      <c r="N108" s="64"/>
      <c r="O108" s="64"/>
      <c r="P108" s="64"/>
      <c r="Q108" s="64"/>
      <c r="R108" s="64"/>
      <c r="S108" s="64"/>
      <c r="T108" s="64"/>
      <c r="U108" s="64"/>
      <c r="V108" s="64"/>
      <c r="W108" s="64"/>
      <c r="X108" s="64"/>
      <c r="Y108" s="64"/>
      <c r="Z108" s="64"/>
      <c r="AA108" s="64"/>
      <c r="AB108" s="64"/>
      <c r="AC108" s="64"/>
      <c r="AD108" s="64"/>
      <c r="AE108" s="64"/>
      <c r="AF108" s="64"/>
      <c r="AG108" s="64"/>
      <c r="AH108" s="65"/>
      <c r="AI108" s="65"/>
      <c r="AJ108" s="65"/>
      <c r="AK108" s="65"/>
      <c r="AL108" s="65"/>
      <c r="AM108" s="64"/>
      <c r="AN108" s="65"/>
      <c r="AO108" s="65"/>
      <c r="AP108" s="64"/>
      <c r="AQ108" s="68"/>
      <c r="AR108" s="69"/>
      <c r="AS108" s="65"/>
    </row>
    <row r="109" spans="1:45" s="63" customFormat="1" ht="12.95" customHeight="1" x14ac:dyDescent="0.25">
      <c r="A109" s="41"/>
      <c r="B109" s="42" t="s">
        <v>15</v>
      </c>
      <c r="C109" s="43"/>
      <c r="D109" s="43"/>
      <c r="E109" s="43"/>
      <c r="F109" s="43"/>
      <c r="G109" s="43"/>
      <c r="H109" s="43"/>
      <c r="I109" s="43"/>
      <c r="J109" s="43"/>
      <c r="K109" s="43"/>
      <c r="L109" s="43"/>
      <c r="M109" s="43"/>
      <c r="N109" s="43"/>
      <c r="O109" s="43"/>
      <c r="P109" s="43"/>
      <c r="Q109" s="43"/>
      <c r="R109" s="43"/>
      <c r="S109" s="43"/>
      <c r="T109" s="43"/>
      <c r="U109" s="43"/>
      <c r="V109" s="43"/>
      <c r="W109" s="43"/>
      <c r="X109" s="43"/>
      <c r="Y109" s="43"/>
      <c r="Z109" s="43"/>
      <c r="AA109" s="43"/>
      <c r="AB109" s="43"/>
      <c r="AC109" s="43"/>
      <c r="AD109" s="43"/>
      <c r="AE109" s="43"/>
      <c r="AF109" s="43"/>
      <c r="AG109" s="43"/>
      <c r="AH109" s="44">
        <f>COUNTA(Juin!$C109:$AF109)</f>
        <v>0</v>
      </c>
      <c r="AI109" s="45">
        <f>(COUNTIFS(Juin!$C109:$AF109,("cp")))/2</f>
        <v>0</v>
      </c>
      <c r="AJ109" s="45">
        <f>COUNTIFS(Juin!$C109:$AG109,"RTT")/2</f>
        <v>0</v>
      </c>
      <c r="AK109" s="45">
        <f>COUNTIFS(Juin!$C109:$AG109,"m")/2</f>
        <v>0</v>
      </c>
      <c r="AL109" s="45">
        <f>COUNTIFS(Juin!$C109:$AG109,"a")/2</f>
        <v>0</v>
      </c>
      <c r="AM109" s="46"/>
      <c r="AN109" s="47"/>
      <c r="AO109" s="47"/>
      <c r="AP109" s="46"/>
      <c r="AQ109" s="59"/>
      <c r="AR109" s="47"/>
      <c r="AS109" s="47"/>
    </row>
    <row r="110" spans="1:45" s="63" customFormat="1" ht="12.95" customHeight="1" x14ac:dyDescent="0.25">
      <c r="A110" s="48">
        <v>42991</v>
      </c>
      <c r="B110" s="42" t="s">
        <v>16</v>
      </c>
      <c r="C110" s="43"/>
      <c r="D110" s="43"/>
      <c r="E110" s="43"/>
      <c r="F110" s="43"/>
      <c r="G110" s="43"/>
      <c r="H110" s="43"/>
      <c r="I110" s="43"/>
      <c r="J110" s="43"/>
      <c r="K110" s="43"/>
      <c r="L110" s="43"/>
      <c r="M110" s="43"/>
      <c r="N110" s="43"/>
      <c r="O110" s="43"/>
      <c r="P110" s="43"/>
      <c r="Q110" s="43"/>
      <c r="R110" s="43"/>
      <c r="S110" s="43"/>
      <c r="T110" s="43"/>
      <c r="U110" s="43"/>
      <c r="V110" s="43"/>
      <c r="W110" s="43"/>
      <c r="X110" s="43"/>
      <c r="Y110" s="43"/>
      <c r="Z110" s="43"/>
      <c r="AA110" s="43"/>
      <c r="AB110" s="43"/>
      <c r="AC110" s="43"/>
      <c r="AD110" s="43"/>
      <c r="AE110" s="43"/>
      <c r="AF110" s="43"/>
      <c r="AG110" s="43"/>
      <c r="AH110" s="44">
        <f>COUNTA(Juin!$C110:$AF110)</f>
        <v>0</v>
      </c>
      <c r="AI110" s="45">
        <f>(COUNTIFS(Juin!$C110:$AF110,("cp")))/2</f>
        <v>0</v>
      </c>
      <c r="AJ110" s="45">
        <f>COUNTIFS(Juin!$C110:$AG110,"RTT")/2</f>
        <v>0</v>
      </c>
      <c r="AK110" s="45">
        <f>COUNTIFS(Juin!$C110:$AG110,"m")/2</f>
        <v>0</v>
      </c>
      <c r="AL110" s="45">
        <f>COUNTIFS(Juin!$C110:$AG110,"a")/2</f>
        <v>0</v>
      </c>
      <c r="AM110" s="46"/>
      <c r="AN110" s="47"/>
      <c r="AO110" s="47"/>
      <c r="AP110" s="46"/>
      <c r="AQ110" s="59"/>
      <c r="AR110" s="47"/>
      <c r="AS110" s="101"/>
    </row>
    <row r="111" spans="1:45" s="63" customFormat="1" ht="12.95" customHeight="1" x14ac:dyDescent="0.25">
      <c r="A111" s="41"/>
      <c r="B111" s="42"/>
      <c r="C111" s="49" t="str">
        <f t="shared" ref="C111:AG111" si="57">IF(C109&gt;0,C109,IF(C110&gt;0,C110,""))</f>
        <v/>
      </c>
      <c r="D111" s="49" t="str">
        <f t="shared" si="57"/>
        <v/>
      </c>
      <c r="E111" s="49" t="str">
        <f t="shared" si="57"/>
        <v/>
      </c>
      <c r="F111" s="49" t="str">
        <f t="shared" si="57"/>
        <v/>
      </c>
      <c r="G111" s="49" t="str">
        <f t="shared" si="57"/>
        <v/>
      </c>
      <c r="H111" s="49" t="str">
        <f t="shared" si="57"/>
        <v/>
      </c>
      <c r="I111" s="49" t="str">
        <f t="shared" si="57"/>
        <v/>
      </c>
      <c r="J111" s="49" t="str">
        <f t="shared" si="57"/>
        <v/>
      </c>
      <c r="K111" s="49" t="str">
        <f t="shared" si="57"/>
        <v/>
      </c>
      <c r="L111" s="49" t="str">
        <f t="shared" si="57"/>
        <v/>
      </c>
      <c r="M111" s="49" t="str">
        <f t="shared" si="57"/>
        <v/>
      </c>
      <c r="N111" s="49" t="str">
        <f t="shared" si="57"/>
        <v/>
      </c>
      <c r="O111" s="49" t="str">
        <f t="shared" si="57"/>
        <v/>
      </c>
      <c r="P111" s="49" t="str">
        <f t="shared" si="57"/>
        <v/>
      </c>
      <c r="Q111" s="49" t="str">
        <f t="shared" si="57"/>
        <v/>
      </c>
      <c r="R111" s="49" t="str">
        <f t="shared" si="57"/>
        <v/>
      </c>
      <c r="S111" s="49" t="str">
        <f t="shared" si="57"/>
        <v/>
      </c>
      <c r="T111" s="49" t="str">
        <f t="shared" si="57"/>
        <v/>
      </c>
      <c r="U111" s="49" t="str">
        <f t="shared" si="57"/>
        <v/>
      </c>
      <c r="V111" s="49" t="str">
        <f t="shared" si="57"/>
        <v/>
      </c>
      <c r="W111" s="49" t="str">
        <f t="shared" si="57"/>
        <v/>
      </c>
      <c r="X111" s="49" t="str">
        <f t="shared" si="57"/>
        <v/>
      </c>
      <c r="Y111" s="49" t="str">
        <f t="shared" si="57"/>
        <v/>
      </c>
      <c r="Z111" s="49" t="str">
        <f t="shared" si="57"/>
        <v/>
      </c>
      <c r="AA111" s="49" t="str">
        <f t="shared" si="57"/>
        <v/>
      </c>
      <c r="AB111" s="49" t="str">
        <f t="shared" si="57"/>
        <v/>
      </c>
      <c r="AC111" s="49" t="str">
        <f t="shared" si="57"/>
        <v/>
      </c>
      <c r="AD111" s="49" t="str">
        <f t="shared" si="57"/>
        <v/>
      </c>
      <c r="AE111" s="49" t="str">
        <f t="shared" si="57"/>
        <v/>
      </c>
      <c r="AF111" s="49" t="str">
        <f t="shared" si="57"/>
        <v/>
      </c>
      <c r="AG111" s="49" t="str">
        <f t="shared" si="57"/>
        <v/>
      </c>
      <c r="AH111" s="44">
        <f>SUM(AH109:AH110)</f>
        <v>0</v>
      </c>
      <c r="AI111" s="45">
        <f>SUM(AI109:AI110)</f>
        <v>0</v>
      </c>
      <c r="AJ111" s="45">
        <f>SUM(AJ109:AJ110)</f>
        <v>0</v>
      </c>
      <c r="AK111" s="45">
        <f t="shared" ref="AK111:AL111" si="58">SUM(AK109:AK110)</f>
        <v>0</v>
      </c>
      <c r="AL111" s="45">
        <f t="shared" si="58"/>
        <v>0</v>
      </c>
      <c r="AM111" s="50">
        <v>0</v>
      </c>
      <c r="AN111" s="51">
        <f>IF(A110="","",IF(A110&gt;NomMois,0,IF(A110&lt;$A$3,2.08,(NETWORKDAYS(A110,$A$2)/21.66667)*2.08)))</f>
        <v>0</v>
      </c>
      <c r="AO111" s="51">
        <f>IF(AN111="",0,+AN111)</f>
        <v>0</v>
      </c>
      <c r="AP111" s="50"/>
      <c r="AQ111" s="51">
        <f>+AM111-AI111</f>
        <v>0</v>
      </c>
      <c r="AR111" s="45">
        <f>+AP111-AJ111</f>
        <v>0</v>
      </c>
      <c r="AS111" s="102">
        <f t="shared" si="50"/>
        <v>0</v>
      </c>
    </row>
    <row r="112" spans="1:45" s="63" customFormat="1" ht="6.75" customHeight="1" x14ac:dyDescent="0.25">
      <c r="A112" s="64"/>
      <c r="B112" s="42"/>
      <c r="C112" s="60"/>
      <c r="D112" s="64"/>
      <c r="E112" s="64"/>
      <c r="F112" s="64"/>
      <c r="G112" s="64"/>
      <c r="H112" s="64"/>
      <c r="I112" s="64"/>
      <c r="J112" s="64"/>
      <c r="K112" s="64"/>
      <c r="L112" s="64"/>
      <c r="M112" s="64"/>
      <c r="N112" s="64"/>
      <c r="O112" s="64"/>
      <c r="P112" s="64"/>
      <c r="Q112" s="64"/>
      <c r="R112" s="64"/>
      <c r="S112" s="64"/>
      <c r="T112" s="64"/>
      <c r="U112" s="64"/>
      <c r="V112" s="64"/>
      <c r="W112" s="64"/>
      <c r="X112" s="64"/>
      <c r="Y112" s="64"/>
      <c r="Z112" s="64"/>
      <c r="AA112" s="64"/>
      <c r="AB112" s="64"/>
      <c r="AC112" s="64"/>
      <c r="AD112" s="64"/>
      <c r="AE112" s="64"/>
      <c r="AF112" s="64"/>
      <c r="AG112" s="64"/>
      <c r="AH112" s="65"/>
      <c r="AI112" s="65"/>
      <c r="AJ112" s="65"/>
      <c r="AK112" s="65"/>
      <c r="AL112" s="65"/>
      <c r="AM112" s="64"/>
      <c r="AN112" s="65"/>
      <c r="AO112" s="65"/>
      <c r="AP112" s="64"/>
      <c r="AQ112" s="68"/>
      <c r="AR112" s="69"/>
      <c r="AS112" s="65"/>
    </row>
    <row r="113" spans="1:45" s="63" customFormat="1" ht="12.95" customHeight="1" x14ac:dyDescent="0.25">
      <c r="A113" s="41"/>
      <c r="B113" s="42" t="s">
        <v>15</v>
      </c>
      <c r="C113" s="43"/>
      <c r="D113" s="43"/>
      <c r="E113" s="43"/>
      <c r="F113" s="43"/>
      <c r="G113" s="43"/>
      <c r="H113" s="43"/>
      <c r="I113" s="43"/>
      <c r="J113" s="43"/>
      <c r="K113" s="43"/>
      <c r="L113" s="43"/>
      <c r="M113" s="43"/>
      <c r="N113" s="43"/>
      <c r="O113" s="43"/>
      <c r="P113" s="43"/>
      <c r="Q113" s="43"/>
      <c r="R113" s="43"/>
      <c r="S113" s="43"/>
      <c r="T113" s="43"/>
      <c r="U113" s="43"/>
      <c r="V113" s="43"/>
      <c r="W113" s="43"/>
      <c r="X113" s="43"/>
      <c r="Y113" s="43"/>
      <c r="Z113" s="43"/>
      <c r="AA113" s="43"/>
      <c r="AB113" s="43"/>
      <c r="AC113" s="43"/>
      <c r="AD113" s="43"/>
      <c r="AE113" s="43"/>
      <c r="AF113" s="43"/>
      <c r="AG113" s="43"/>
      <c r="AH113" s="44">
        <f>COUNTA(Juin!$C113:$AF113)</f>
        <v>0</v>
      </c>
      <c r="AI113" s="45">
        <f>(COUNTIFS(Juin!$C113:$AF113,("cp")))/2</f>
        <v>0</v>
      </c>
      <c r="AJ113" s="45">
        <f>COUNTIFS(Juin!$C113:$AG113,"RTT")/2</f>
        <v>0</v>
      </c>
      <c r="AK113" s="45">
        <f>COUNTIFS(Juin!$C113:$AG113,"m")/2</f>
        <v>0</v>
      </c>
      <c r="AL113" s="45">
        <f>COUNTIFS(Juin!$C113:$AG113,"a")/2</f>
        <v>0</v>
      </c>
      <c r="AM113" s="46"/>
      <c r="AN113" s="47"/>
      <c r="AO113" s="47"/>
      <c r="AP113" s="46"/>
      <c r="AQ113" s="59"/>
      <c r="AR113" s="47"/>
      <c r="AS113" s="47"/>
    </row>
    <row r="114" spans="1:45" s="63" customFormat="1" ht="12.95" customHeight="1" x14ac:dyDescent="0.25">
      <c r="A114" s="48">
        <v>43052</v>
      </c>
      <c r="B114" s="42" t="s">
        <v>16</v>
      </c>
      <c r="C114" s="43"/>
      <c r="D114" s="43"/>
      <c r="E114" s="43"/>
      <c r="F114" s="43"/>
      <c r="G114" s="43"/>
      <c r="H114" s="43"/>
      <c r="I114" s="43"/>
      <c r="J114" s="43"/>
      <c r="K114" s="43"/>
      <c r="L114" s="43"/>
      <c r="M114" s="43"/>
      <c r="N114" s="43"/>
      <c r="O114" s="43"/>
      <c r="P114" s="43"/>
      <c r="Q114" s="43"/>
      <c r="R114" s="43"/>
      <c r="S114" s="43"/>
      <c r="T114" s="43"/>
      <c r="U114" s="43"/>
      <c r="V114" s="43"/>
      <c r="W114" s="43"/>
      <c r="X114" s="43"/>
      <c r="Y114" s="43"/>
      <c r="Z114" s="43"/>
      <c r="AA114" s="43"/>
      <c r="AB114" s="43"/>
      <c r="AC114" s="43"/>
      <c r="AD114" s="43"/>
      <c r="AE114" s="43"/>
      <c r="AF114" s="43"/>
      <c r="AG114" s="43"/>
      <c r="AH114" s="44">
        <f>COUNTA(Juin!$C114:$AF114)</f>
        <v>0</v>
      </c>
      <c r="AI114" s="45">
        <f>(COUNTIFS(Juin!$C114:$AF114,("cp")))/2</f>
        <v>0</v>
      </c>
      <c r="AJ114" s="45">
        <f>COUNTIFS(Juin!$C114:$AG114,"RTT")/2</f>
        <v>0</v>
      </c>
      <c r="AK114" s="45">
        <f>COUNTIFS(Juin!$C114:$AG114,"m")/2</f>
        <v>0</v>
      </c>
      <c r="AL114" s="45">
        <f>COUNTIFS(Juin!$C114:$AG114,"a")/2</f>
        <v>0</v>
      </c>
      <c r="AM114" s="46"/>
      <c r="AN114" s="47"/>
      <c r="AO114" s="47"/>
      <c r="AP114" s="46"/>
      <c r="AQ114" s="59"/>
      <c r="AR114" s="47"/>
      <c r="AS114" s="101"/>
    </row>
    <row r="115" spans="1:45" s="63" customFormat="1" ht="12.95" customHeight="1" x14ac:dyDescent="0.25">
      <c r="A115" s="41"/>
      <c r="B115" s="42"/>
      <c r="C115" s="49" t="str">
        <f t="shared" ref="C115:AG115" si="59">IF(C113&gt;0,C113,IF(C114&gt;0,C114,""))</f>
        <v/>
      </c>
      <c r="D115" s="49" t="str">
        <f t="shared" si="59"/>
        <v/>
      </c>
      <c r="E115" s="49" t="str">
        <f t="shared" si="59"/>
        <v/>
      </c>
      <c r="F115" s="49" t="str">
        <f t="shared" si="59"/>
        <v/>
      </c>
      <c r="G115" s="49" t="str">
        <f t="shared" si="59"/>
        <v/>
      </c>
      <c r="H115" s="49" t="str">
        <f t="shared" si="59"/>
        <v/>
      </c>
      <c r="I115" s="49" t="str">
        <f t="shared" si="59"/>
        <v/>
      </c>
      <c r="J115" s="49" t="str">
        <f t="shared" si="59"/>
        <v/>
      </c>
      <c r="K115" s="49" t="str">
        <f t="shared" si="59"/>
        <v/>
      </c>
      <c r="L115" s="49" t="str">
        <f t="shared" si="59"/>
        <v/>
      </c>
      <c r="M115" s="49" t="str">
        <f t="shared" si="59"/>
        <v/>
      </c>
      <c r="N115" s="49" t="str">
        <f t="shared" si="59"/>
        <v/>
      </c>
      <c r="O115" s="49" t="str">
        <f t="shared" si="59"/>
        <v/>
      </c>
      <c r="P115" s="49" t="str">
        <f t="shared" si="59"/>
        <v/>
      </c>
      <c r="Q115" s="49" t="str">
        <f t="shared" si="59"/>
        <v/>
      </c>
      <c r="R115" s="49" t="str">
        <f t="shared" si="59"/>
        <v/>
      </c>
      <c r="S115" s="49" t="str">
        <f t="shared" si="59"/>
        <v/>
      </c>
      <c r="T115" s="49" t="str">
        <f t="shared" si="59"/>
        <v/>
      </c>
      <c r="U115" s="49" t="str">
        <f t="shared" si="59"/>
        <v/>
      </c>
      <c r="V115" s="49" t="str">
        <f t="shared" si="59"/>
        <v/>
      </c>
      <c r="W115" s="49" t="str">
        <f t="shared" si="59"/>
        <v/>
      </c>
      <c r="X115" s="49" t="str">
        <f t="shared" si="59"/>
        <v/>
      </c>
      <c r="Y115" s="49" t="str">
        <f t="shared" si="59"/>
        <v/>
      </c>
      <c r="Z115" s="49" t="str">
        <f t="shared" si="59"/>
        <v/>
      </c>
      <c r="AA115" s="49" t="str">
        <f t="shared" si="59"/>
        <v/>
      </c>
      <c r="AB115" s="49" t="str">
        <f t="shared" si="59"/>
        <v/>
      </c>
      <c r="AC115" s="49" t="str">
        <f t="shared" si="59"/>
        <v/>
      </c>
      <c r="AD115" s="49" t="str">
        <f t="shared" si="59"/>
        <v/>
      </c>
      <c r="AE115" s="49" t="str">
        <f t="shared" si="59"/>
        <v/>
      </c>
      <c r="AF115" s="49" t="str">
        <f t="shared" si="59"/>
        <v/>
      </c>
      <c r="AG115" s="49" t="str">
        <f t="shared" si="59"/>
        <v/>
      </c>
      <c r="AH115" s="44">
        <f>SUM(AH113:AH114)</f>
        <v>0</v>
      </c>
      <c r="AI115" s="45">
        <f>SUM(AI113:AI114)</f>
        <v>0</v>
      </c>
      <c r="AJ115" s="45">
        <f>SUM(AJ113:AJ114)</f>
        <v>0</v>
      </c>
      <c r="AK115" s="45">
        <f t="shared" ref="AK115:AL115" si="60">SUM(AK113:AK114)</f>
        <v>0</v>
      </c>
      <c r="AL115" s="45">
        <f t="shared" si="60"/>
        <v>0</v>
      </c>
      <c r="AM115" s="50">
        <v>0</v>
      </c>
      <c r="AN115" s="51">
        <f>IF(A114="","",IF(A114&gt;NomMois,0,IF(A114&lt;$A$3,2.08,(NETWORKDAYS(A114,$A$2)/21.66667)*2.08)))</f>
        <v>0</v>
      </c>
      <c r="AO115" s="51">
        <f>IF(AN115="",0,+AN115)</f>
        <v>0</v>
      </c>
      <c r="AP115" s="50"/>
      <c r="AQ115" s="51">
        <f>+AM115-AI115</f>
        <v>0</v>
      </c>
      <c r="AR115" s="45">
        <f>+AP115-AJ115</f>
        <v>0</v>
      </c>
      <c r="AS115" s="102">
        <f t="shared" si="50"/>
        <v>0</v>
      </c>
    </row>
    <row r="116" spans="1:45" s="63" customFormat="1" ht="6.75" customHeight="1" x14ac:dyDescent="0.25">
      <c r="A116" s="64"/>
      <c r="B116" s="42"/>
      <c r="C116" s="60"/>
      <c r="D116" s="64"/>
      <c r="E116" s="64"/>
      <c r="F116" s="64"/>
      <c r="G116" s="64"/>
      <c r="H116" s="64"/>
      <c r="I116" s="64"/>
      <c r="J116" s="64"/>
      <c r="K116" s="64"/>
      <c r="L116" s="64"/>
      <c r="M116" s="64"/>
      <c r="N116" s="64"/>
      <c r="O116" s="64"/>
      <c r="P116" s="64"/>
      <c r="Q116" s="64"/>
      <c r="R116" s="64"/>
      <c r="S116" s="64"/>
      <c r="T116" s="64"/>
      <c r="U116" s="64"/>
      <c r="V116" s="64"/>
      <c r="W116" s="64"/>
      <c r="X116" s="64"/>
      <c r="Y116" s="64"/>
      <c r="Z116" s="64"/>
      <c r="AA116" s="64"/>
      <c r="AB116" s="64"/>
      <c r="AC116" s="64"/>
      <c r="AD116" s="64"/>
      <c r="AE116" s="64"/>
      <c r="AF116" s="64"/>
      <c r="AG116" s="64"/>
      <c r="AH116" s="65"/>
      <c r="AI116" s="65"/>
      <c r="AJ116" s="65"/>
      <c r="AK116" s="65"/>
      <c r="AL116" s="65"/>
      <c r="AM116" s="64"/>
      <c r="AN116" s="65"/>
      <c r="AO116" s="65"/>
      <c r="AP116" s="64"/>
      <c r="AQ116" s="68"/>
      <c r="AR116" s="69"/>
      <c r="AS116" s="65"/>
    </row>
    <row r="117" spans="1:45" s="63" customFormat="1" ht="12.95" customHeight="1" x14ac:dyDescent="0.25">
      <c r="A117" s="41"/>
      <c r="B117" s="42" t="s">
        <v>15</v>
      </c>
      <c r="C117" s="43"/>
      <c r="D117" s="43"/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  <c r="S117" s="43"/>
      <c r="T117" s="43"/>
      <c r="U117" s="43"/>
      <c r="V117" s="43"/>
      <c r="W117" s="43"/>
      <c r="X117" s="43"/>
      <c r="Y117" s="43"/>
      <c r="Z117" s="43"/>
      <c r="AA117" s="43"/>
      <c r="AB117" s="43"/>
      <c r="AC117" s="43"/>
      <c r="AD117" s="43"/>
      <c r="AE117" s="43"/>
      <c r="AF117" s="43"/>
      <c r="AG117" s="43"/>
      <c r="AH117" s="44">
        <f>COUNTA(Juin!$C117:$AF117)</f>
        <v>0</v>
      </c>
      <c r="AI117" s="45">
        <f>(COUNTIFS(Juin!$C117:$AF117,("cp")))/2</f>
        <v>0</v>
      </c>
      <c r="AJ117" s="45">
        <f>COUNTIFS(Juin!$C117:$AG117,"RTT")/2</f>
        <v>0</v>
      </c>
      <c r="AK117" s="45">
        <f>COUNTIFS(Juin!$C117:$AG117,"m")/2</f>
        <v>0</v>
      </c>
      <c r="AL117" s="45">
        <f>COUNTIFS(Juin!$C117:$AG117,"a")/2</f>
        <v>0</v>
      </c>
      <c r="AM117" s="46"/>
      <c r="AN117" s="47"/>
      <c r="AO117" s="47"/>
      <c r="AP117" s="46"/>
      <c r="AQ117" s="59"/>
      <c r="AR117" s="47"/>
      <c r="AS117" s="47"/>
    </row>
    <row r="118" spans="1:45" s="63" customFormat="1" ht="12.95" customHeight="1" x14ac:dyDescent="0.25">
      <c r="A118" s="48"/>
      <c r="B118" s="42" t="s">
        <v>16</v>
      </c>
      <c r="C118" s="43"/>
      <c r="D118" s="43"/>
      <c r="E118" s="43"/>
      <c r="F118" s="43"/>
      <c r="G118" s="43"/>
      <c r="H118" s="43"/>
      <c r="I118" s="43"/>
      <c r="J118" s="43"/>
      <c r="K118" s="43"/>
      <c r="L118" s="43"/>
      <c r="M118" s="43"/>
      <c r="N118" s="43"/>
      <c r="O118" s="43"/>
      <c r="P118" s="43"/>
      <c r="Q118" s="43"/>
      <c r="R118" s="43"/>
      <c r="S118" s="43"/>
      <c r="T118" s="43"/>
      <c r="U118" s="43"/>
      <c r="V118" s="43"/>
      <c r="W118" s="43"/>
      <c r="X118" s="43"/>
      <c r="Y118" s="43"/>
      <c r="Z118" s="43"/>
      <c r="AA118" s="43"/>
      <c r="AB118" s="43"/>
      <c r="AC118" s="43"/>
      <c r="AD118" s="43"/>
      <c r="AE118" s="43"/>
      <c r="AF118" s="43"/>
      <c r="AG118" s="43"/>
      <c r="AH118" s="44">
        <f>COUNTA(Juin!$C118:$AF118)</f>
        <v>0</v>
      </c>
      <c r="AI118" s="45">
        <f>(COUNTIFS(Juin!$C118:$AF118,("cp")))/2</f>
        <v>0</v>
      </c>
      <c r="AJ118" s="45">
        <f>COUNTIFS(Juin!$C118:$AG118,"RTT")/2</f>
        <v>0</v>
      </c>
      <c r="AK118" s="45">
        <f>COUNTIFS(Juin!$C118:$AG118,"m")/2</f>
        <v>0</v>
      </c>
      <c r="AL118" s="45">
        <f>COUNTIFS(Juin!$C118:$AG118,"a")/2</f>
        <v>0</v>
      </c>
      <c r="AM118" s="46"/>
      <c r="AN118" s="47"/>
      <c r="AO118" s="47"/>
      <c r="AP118" s="46"/>
      <c r="AQ118" s="59"/>
      <c r="AR118" s="47"/>
      <c r="AS118" s="101"/>
    </row>
    <row r="119" spans="1:45" s="63" customFormat="1" ht="12.95" customHeight="1" x14ac:dyDescent="0.25">
      <c r="A119" s="41"/>
      <c r="B119" s="42"/>
      <c r="C119" s="49" t="str">
        <f t="shared" ref="C119:AG119" si="61">IF(C117&gt;0,C117,IF(C118&gt;0,C118,""))</f>
        <v/>
      </c>
      <c r="D119" s="49" t="str">
        <f t="shared" si="61"/>
        <v/>
      </c>
      <c r="E119" s="49" t="str">
        <f t="shared" si="61"/>
        <v/>
      </c>
      <c r="F119" s="49" t="str">
        <f t="shared" si="61"/>
        <v/>
      </c>
      <c r="G119" s="49" t="str">
        <f t="shared" si="61"/>
        <v/>
      </c>
      <c r="H119" s="49" t="str">
        <f t="shared" si="61"/>
        <v/>
      </c>
      <c r="I119" s="49" t="str">
        <f t="shared" si="61"/>
        <v/>
      </c>
      <c r="J119" s="49" t="str">
        <f t="shared" si="61"/>
        <v/>
      </c>
      <c r="K119" s="49" t="str">
        <f t="shared" si="61"/>
        <v/>
      </c>
      <c r="L119" s="49" t="str">
        <f t="shared" si="61"/>
        <v/>
      </c>
      <c r="M119" s="49" t="str">
        <f t="shared" si="61"/>
        <v/>
      </c>
      <c r="N119" s="49" t="str">
        <f t="shared" si="61"/>
        <v/>
      </c>
      <c r="O119" s="49" t="str">
        <f t="shared" si="61"/>
        <v/>
      </c>
      <c r="P119" s="49" t="str">
        <f t="shared" si="61"/>
        <v/>
      </c>
      <c r="Q119" s="49" t="str">
        <f t="shared" si="61"/>
        <v/>
      </c>
      <c r="R119" s="49" t="str">
        <f t="shared" si="61"/>
        <v/>
      </c>
      <c r="S119" s="49" t="str">
        <f t="shared" si="61"/>
        <v/>
      </c>
      <c r="T119" s="49" t="str">
        <f t="shared" si="61"/>
        <v/>
      </c>
      <c r="U119" s="49" t="str">
        <f t="shared" si="61"/>
        <v/>
      </c>
      <c r="V119" s="49" t="str">
        <f t="shared" si="61"/>
        <v/>
      </c>
      <c r="W119" s="49" t="str">
        <f t="shared" si="61"/>
        <v/>
      </c>
      <c r="X119" s="49" t="str">
        <f t="shared" si="61"/>
        <v/>
      </c>
      <c r="Y119" s="49" t="str">
        <f t="shared" si="61"/>
        <v/>
      </c>
      <c r="Z119" s="49" t="str">
        <f t="shared" si="61"/>
        <v/>
      </c>
      <c r="AA119" s="49" t="str">
        <f t="shared" si="61"/>
        <v/>
      </c>
      <c r="AB119" s="49" t="str">
        <f t="shared" si="61"/>
        <v/>
      </c>
      <c r="AC119" s="49" t="str">
        <f t="shared" si="61"/>
        <v/>
      </c>
      <c r="AD119" s="49" t="str">
        <f t="shared" si="61"/>
        <v/>
      </c>
      <c r="AE119" s="49" t="str">
        <f t="shared" si="61"/>
        <v/>
      </c>
      <c r="AF119" s="49" t="str">
        <f t="shared" si="61"/>
        <v/>
      </c>
      <c r="AG119" s="49" t="str">
        <f t="shared" si="61"/>
        <v/>
      </c>
      <c r="AH119" s="44">
        <f>SUM(AH117:AH118)</f>
        <v>0</v>
      </c>
      <c r="AI119" s="45">
        <f>SUM(AI117:AI118)</f>
        <v>0</v>
      </c>
      <c r="AJ119" s="45">
        <f>SUM(AJ117:AJ118)</f>
        <v>0</v>
      </c>
      <c r="AK119" s="45">
        <f t="shared" ref="AK119:AL119" si="62">SUM(AK117:AK118)</f>
        <v>0</v>
      </c>
      <c r="AL119" s="45">
        <f t="shared" si="62"/>
        <v>0</v>
      </c>
      <c r="AM119" s="50">
        <v>0</v>
      </c>
      <c r="AN119" s="51" t="str">
        <f>IF(A118="","",IF(A118&gt;NomMois,0,IF(A118&lt;$A$3,2.08,(NETWORKDAYS(A118,$A$2)/21.66667)*2.08)))</f>
        <v/>
      </c>
      <c r="AO119" s="51">
        <f>IF(AN119="",0,+AN119)</f>
        <v>0</v>
      </c>
      <c r="AP119" s="50"/>
      <c r="AQ119" s="51">
        <f>+AM119-AI119</f>
        <v>0</v>
      </c>
      <c r="AR119" s="45">
        <f>+AP119-AJ119</f>
        <v>0</v>
      </c>
      <c r="AS119" s="102">
        <f t="shared" si="50"/>
        <v>0</v>
      </c>
    </row>
    <row r="120" spans="1:45" s="63" customFormat="1" ht="6.75" customHeight="1" x14ac:dyDescent="0.25">
      <c r="A120" s="64"/>
      <c r="B120" s="42"/>
      <c r="C120" s="60"/>
      <c r="D120" s="64"/>
      <c r="E120" s="64"/>
      <c r="F120" s="64"/>
      <c r="G120" s="64"/>
      <c r="H120" s="64"/>
      <c r="I120" s="64"/>
      <c r="J120" s="64"/>
      <c r="K120" s="64"/>
      <c r="L120" s="64"/>
      <c r="M120" s="64"/>
      <c r="N120" s="64"/>
      <c r="O120" s="64"/>
      <c r="P120" s="64"/>
      <c r="Q120" s="64"/>
      <c r="R120" s="64"/>
      <c r="S120" s="64"/>
      <c r="T120" s="64"/>
      <c r="U120" s="64"/>
      <c r="V120" s="64"/>
      <c r="W120" s="64"/>
      <c r="X120" s="64"/>
      <c r="Y120" s="64"/>
      <c r="Z120" s="64"/>
      <c r="AA120" s="64"/>
      <c r="AB120" s="64"/>
      <c r="AC120" s="64"/>
      <c r="AD120" s="64"/>
      <c r="AE120" s="64"/>
      <c r="AF120" s="64"/>
      <c r="AG120" s="64"/>
      <c r="AH120" s="65"/>
      <c r="AI120" s="65"/>
      <c r="AJ120" s="65"/>
      <c r="AK120" s="65"/>
      <c r="AL120" s="65"/>
      <c r="AM120" s="64"/>
      <c r="AN120" s="65"/>
      <c r="AO120" s="65"/>
      <c r="AP120" s="64"/>
      <c r="AQ120" s="68"/>
      <c r="AR120" s="69"/>
      <c r="AS120" s="65"/>
    </row>
    <row r="121" spans="1:45" s="63" customFormat="1" ht="12.95" customHeight="1" x14ac:dyDescent="0.25">
      <c r="A121" s="41"/>
      <c r="B121" s="42" t="s">
        <v>15</v>
      </c>
      <c r="C121" s="43"/>
      <c r="D121" s="43"/>
      <c r="E121" s="43"/>
      <c r="F121" s="43"/>
      <c r="G121" s="43"/>
      <c r="H121" s="43"/>
      <c r="I121" s="43"/>
      <c r="J121" s="43"/>
      <c r="K121" s="43"/>
      <c r="L121" s="43"/>
      <c r="M121" s="43"/>
      <c r="N121" s="43"/>
      <c r="O121" s="43"/>
      <c r="P121" s="43"/>
      <c r="Q121" s="43"/>
      <c r="R121" s="43"/>
      <c r="S121" s="43"/>
      <c r="T121" s="43"/>
      <c r="U121" s="43"/>
      <c r="V121" s="43"/>
      <c r="W121" s="43"/>
      <c r="X121" s="43"/>
      <c r="Y121" s="43"/>
      <c r="Z121" s="43"/>
      <c r="AA121" s="43"/>
      <c r="AB121" s="43"/>
      <c r="AC121" s="43"/>
      <c r="AD121" s="43"/>
      <c r="AE121" s="43"/>
      <c r="AF121" s="43"/>
      <c r="AG121" s="43"/>
      <c r="AH121" s="44">
        <f>COUNTA(Juin!$C121:$AF121)</f>
        <v>0</v>
      </c>
      <c r="AI121" s="45">
        <f>(COUNTIFS(Juin!$C121:$AF121,("cp")))/2</f>
        <v>0</v>
      </c>
      <c r="AJ121" s="45">
        <f>COUNTIFS(Juin!$C121:$AG121,"RTT")/2</f>
        <v>0</v>
      </c>
      <c r="AK121" s="45">
        <f>COUNTIFS(Juin!$C121:$AG121,"m")/2</f>
        <v>0</v>
      </c>
      <c r="AL121" s="45">
        <f>COUNTIFS(Juin!$C121:$AG121,"a")/2</f>
        <v>0</v>
      </c>
      <c r="AM121" s="46"/>
      <c r="AN121" s="47"/>
      <c r="AO121" s="47"/>
      <c r="AP121" s="46"/>
      <c r="AQ121" s="59"/>
      <c r="AR121" s="47"/>
      <c r="AS121" s="47"/>
    </row>
    <row r="122" spans="1:45" s="63" customFormat="1" ht="12.95" customHeight="1" x14ac:dyDescent="0.25">
      <c r="A122" s="48"/>
      <c r="B122" s="42" t="s">
        <v>16</v>
      </c>
      <c r="C122" s="43"/>
      <c r="D122" s="43"/>
      <c r="E122" s="43"/>
      <c r="F122" s="43"/>
      <c r="G122" s="43"/>
      <c r="H122" s="43"/>
      <c r="I122" s="43"/>
      <c r="J122" s="43"/>
      <c r="K122" s="43"/>
      <c r="L122" s="43"/>
      <c r="M122" s="43"/>
      <c r="N122" s="43"/>
      <c r="O122" s="43"/>
      <c r="P122" s="43"/>
      <c r="Q122" s="43"/>
      <c r="R122" s="43"/>
      <c r="S122" s="43"/>
      <c r="T122" s="43"/>
      <c r="U122" s="43"/>
      <c r="V122" s="43"/>
      <c r="W122" s="43"/>
      <c r="X122" s="43"/>
      <c r="Y122" s="43"/>
      <c r="Z122" s="43"/>
      <c r="AA122" s="43"/>
      <c r="AB122" s="43"/>
      <c r="AC122" s="43"/>
      <c r="AD122" s="43"/>
      <c r="AE122" s="43"/>
      <c r="AF122" s="43"/>
      <c r="AG122" s="43"/>
      <c r="AH122" s="44">
        <f>COUNTA(Juin!$C122:$AF122)</f>
        <v>0</v>
      </c>
      <c r="AI122" s="45">
        <f>(COUNTIFS(Juin!$C122:$AF122,("cp")))/2</f>
        <v>0</v>
      </c>
      <c r="AJ122" s="45">
        <f>COUNTIFS(Juin!$C122:$AG122,"RTT")/2</f>
        <v>0</v>
      </c>
      <c r="AK122" s="45">
        <f>COUNTIFS(Juin!$C122:$AG122,"m")/2</f>
        <v>0</v>
      </c>
      <c r="AL122" s="45">
        <f>COUNTIFS(Juin!$C122:$AG122,"a")/2</f>
        <v>0</v>
      </c>
      <c r="AM122" s="46"/>
      <c r="AN122" s="47"/>
      <c r="AO122" s="47"/>
      <c r="AP122" s="46"/>
      <c r="AQ122" s="59"/>
      <c r="AR122" s="47"/>
      <c r="AS122" s="101"/>
    </row>
    <row r="123" spans="1:45" s="63" customFormat="1" ht="12.95" customHeight="1" x14ac:dyDescent="0.25">
      <c r="A123" s="41"/>
      <c r="B123" s="42"/>
      <c r="C123" s="49" t="str">
        <f t="shared" ref="C123:AG123" si="63">IF(C121&gt;0,C121,IF(C122&gt;0,C122,""))</f>
        <v/>
      </c>
      <c r="D123" s="49" t="str">
        <f t="shared" si="63"/>
        <v/>
      </c>
      <c r="E123" s="49" t="str">
        <f t="shared" si="63"/>
        <v/>
      </c>
      <c r="F123" s="49" t="str">
        <f t="shared" si="63"/>
        <v/>
      </c>
      <c r="G123" s="49" t="str">
        <f t="shared" si="63"/>
        <v/>
      </c>
      <c r="H123" s="49" t="str">
        <f t="shared" si="63"/>
        <v/>
      </c>
      <c r="I123" s="49" t="str">
        <f t="shared" si="63"/>
        <v/>
      </c>
      <c r="J123" s="49" t="str">
        <f t="shared" si="63"/>
        <v/>
      </c>
      <c r="K123" s="49" t="str">
        <f t="shared" si="63"/>
        <v/>
      </c>
      <c r="L123" s="49" t="str">
        <f t="shared" si="63"/>
        <v/>
      </c>
      <c r="M123" s="49" t="str">
        <f t="shared" si="63"/>
        <v/>
      </c>
      <c r="N123" s="49" t="str">
        <f t="shared" si="63"/>
        <v/>
      </c>
      <c r="O123" s="49" t="str">
        <f t="shared" si="63"/>
        <v/>
      </c>
      <c r="P123" s="49" t="str">
        <f t="shared" si="63"/>
        <v/>
      </c>
      <c r="Q123" s="49" t="str">
        <f t="shared" si="63"/>
        <v/>
      </c>
      <c r="R123" s="49" t="str">
        <f t="shared" si="63"/>
        <v/>
      </c>
      <c r="S123" s="49" t="str">
        <f t="shared" si="63"/>
        <v/>
      </c>
      <c r="T123" s="49" t="str">
        <f t="shared" si="63"/>
        <v/>
      </c>
      <c r="U123" s="49" t="str">
        <f t="shared" si="63"/>
        <v/>
      </c>
      <c r="V123" s="49" t="str">
        <f t="shared" si="63"/>
        <v/>
      </c>
      <c r="W123" s="49" t="str">
        <f t="shared" si="63"/>
        <v/>
      </c>
      <c r="X123" s="49" t="str">
        <f t="shared" si="63"/>
        <v/>
      </c>
      <c r="Y123" s="49" t="str">
        <f t="shared" si="63"/>
        <v/>
      </c>
      <c r="Z123" s="49" t="str">
        <f t="shared" si="63"/>
        <v/>
      </c>
      <c r="AA123" s="49" t="str">
        <f t="shared" si="63"/>
        <v/>
      </c>
      <c r="AB123" s="49" t="str">
        <f t="shared" si="63"/>
        <v/>
      </c>
      <c r="AC123" s="49" t="str">
        <f t="shared" si="63"/>
        <v/>
      </c>
      <c r="AD123" s="49" t="str">
        <f t="shared" si="63"/>
        <v/>
      </c>
      <c r="AE123" s="49" t="str">
        <f t="shared" si="63"/>
        <v/>
      </c>
      <c r="AF123" s="49" t="str">
        <f t="shared" si="63"/>
        <v/>
      </c>
      <c r="AG123" s="49" t="str">
        <f t="shared" si="63"/>
        <v/>
      </c>
      <c r="AH123" s="44">
        <f>SUM(AH121:AH122)</f>
        <v>0</v>
      </c>
      <c r="AI123" s="45">
        <f>SUM(AI121:AI122)</f>
        <v>0</v>
      </c>
      <c r="AJ123" s="45">
        <f>SUM(AJ121:AJ122)</f>
        <v>0</v>
      </c>
      <c r="AK123" s="45">
        <f t="shared" ref="AK123:AL123" si="64">SUM(AK121:AK122)</f>
        <v>0</v>
      </c>
      <c r="AL123" s="45">
        <f t="shared" si="64"/>
        <v>0</v>
      </c>
      <c r="AM123" s="50">
        <v>0</v>
      </c>
      <c r="AN123" s="51" t="str">
        <f>IF(A122="","",IF(A122&gt;NomMois,0,IF(A122&lt;$A$3,2.08,(NETWORKDAYS(A122,$A$2)/21.66667)*2.08)))</f>
        <v/>
      </c>
      <c r="AO123" s="51">
        <f>IF(AN123="",0,+AN123)</f>
        <v>0</v>
      </c>
      <c r="AP123" s="50"/>
      <c r="AQ123" s="51">
        <f>+AM123-AI123</f>
        <v>0</v>
      </c>
      <c r="AR123" s="45">
        <f>+AP123-AJ123</f>
        <v>0</v>
      </c>
      <c r="AS123" s="102">
        <f t="shared" si="50"/>
        <v>0</v>
      </c>
    </row>
    <row r="124" spans="1:45" s="63" customFormat="1" ht="6.75" customHeight="1" x14ac:dyDescent="0.25">
      <c r="A124" s="64"/>
      <c r="B124" s="64"/>
      <c r="C124" s="64"/>
      <c r="D124" s="64"/>
      <c r="E124" s="64"/>
      <c r="F124" s="64"/>
      <c r="G124" s="64"/>
      <c r="H124" s="64"/>
      <c r="I124" s="64"/>
      <c r="J124" s="64"/>
      <c r="K124" s="64"/>
      <c r="L124" s="64"/>
      <c r="M124" s="64"/>
      <c r="N124" s="64"/>
      <c r="O124" s="64"/>
      <c r="P124" s="64"/>
      <c r="Q124" s="64"/>
      <c r="R124" s="64"/>
      <c r="S124" s="64"/>
      <c r="T124" s="64"/>
      <c r="U124" s="64"/>
      <c r="V124" s="64"/>
      <c r="W124" s="64"/>
      <c r="X124" s="64"/>
      <c r="Y124" s="64"/>
      <c r="Z124" s="64"/>
      <c r="AA124" s="64"/>
      <c r="AB124" s="64"/>
      <c r="AC124" s="64"/>
      <c r="AD124" s="64"/>
      <c r="AE124" s="64"/>
      <c r="AF124" s="64"/>
      <c r="AG124" s="64"/>
      <c r="AH124" s="64"/>
      <c r="AI124" s="64"/>
      <c r="AJ124" s="64"/>
      <c r="AK124" s="64"/>
      <c r="AL124" s="64"/>
      <c r="AM124" s="64"/>
      <c r="AN124" s="64"/>
      <c r="AO124" s="64"/>
      <c r="AP124" s="64"/>
      <c r="AQ124" s="74"/>
      <c r="AR124" s="74"/>
      <c r="AS124" s="65"/>
    </row>
    <row r="125" spans="1:45" ht="13.5" x14ac:dyDescent="0.25">
      <c r="A125" s="75"/>
      <c r="B125" s="75"/>
      <c r="C125" s="76"/>
      <c r="D125" s="75"/>
      <c r="E125" s="75"/>
      <c r="F125" s="75"/>
      <c r="G125" s="75"/>
      <c r="H125" s="75"/>
      <c r="I125" s="75"/>
      <c r="J125" s="75"/>
      <c r="K125" s="75"/>
      <c r="L125" s="75"/>
      <c r="M125" s="75"/>
      <c r="N125" s="75"/>
      <c r="O125" s="75"/>
      <c r="P125" s="75"/>
      <c r="Q125" s="75"/>
      <c r="R125" s="75"/>
      <c r="S125" s="75"/>
      <c r="T125" s="75"/>
      <c r="U125" s="75"/>
      <c r="V125" s="75"/>
      <c r="W125" s="75"/>
      <c r="X125" s="75"/>
      <c r="Y125" s="75"/>
      <c r="Z125" s="75"/>
      <c r="AA125" s="75"/>
      <c r="AB125" s="75"/>
      <c r="AC125" s="75"/>
      <c r="AD125" s="75"/>
      <c r="AE125" s="75"/>
      <c r="AF125" s="75"/>
      <c r="AG125" s="75"/>
      <c r="AH125" s="75"/>
      <c r="AI125" s="75"/>
    </row>
    <row r="126" spans="1:45" s="79" customFormat="1" x14ac:dyDescent="0.25">
      <c r="A126" s="77"/>
      <c r="B126" s="77"/>
      <c r="C126" s="78"/>
      <c r="D126" s="77"/>
      <c r="E126" s="77"/>
      <c r="F126" s="77"/>
      <c r="G126" s="77"/>
      <c r="H126" s="77"/>
      <c r="I126" s="77"/>
      <c r="J126" s="77"/>
      <c r="K126" s="77"/>
      <c r="L126" s="77"/>
      <c r="M126" s="77"/>
      <c r="N126" s="77"/>
      <c r="O126" s="77"/>
      <c r="P126" s="77"/>
      <c r="Q126" s="77"/>
      <c r="R126" s="77"/>
      <c r="S126" s="77"/>
      <c r="T126" s="77"/>
      <c r="U126" s="77"/>
      <c r="V126" s="77"/>
      <c r="W126" s="77"/>
      <c r="X126" s="77"/>
      <c r="Y126" s="77"/>
      <c r="Z126" s="77"/>
      <c r="AA126" s="77"/>
      <c r="AB126" s="77"/>
      <c r="AC126" s="77"/>
      <c r="AD126" s="77"/>
      <c r="AE126" s="77"/>
      <c r="AF126" s="77"/>
      <c r="AG126" s="77"/>
      <c r="AH126" s="77"/>
      <c r="AM126" s="8"/>
      <c r="AN126" s="8"/>
      <c r="AO126" s="8"/>
    </row>
    <row r="127" spans="1:45" s="79" customFormat="1" x14ac:dyDescent="0.25">
      <c r="A127" s="80"/>
      <c r="B127" s="80"/>
      <c r="C127" s="81" t="s">
        <v>17</v>
      </c>
      <c r="D127" s="82"/>
      <c r="E127" s="82"/>
      <c r="F127" s="82"/>
      <c r="G127" s="83"/>
      <c r="H127" s="84" t="s">
        <v>7</v>
      </c>
      <c r="I127" s="85" t="s">
        <v>18</v>
      </c>
      <c r="J127" s="86"/>
      <c r="K127" s="86"/>
      <c r="L127" s="87" t="s">
        <v>8</v>
      </c>
      <c r="M127" s="85" t="s">
        <v>8</v>
      </c>
      <c r="N127" s="86"/>
      <c r="O127" s="86"/>
      <c r="P127" s="88" t="s">
        <v>9</v>
      </c>
      <c r="Q127" s="85" t="s">
        <v>19</v>
      </c>
      <c r="R127" s="86"/>
      <c r="S127" s="86"/>
      <c r="T127" s="89" t="s">
        <v>10</v>
      </c>
      <c r="U127" s="90" t="s">
        <v>20</v>
      </c>
      <c r="V127" s="91"/>
      <c r="W127" s="86"/>
      <c r="Y127" s="92"/>
      <c r="Z127" s="90" t="s">
        <v>21</v>
      </c>
      <c r="AA127" s="86"/>
      <c r="AB127" s="91"/>
      <c r="AC127" s="93"/>
      <c r="AD127" s="93"/>
      <c r="AE127" s="93"/>
      <c r="AF127" s="93"/>
      <c r="AG127" s="93"/>
      <c r="AH127" s="94"/>
      <c r="AM127" s="8"/>
      <c r="AN127" s="8"/>
      <c r="AO127" s="8"/>
    </row>
    <row r="128" spans="1:45" s="79" customFormat="1" x14ac:dyDescent="0.25">
      <c r="C128" s="95"/>
    </row>
    <row r="129" s="79" customFormat="1" x14ac:dyDescent="0.25"/>
    <row r="130" s="79" customFormat="1" x14ac:dyDescent="0.25"/>
    <row r="131" s="79" customFormat="1" ht="15" customHeight="1" x14ac:dyDescent="0.25"/>
    <row r="132" s="79" customFormat="1" ht="15" customHeight="1" x14ac:dyDescent="0.25"/>
    <row r="133" s="79" customFormat="1" ht="15" customHeight="1" x14ac:dyDescent="0.25"/>
    <row r="134" s="79" customFormat="1" ht="15" customHeight="1" x14ac:dyDescent="0.25"/>
    <row r="135" s="79" customFormat="1" ht="15" customHeight="1" x14ac:dyDescent="0.25"/>
    <row r="136" s="79" customFormat="1" ht="15" customHeight="1" x14ac:dyDescent="0.25"/>
    <row r="137" s="79" customFormat="1" ht="15" customHeight="1" x14ac:dyDescent="0.25"/>
    <row r="138" s="79" customFormat="1" ht="15" customHeight="1" x14ac:dyDescent="0.25"/>
    <row r="139" s="79" customFormat="1" ht="15" customHeight="1" x14ac:dyDescent="0.25"/>
    <row r="140" s="79" customFormat="1" ht="15" customHeight="1" x14ac:dyDescent="0.25"/>
    <row r="141" s="79" customFormat="1" ht="15" customHeight="1" x14ac:dyDescent="0.25"/>
    <row r="142" s="79" customFormat="1" ht="15" customHeight="1" x14ac:dyDescent="0.25"/>
    <row r="143" s="79" customFormat="1" ht="15" customHeight="1" x14ac:dyDescent="0.25"/>
    <row r="144" s="79" customFormat="1" ht="15" customHeight="1" x14ac:dyDescent="0.25"/>
    <row r="145" s="79" customFormat="1" ht="15" customHeight="1" x14ac:dyDescent="0.25"/>
    <row r="146" s="79" customFormat="1" ht="15" customHeight="1" x14ac:dyDescent="0.25"/>
    <row r="147" s="79" customFormat="1" ht="15" customHeight="1" x14ac:dyDescent="0.25"/>
    <row r="148" s="79" customFormat="1" ht="15" customHeight="1" x14ac:dyDescent="0.25"/>
    <row r="149" s="79" customFormat="1" ht="15" customHeight="1" x14ac:dyDescent="0.25"/>
    <row r="150" s="79" customFormat="1" ht="15" customHeight="1" x14ac:dyDescent="0.25"/>
    <row r="151" s="79" customFormat="1" ht="15" customHeight="1" x14ac:dyDescent="0.25"/>
    <row r="152" s="79" customFormat="1" ht="15" customHeight="1" x14ac:dyDescent="0.25"/>
    <row r="153" s="79" customFormat="1" ht="15" customHeight="1" x14ac:dyDescent="0.25"/>
    <row r="154" s="79" customFormat="1" ht="15" customHeight="1" x14ac:dyDescent="0.25"/>
    <row r="155" s="79" customFormat="1" ht="15" customHeight="1" x14ac:dyDescent="0.25"/>
    <row r="156" s="79" customFormat="1" ht="15" customHeight="1" x14ac:dyDescent="0.25"/>
    <row r="157" s="79" customFormat="1" ht="15" customHeight="1" x14ac:dyDescent="0.25"/>
    <row r="158" s="79" customFormat="1" ht="15" customHeight="1" x14ac:dyDescent="0.25"/>
    <row r="159" s="79" customFormat="1" ht="15" customHeight="1" x14ac:dyDescent="0.25"/>
    <row r="160" s="79" customFormat="1" ht="15" customHeight="1" x14ac:dyDescent="0.25"/>
    <row r="161" s="79" customFormat="1" ht="15" customHeight="1" x14ac:dyDescent="0.25"/>
    <row r="162" s="79" customFormat="1" ht="15" customHeight="1" x14ac:dyDescent="0.25"/>
    <row r="163" s="79" customFormat="1" ht="15" customHeight="1" x14ac:dyDescent="0.25"/>
    <row r="164" s="79" customFormat="1" ht="15" customHeight="1" x14ac:dyDescent="0.25"/>
    <row r="165" s="79" customFormat="1" ht="15" customHeight="1" x14ac:dyDescent="0.25"/>
    <row r="166" s="79" customFormat="1" ht="15" customHeight="1" x14ac:dyDescent="0.25"/>
    <row r="167" s="79" customFormat="1" ht="15" customHeight="1" x14ac:dyDescent="0.25"/>
    <row r="168" s="79" customFormat="1" ht="15" customHeight="1" x14ac:dyDescent="0.25"/>
    <row r="169" s="79" customFormat="1" ht="15" customHeight="1" x14ac:dyDescent="0.25"/>
    <row r="170" s="79" customFormat="1" ht="15" customHeight="1" x14ac:dyDescent="0.25"/>
    <row r="171" s="79" customFormat="1" ht="15" customHeight="1" x14ac:dyDescent="0.25"/>
    <row r="172" s="79" customFormat="1" ht="15" customHeight="1" x14ac:dyDescent="0.25"/>
    <row r="173" s="79" customFormat="1" ht="15" customHeight="1" x14ac:dyDescent="0.25"/>
    <row r="174" s="79" customFormat="1" ht="15" customHeight="1" x14ac:dyDescent="0.25"/>
    <row r="175" s="79" customFormat="1" ht="15" customHeight="1" x14ac:dyDescent="0.25"/>
    <row r="176" s="79" customFormat="1" ht="15" customHeight="1" x14ac:dyDescent="0.25"/>
    <row r="177" s="79" customFormat="1" ht="15" customHeight="1" x14ac:dyDescent="0.25"/>
    <row r="178" s="79" customFormat="1" ht="15" customHeight="1" x14ac:dyDescent="0.25"/>
    <row r="179" s="79" customFormat="1" ht="15" customHeight="1" x14ac:dyDescent="0.25"/>
    <row r="180" s="79" customFormat="1" ht="15" customHeight="1" x14ac:dyDescent="0.25"/>
    <row r="181" s="79" customFormat="1" ht="15" customHeight="1" x14ac:dyDescent="0.25"/>
    <row r="182" s="79" customFormat="1" ht="15" customHeight="1" x14ac:dyDescent="0.25"/>
    <row r="183" s="79" customFormat="1" ht="15" customHeight="1" x14ac:dyDescent="0.25"/>
    <row r="184" s="79" customFormat="1" ht="15" customHeight="1" x14ac:dyDescent="0.25"/>
    <row r="185" s="79" customFormat="1" ht="15" customHeight="1" x14ac:dyDescent="0.25"/>
    <row r="186" s="79" customFormat="1" ht="15" customHeight="1" x14ac:dyDescent="0.25"/>
    <row r="187" s="79" customFormat="1" ht="15" customHeight="1" x14ac:dyDescent="0.25"/>
    <row r="188" s="79" customFormat="1" ht="15" customHeight="1" x14ac:dyDescent="0.25"/>
    <row r="189" s="79" customFormat="1" ht="15" customHeight="1" x14ac:dyDescent="0.25"/>
    <row r="190" s="79" customFormat="1" ht="15" customHeight="1" x14ac:dyDescent="0.25"/>
    <row r="191" s="79" customFormat="1" ht="15" customHeight="1" x14ac:dyDescent="0.25"/>
    <row r="192" s="79" customFormat="1" ht="15" customHeight="1" x14ac:dyDescent="0.25"/>
    <row r="193" s="79" customFormat="1" ht="15" customHeight="1" x14ac:dyDescent="0.25"/>
    <row r="194" s="79" customFormat="1" ht="15" customHeight="1" x14ac:dyDescent="0.25"/>
    <row r="195" s="79" customFormat="1" ht="15" customHeight="1" x14ac:dyDescent="0.25"/>
    <row r="196" s="79" customFormat="1" ht="15" customHeight="1" x14ac:dyDescent="0.25"/>
    <row r="197" s="79" customFormat="1" ht="15" customHeight="1" x14ac:dyDescent="0.25"/>
    <row r="198" s="79" customFormat="1" ht="15" customHeight="1" x14ac:dyDescent="0.25"/>
    <row r="199" s="79" customFormat="1" ht="15" customHeight="1" x14ac:dyDescent="0.25"/>
    <row r="200" s="79" customFormat="1" ht="15" customHeight="1" x14ac:dyDescent="0.25"/>
    <row r="201" s="79" customFormat="1" ht="15" customHeight="1" x14ac:dyDescent="0.25"/>
    <row r="202" s="79" customFormat="1" ht="15" customHeight="1" x14ac:dyDescent="0.25"/>
    <row r="203" s="79" customFormat="1" ht="15" customHeight="1" x14ac:dyDescent="0.25"/>
    <row r="204" s="79" customFormat="1" ht="15" customHeight="1" x14ac:dyDescent="0.25"/>
    <row r="205" s="79" customFormat="1" ht="15" customHeight="1" x14ac:dyDescent="0.25"/>
    <row r="206" s="79" customFormat="1" ht="15" customHeight="1" x14ac:dyDescent="0.25"/>
    <row r="207" s="79" customFormat="1" ht="15" customHeight="1" x14ac:dyDescent="0.25"/>
    <row r="208" s="79" customFormat="1" ht="15" customHeight="1" x14ac:dyDescent="0.25"/>
    <row r="209" s="79" customFormat="1" ht="15" customHeight="1" x14ac:dyDescent="0.25"/>
    <row r="210" s="79" customFormat="1" ht="15" customHeight="1" x14ac:dyDescent="0.25"/>
    <row r="211" s="79" customFormat="1" ht="15" customHeight="1" x14ac:dyDescent="0.25"/>
    <row r="212" s="79" customFormat="1" ht="15" customHeight="1" x14ac:dyDescent="0.25"/>
    <row r="213" s="79" customFormat="1" ht="15" customHeight="1" x14ac:dyDescent="0.25"/>
    <row r="214" s="79" customFormat="1" ht="15" customHeight="1" x14ac:dyDescent="0.25"/>
    <row r="215" s="79" customFormat="1" ht="15" customHeight="1" x14ac:dyDescent="0.25"/>
    <row r="216" s="79" customFormat="1" ht="15" customHeight="1" x14ac:dyDescent="0.25"/>
    <row r="217" s="79" customFormat="1" ht="15" customHeight="1" x14ac:dyDescent="0.25"/>
    <row r="218" s="79" customFormat="1" ht="15" customHeight="1" x14ac:dyDescent="0.25"/>
    <row r="219" s="79" customFormat="1" ht="15" customHeight="1" x14ac:dyDescent="0.25"/>
    <row r="220" s="79" customFormat="1" ht="15" customHeight="1" x14ac:dyDescent="0.25"/>
    <row r="221" s="79" customFormat="1" ht="15" customHeight="1" x14ac:dyDescent="0.25"/>
    <row r="222" s="79" customFormat="1" ht="15" customHeight="1" x14ac:dyDescent="0.25"/>
    <row r="223" s="79" customFormat="1" ht="15" customHeight="1" x14ac:dyDescent="0.25"/>
    <row r="224" s="79" customFormat="1" ht="15" customHeight="1" x14ac:dyDescent="0.25"/>
    <row r="225" s="79" customFormat="1" ht="15" customHeight="1" x14ac:dyDescent="0.25"/>
    <row r="226" s="79" customFormat="1" ht="15" customHeight="1" x14ac:dyDescent="0.25"/>
    <row r="227" s="79" customFormat="1" ht="15" customHeight="1" x14ac:dyDescent="0.25"/>
    <row r="228" s="79" customFormat="1" ht="15" customHeight="1" x14ac:dyDescent="0.25"/>
    <row r="229" s="79" customFormat="1" ht="15" customHeight="1" x14ac:dyDescent="0.25"/>
    <row r="230" s="79" customFormat="1" ht="15" customHeight="1" x14ac:dyDescent="0.25"/>
    <row r="231" s="79" customFormat="1" ht="15" customHeight="1" x14ac:dyDescent="0.25"/>
    <row r="232" s="79" customFormat="1" ht="15" customHeight="1" x14ac:dyDescent="0.25"/>
    <row r="233" s="79" customFormat="1" ht="15" customHeight="1" x14ac:dyDescent="0.25"/>
    <row r="234" s="79" customFormat="1" ht="15" customHeight="1" x14ac:dyDescent="0.25"/>
    <row r="235" s="79" customFormat="1" ht="15" customHeight="1" x14ac:dyDescent="0.25"/>
    <row r="236" s="79" customFormat="1" ht="15" customHeight="1" x14ac:dyDescent="0.25"/>
    <row r="237" s="79" customFormat="1" ht="15" customHeight="1" x14ac:dyDescent="0.25"/>
    <row r="238" s="79" customFormat="1" ht="15" customHeight="1" x14ac:dyDescent="0.25"/>
    <row r="239" s="79" customFormat="1" ht="15" customHeight="1" x14ac:dyDescent="0.25"/>
    <row r="240" s="79" customFormat="1" ht="15" customHeight="1" x14ac:dyDescent="0.25"/>
    <row r="241" s="79" customFormat="1" ht="15" customHeight="1" x14ac:dyDescent="0.25"/>
    <row r="242" s="79" customFormat="1" ht="15" customHeight="1" x14ac:dyDescent="0.25"/>
    <row r="243" s="79" customFormat="1" ht="15" customHeight="1" x14ac:dyDescent="0.25"/>
    <row r="244" s="79" customFormat="1" ht="15" customHeight="1" x14ac:dyDescent="0.25"/>
    <row r="245" s="79" customFormat="1" ht="15" customHeight="1" x14ac:dyDescent="0.25"/>
    <row r="246" s="79" customFormat="1" ht="15" customHeight="1" x14ac:dyDescent="0.25"/>
    <row r="247" s="79" customFormat="1" ht="15" customHeight="1" x14ac:dyDescent="0.25"/>
    <row r="248" s="79" customFormat="1" ht="15" customHeight="1" x14ac:dyDescent="0.25"/>
    <row r="249" s="79" customFormat="1" ht="15" customHeight="1" x14ac:dyDescent="0.25"/>
    <row r="250" s="79" customFormat="1" ht="15" customHeight="1" x14ac:dyDescent="0.25"/>
    <row r="251" s="79" customFormat="1" ht="15" customHeight="1" x14ac:dyDescent="0.25"/>
    <row r="252" s="79" customFormat="1" ht="15" customHeight="1" x14ac:dyDescent="0.25"/>
    <row r="253" s="79" customFormat="1" ht="15" customHeight="1" x14ac:dyDescent="0.25"/>
    <row r="254" s="79" customFormat="1" ht="15" customHeight="1" x14ac:dyDescent="0.25"/>
    <row r="255" s="79" customFormat="1" ht="15" customHeight="1" x14ac:dyDescent="0.25"/>
    <row r="256" s="79" customFormat="1" ht="15" customHeight="1" x14ac:dyDescent="0.25"/>
    <row r="257" s="79" customFormat="1" ht="15" customHeight="1" x14ac:dyDescent="0.25"/>
    <row r="258" s="79" customFormat="1" ht="15" customHeight="1" x14ac:dyDescent="0.25"/>
    <row r="259" s="79" customFormat="1" ht="15" customHeight="1" x14ac:dyDescent="0.25"/>
    <row r="260" s="79" customFormat="1" ht="15" customHeight="1" x14ac:dyDescent="0.25"/>
    <row r="261" s="79" customFormat="1" ht="15" customHeight="1" x14ac:dyDescent="0.25"/>
    <row r="262" s="79" customFormat="1" ht="15" customHeight="1" x14ac:dyDescent="0.25"/>
    <row r="263" s="79" customFormat="1" ht="15" customHeight="1" x14ac:dyDescent="0.25"/>
    <row r="264" s="79" customFormat="1" ht="15" customHeight="1" x14ac:dyDescent="0.25"/>
    <row r="265" s="79" customFormat="1" ht="15" customHeight="1" x14ac:dyDescent="0.25"/>
    <row r="266" s="79" customFormat="1" ht="15" customHeight="1" x14ac:dyDescent="0.25"/>
    <row r="267" s="79" customFormat="1" ht="15" customHeight="1" x14ac:dyDescent="0.25"/>
    <row r="268" s="79" customFormat="1" ht="15" customHeight="1" x14ac:dyDescent="0.25"/>
    <row r="269" s="79" customFormat="1" ht="15" customHeight="1" x14ac:dyDescent="0.25"/>
    <row r="270" s="79" customFormat="1" ht="15" customHeight="1" x14ac:dyDescent="0.25"/>
    <row r="271" s="79" customFormat="1" ht="15" customHeight="1" x14ac:dyDescent="0.25"/>
    <row r="272" s="79" customFormat="1" ht="15" customHeight="1" x14ac:dyDescent="0.25"/>
    <row r="273" s="79" customFormat="1" ht="15" customHeight="1" x14ac:dyDescent="0.25"/>
    <row r="274" s="79" customFormat="1" ht="15" customHeight="1" x14ac:dyDescent="0.25"/>
    <row r="275" s="79" customFormat="1" ht="15" customHeight="1" x14ac:dyDescent="0.25"/>
    <row r="276" s="79" customFormat="1" ht="15" customHeight="1" x14ac:dyDescent="0.25"/>
    <row r="277" s="79" customFormat="1" ht="15" customHeight="1" x14ac:dyDescent="0.25"/>
    <row r="278" s="79" customFormat="1" ht="15" customHeight="1" x14ac:dyDescent="0.25"/>
    <row r="279" s="79" customFormat="1" ht="15" customHeight="1" x14ac:dyDescent="0.25"/>
    <row r="280" s="79" customFormat="1" ht="15" customHeight="1" x14ac:dyDescent="0.25"/>
    <row r="281" s="79" customFormat="1" ht="15" customHeight="1" x14ac:dyDescent="0.25"/>
    <row r="282" s="79" customFormat="1" ht="15" customHeight="1" x14ac:dyDescent="0.25"/>
    <row r="283" s="79" customFormat="1" ht="15" customHeight="1" x14ac:dyDescent="0.25"/>
    <row r="284" s="79" customFormat="1" ht="15" customHeight="1" x14ac:dyDescent="0.25"/>
    <row r="285" s="79" customFormat="1" ht="15" customHeight="1" x14ac:dyDescent="0.25"/>
    <row r="286" s="79" customFormat="1" ht="15" customHeight="1" x14ac:dyDescent="0.25"/>
    <row r="287" s="79" customFormat="1" ht="15" customHeight="1" x14ac:dyDescent="0.25"/>
    <row r="288" s="79" customFormat="1" ht="15" customHeight="1" x14ac:dyDescent="0.25"/>
    <row r="289" s="79" customFormat="1" ht="15" customHeight="1" x14ac:dyDescent="0.25"/>
    <row r="290" s="79" customFormat="1" ht="15" customHeight="1" x14ac:dyDescent="0.25"/>
    <row r="291" s="79" customFormat="1" ht="15" customHeight="1" x14ac:dyDescent="0.25"/>
    <row r="292" s="79" customFormat="1" ht="15" customHeight="1" x14ac:dyDescent="0.25"/>
    <row r="293" s="79" customFormat="1" ht="15" customHeight="1" x14ac:dyDescent="0.25"/>
    <row r="294" s="79" customFormat="1" ht="15" customHeight="1" x14ac:dyDescent="0.25"/>
    <row r="295" s="79" customFormat="1" ht="15" customHeight="1" x14ac:dyDescent="0.25"/>
    <row r="296" s="79" customFormat="1" ht="15" customHeight="1" x14ac:dyDescent="0.25"/>
    <row r="297" s="79" customFormat="1" ht="15" customHeight="1" x14ac:dyDescent="0.25"/>
    <row r="298" s="79" customFormat="1" ht="15" customHeight="1" x14ac:dyDescent="0.25"/>
    <row r="299" s="79" customFormat="1" ht="15" customHeight="1" x14ac:dyDescent="0.25"/>
    <row r="300" s="79" customFormat="1" ht="15" customHeight="1" x14ac:dyDescent="0.25"/>
    <row r="301" s="79" customFormat="1" ht="15" customHeight="1" x14ac:dyDescent="0.25"/>
    <row r="302" s="79" customFormat="1" ht="15" customHeight="1" x14ac:dyDescent="0.25"/>
    <row r="303" s="79" customFormat="1" ht="15" customHeight="1" x14ac:dyDescent="0.25"/>
    <row r="304" s="79" customFormat="1" ht="15" customHeight="1" x14ac:dyDescent="0.25"/>
    <row r="305" s="79" customFormat="1" ht="15" customHeight="1" x14ac:dyDescent="0.25"/>
    <row r="306" s="79" customFormat="1" ht="15" customHeight="1" x14ac:dyDescent="0.25"/>
    <row r="307" s="79" customFormat="1" ht="15" customHeight="1" x14ac:dyDescent="0.25"/>
    <row r="308" s="79" customFormat="1" ht="15" customHeight="1" x14ac:dyDescent="0.25"/>
    <row r="309" s="79" customFormat="1" ht="15" customHeight="1" x14ac:dyDescent="0.25"/>
    <row r="310" s="79" customFormat="1" ht="15" customHeight="1" x14ac:dyDescent="0.25"/>
    <row r="311" s="79" customFormat="1" ht="15" customHeight="1" x14ac:dyDescent="0.25"/>
    <row r="312" s="79" customFormat="1" ht="15" customHeight="1" x14ac:dyDescent="0.25"/>
    <row r="313" s="79" customFormat="1" ht="15" customHeight="1" x14ac:dyDescent="0.25"/>
    <row r="314" s="79" customFormat="1" ht="15" customHeight="1" x14ac:dyDescent="0.25"/>
    <row r="315" s="79" customFormat="1" ht="15" customHeight="1" x14ac:dyDescent="0.25"/>
    <row r="316" s="79" customFormat="1" ht="15" customHeight="1" x14ac:dyDescent="0.25"/>
    <row r="317" s="79" customFormat="1" ht="15" customHeight="1" x14ac:dyDescent="0.25"/>
    <row r="318" s="79" customFormat="1" ht="15" customHeight="1" x14ac:dyDescent="0.25"/>
    <row r="319" s="79" customFormat="1" ht="15" customHeight="1" x14ac:dyDescent="0.25"/>
    <row r="320" s="79" customFormat="1" ht="15" customHeight="1" x14ac:dyDescent="0.25"/>
    <row r="321" s="79" customFormat="1" ht="15" customHeight="1" x14ac:dyDescent="0.25"/>
    <row r="322" s="79" customFormat="1" ht="15" customHeight="1" x14ac:dyDescent="0.25"/>
    <row r="323" s="79" customFormat="1" ht="15" customHeight="1" x14ac:dyDescent="0.25"/>
    <row r="324" s="79" customFormat="1" ht="15" customHeight="1" x14ac:dyDescent="0.25"/>
    <row r="325" s="79" customFormat="1" ht="15" customHeight="1" x14ac:dyDescent="0.25"/>
    <row r="326" s="79" customFormat="1" ht="15" customHeight="1" x14ac:dyDescent="0.25"/>
    <row r="327" s="79" customFormat="1" ht="15" customHeight="1" x14ac:dyDescent="0.25"/>
    <row r="328" s="79" customFormat="1" ht="15" customHeight="1" x14ac:dyDescent="0.25"/>
    <row r="329" s="79" customFormat="1" ht="15" customHeight="1" x14ac:dyDescent="0.25"/>
    <row r="330" s="79" customFormat="1" ht="15" customHeight="1" x14ac:dyDescent="0.25"/>
    <row r="331" s="79" customFormat="1" ht="15" customHeight="1" x14ac:dyDescent="0.25"/>
    <row r="332" s="79" customFormat="1" ht="15" customHeight="1" x14ac:dyDescent="0.25"/>
    <row r="333" s="79" customFormat="1" ht="15" customHeight="1" x14ac:dyDescent="0.25"/>
    <row r="334" s="79" customFormat="1" ht="15" customHeight="1" x14ac:dyDescent="0.25"/>
    <row r="335" s="79" customFormat="1" ht="15" customHeight="1" x14ac:dyDescent="0.25"/>
    <row r="336" s="79" customFormat="1" ht="15" customHeight="1" x14ac:dyDescent="0.25"/>
    <row r="337" s="79" customFormat="1" ht="15" customHeight="1" x14ac:dyDescent="0.25"/>
    <row r="338" s="79" customFormat="1" ht="15" customHeight="1" x14ac:dyDescent="0.25"/>
    <row r="339" s="79" customFormat="1" ht="15" customHeight="1" x14ac:dyDescent="0.25"/>
    <row r="340" s="79" customFormat="1" ht="15" customHeight="1" x14ac:dyDescent="0.25"/>
    <row r="341" s="79" customFormat="1" ht="15" customHeight="1" x14ac:dyDescent="0.25"/>
    <row r="342" s="79" customFormat="1" ht="15" customHeight="1" x14ac:dyDescent="0.25"/>
    <row r="343" s="79" customFormat="1" ht="15" customHeight="1" x14ac:dyDescent="0.25"/>
    <row r="344" s="79" customFormat="1" ht="15" customHeight="1" x14ac:dyDescent="0.25"/>
    <row r="345" s="79" customFormat="1" ht="15" customHeight="1" x14ac:dyDescent="0.25"/>
    <row r="346" s="79" customFormat="1" ht="15" customHeight="1" x14ac:dyDescent="0.25"/>
    <row r="347" s="79" customFormat="1" ht="15" customHeight="1" x14ac:dyDescent="0.25"/>
    <row r="348" s="79" customFormat="1" ht="15" customHeight="1" x14ac:dyDescent="0.25"/>
    <row r="349" s="79" customFormat="1" ht="15" customHeight="1" x14ac:dyDescent="0.25"/>
    <row r="350" s="79" customFormat="1" ht="15" customHeight="1" x14ac:dyDescent="0.25"/>
    <row r="351" s="79" customFormat="1" ht="15" customHeight="1" x14ac:dyDescent="0.25"/>
    <row r="352" s="79" customFormat="1" ht="15" customHeight="1" x14ac:dyDescent="0.25"/>
    <row r="353" s="79" customFormat="1" ht="15" customHeight="1" x14ac:dyDescent="0.25"/>
    <row r="354" s="79" customFormat="1" ht="15" customHeight="1" x14ac:dyDescent="0.25"/>
    <row r="355" s="79" customFormat="1" ht="15" customHeight="1" x14ac:dyDescent="0.25"/>
    <row r="356" s="79" customFormat="1" ht="15" customHeight="1" x14ac:dyDescent="0.25"/>
    <row r="357" s="79" customFormat="1" ht="15" customHeight="1" x14ac:dyDescent="0.25"/>
    <row r="358" s="79" customFormat="1" ht="15" customHeight="1" x14ac:dyDescent="0.25"/>
    <row r="359" s="79" customFormat="1" ht="15" customHeight="1" x14ac:dyDescent="0.25"/>
    <row r="360" s="79" customFormat="1" ht="15" customHeight="1" x14ac:dyDescent="0.25"/>
    <row r="361" s="79" customFormat="1" ht="15" customHeight="1" x14ac:dyDescent="0.25"/>
    <row r="362" s="79" customFormat="1" ht="15" customHeight="1" x14ac:dyDescent="0.25"/>
    <row r="363" s="79" customFormat="1" ht="15" customHeight="1" x14ac:dyDescent="0.25"/>
    <row r="364" s="79" customFormat="1" ht="15" customHeight="1" x14ac:dyDescent="0.25"/>
    <row r="365" s="79" customFormat="1" ht="15" customHeight="1" x14ac:dyDescent="0.25"/>
    <row r="366" s="79" customFormat="1" ht="15" customHeight="1" x14ac:dyDescent="0.25"/>
    <row r="367" s="79" customFormat="1" ht="15" customHeight="1" x14ac:dyDescent="0.25"/>
    <row r="368" s="79" customFormat="1" ht="15" customHeight="1" x14ac:dyDescent="0.25"/>
    <row r="369" s="79" customFormat="1" ht="15" customHeight="1" x14ac:dyDescent="0.25"/>
    <row r="370" s="79" customFormat="1" ht="15" customHeight="1" x14ac:dyDescent="0.25"/>
    <row r="371" s="79" customFormat="1" ht="15" customHeight="1" x14ac:dyDescent="0.25"/>
    <row r="372" s="79" customFormat="1" ht="15" customHeight="1" x14ac:dyDescent="0.25"/>
    <row r="373" s="79" customFormat="1" ht="15" customHeight="1" x14ac:dyDescent="0.25"/>
    <row r="374" s="79" customFormat="1" ht="15" customHeight="1" x14ac:dyDescent="0.25"/>
    <row r="375" s="79" customFormat="1" ht="15" customHeight="1" x14ac:dyDescent="0.25"/>
    <row r="376" s="79" customFormat="1" ht="15" customHeight="1" x14ac:dyDescent="0.25"/>
    <row r="377" s="79" customFormat="1" ht="15" customHeight="1" x14ac:dyDescent="0.25"/>
    <row r="378" s="79" customFormat="1" ht="15" customHeight="1" x14ac:dyDescent="0.25"/>
    <row r="379" s="79" customFormat="1" ht="15" customHeight="1" x14ac:dyDescent="0.25"/>
    <row r="380" s="79" customFormat="1" ht="15" customHeight="1" x14ac:dyDescent="0.25"/>
    <row r="381" s="79" customFormat="1" ht="15" customHeight="1" x14ac:dyDescent="0.25"/>
    <row r="382" s="79" customFormat="1" ht="15" customHeight="1" x14ac:dyDescent="0.25"/>
    <row r="383" s="79" customFormat="1" ht="15" customHeight="1" x14ac:dyDescent="0.25"/>
    <row r="384" s="79" customFormat="1" ht="15" customHeight="1" x14ac:dyDescent="0.25"/>
    <row r="385" s="79" customFormat="1" ht="15" customHeight="1" x14ac:dyDescent="0.25"/>
    <row r="386" s="79" customFormat="1" ht="15" customHeight="1" x14ac:dyDescent="0.25"/>
    <row r="387" s="79" customFormat="1" ht="15" customHeight="1" x14ac:dyDescent="0.25"/>
    <row r="388" s="79" customFormat="1" ht="15" customHeight="1" x14ac:dyDescent="0.25"/>
    <row r="389" s="79" customFormat="1" ht="15" customHeight="1" x14ac:dyDescent="0.25"/>
    <row r="390" s="79" customFormat="1" ht="15" customHeight="1" x14ac:dyDescent="0.25"/>
    <row r="391" s="79" customFormat="1" ht="15" customHeight="1" x14ac:dyDescent="0.25"/>
    <row r="392" s="79" customFormat="1" ht="15" customHeight="1" x14ac:dyDescent="0.25"/>
    <row r="393" s="79" customFormat="1" ht="15" customHeight="1" x14ac:dyDescent="0.25"/>
    <row r="394" s="79" customFormat="1" ht="15" customHeight="1" x14ac:dyDescent="0.25"/>
    <row r="395" s="79" customFormat="1" ht="15" customHeight="1" x14ac:dyDescent="0.25"/>
    <row r="396" s="79" customFormat="1" ht="15" customHeight="1" x14ac:dyDescent="0.25"/>
    <row r="397" s="79" customFormat="1" ht="15" customHeight="1" x14ac:dyDescent="0.25"/>
    <row r="398" s="79" customFormat="1" ht="15" customHeight="1" x14ac:dyDescent="0.25"/>
    <row r="399" s="79" customFormat="1" ht="15" customHeight="1" x14ac:dyDescent="0.25"/>
    <row r="400" s="79" customFormat="1" ht="15" customHeight="1" x14ac:dyDescent="0.25"/>
    <row r="401" s="79" customFormat="1" ht="15" customHeight="1" x14ac:dyDescent="0.25"/>
    <row r="402" s="79" customFormat="1" ht="15" customHeight="1" x14ac:dyDescent="0.25"/>
    <row r="403" s="79" customFormat="1" ht="15" customHeight="1" x14ac:dyDescent="0.25"/>
    <row r="404" s="79" customFormat="1" ht="15" customHeight="1" x14ac:dyDescent="0.25"/>
    <row r="405" s="79" customFormat="1" ht="15" customHeight="1" x14ac:dyDescent="0.25"/>
    <row r="406" s="79" customFormat="1" ht="15" customHeight="1" x14ac:dyDescent="0.25"/>
    <row r="407" s="79" customFormat="1" ht="15" customHeight="1" x14ac:dyDescent="0.25"/>
    <row r="408" s="79" customFormat="1" ht="15" customHeight="1" x14ac:dyDescent="0.25"/>
    <row r="409" s="79" customFormat="1" ht="15" customHeight="1" x14ac:dyDescent="0.25"/>
    <row r="410" s="79" customFormat="1" ht="15" customHeight="1" x14ac:dyDescent="0.25"/>
    <row r="411" s="79" customFormat="1" ht="15" customHeight="1" x14ac:dyDescent="0.25"/>
    <row r="412" s="79" customFormat="1" ht="15" customHeight="1" x14ac:dyDescent="0.25"/>
    <row r="413" s="79" customFormat="1" ht="15" customHeight="1" x14ac:dyDescent="0.25"/>
    <row r="414" s="79" customFormat="1" ht="15" customHeight="1" x14ac:dyDescent="0.25"/>
    <row r="415" s="79" customFormat="1" ht="15" customHeight="1" x14ac:dyDescent="0.25"/>
    <row r="416" s="79" customFormat="1" ht="15" customHeight="1" x14ac:dyDescent="0.25"/>
    <row r="417" s="79" customFormat="1" ht="15" customHeight="1" x14ac:dyDescent="0.25"/>
    <row r="418" s="79" customFormat="1" ht="15" customHeight="1" x14ac:dyDescent="0.25"/>
    <row r="419" s="79" customFormat="1" ht="15" customHeight="1" x14ac:dyDescent="0.25"/>
    <row r="420" s="79" customFormat="1" ht="15" customHeight="1" x14ac:dyDescent="0.25"/>
    <row r="421" s="79" customFormat="1" ht="15" customHeight="1" x14ac:dyDescent="0.25"/>
    <row r="422" s="79" customFormat="1" ht="15" customHeight="1" x14ac:dyDescent="0.25"/>
    <row r="423" s="79" customFormat="1" ht="15" customHeight="1" x14ac:dyDescent="0.25"/>
    <row r="424" s="79" customFormat="1" ht="15" customHeight="1" x14ac:dyDescent="0.25"/>
    <row r="425" s="79" customFormat="1" ht="15" customHeight="1" x14ac:dyDescent="0.25"/>
    <row r="426" s="79" customFormat="1" ht="15" customHeight="1" x14ac:dyDescent="0.25"/>
    <row r="427" s="79" customFormat="1" ht="15" customHeight="1" x14ac:dyDescent="0.25"/>
    <row r="428" s="79" customFormat="1" ht="15" customHeight="1" x14ac:dyDescent="0.25"/>
    <row r="429" s="79" customFormat="1" ht="15" customHeight="1" x14ac:dyDescent="0.25"/>
    <row r="430" s="79" customFormat="1" ht="15" customHeight="1" x14ac:dyDescent="0.25"/>
    <row r="431" s="79" customFormat="1" ht="15" customHeight="1" x14ac:dyDescent="0.25"/>
    <row r="432" s="79" customFormat="1" ht="15" customHeight="1" x14ac:dyDescent="0.25"/>
    <row r="433" s="79" customFormat="1" ht="15" customHeight="1" x14ac:dyDescent="0.25"/>
    <row r="434" s="79" customFormat="1" ht="15" customHeight="1" x14ac:dyDescent="0.25"/>
    <row r="435" s="79" customFormat="1" ht="15" customHeight="1" x14ac:dyDescent="0.25"/>
    <row r="436" s="79" customFormat="1" ht="15" customHeight="1" x14ac:dyDescent="0.25"/>
    <row r="437" s="79" customFormat="1" ht="15" customHeight="1" x14ac:dyDescent="0.25"/>
    <row r="438" s="79" customFormat="1" ht="15" customHeight="1" x14ac:dyDescent="0.25"/>
    <row r="439" s="79" customFormat="1" ht="15" customHeight="1" x14ac:dyDescent="0.25"/>
    <row r="440" s="79" customFormat="1" ht="15" customHeight="1" x14ac:dyDescent="0.25"/>
    <row r="441" s="79" customFormat="1" ht="15" customHeight="1" x14ac:dyDescent="0.25"/>
    <row r="442" s="79" customFormat="1" ht="15" customHeight="1" x14ac:dyDescent="0.25"/>
    <row r="443" s="79" customFormat="1" ht="15" customHeight="1" x14ac:dyDescent="0.25"/>
    <row r="444" s="79" customFormat="1" ht="15" customHeight="1" x14ac:dyDescent="0.25"/>
    <row r="445" s="79" customFormat="1" ht="15" customHeight="1" x14ac:dyDescent="0.25"/>
    <row r="446" s="79" customFormat="1" ht="15" customHeight="1" x14ac:dyDescent="0.25"/>
    <row r="447" s="79" customFormat="1" ht="15" customHeight="1" x14ac:dyDescent="0.25"/>
    <row r="448" s="79" customFormat="1" ht="15" customHeight="1" x14ac:dyDescent="0.25"/>
    <row r="449" s="79" customFormat="1" ht="15" customHeight="1" x14ac:dyDescent="0.25"/>
    <row r="450" s="79" customFormat="1" ht="15" customHeight="1" x14ac:dyDescent="0.25"/>
    <row r="451" s="79" customFormat="1" ht="15" customHeight="1" x14ac:dyDescent="0.25"/>
    <row r="452" s="79" customFormat="1" ht="15" customHeight="1" x14ac:dyDescent="0.25"/>
    <row r="453" s="79" customFormat="1" ht="15" customHeight="1" x14ac:dyDescent="0.25"/>
    <row r="454" s="79" customFormat="1" ht="15" customHeight="1" x14ac:dyDescent="0.25"/>
    <row r="455" s="79" customFormat="1" ht="15" customHeight="1" x14ac:dyDescent="0.25"/>
    <row r="456" s="79" customFormat="1" ht="15" customHeight="1" x14ac:dyDescent="0.25"/>
    <row r="457" s="79" customFormat="1" ht="15" customHeight="1" x14ac:dyDescent="0.25"/>
    <row r="458" s="79" customFormat="1" ht="15" customHeight="1" x14ac:dyDescent="0.25"/>
    <row r="459" s="79" customFormat="1" ht="15" customHeight="1" x14ac:dyDescent="0.25"/>
    <row r="460" s="79" customFormat="1" ht="15" customHeight="1" x14ac:dyDescent="0.25"/>
    <row r="461" s="79" customFormat="1" ht="15" customHeight="1" x14ac:dyDescent="0.25"/>
    <row r="462" s="79" customFormat="1" ht="15" customHeight="1" x14ac:dyDescent="0.25"/>
    <row r="463" s="79" customFormat="1" ht="15" customHeight="1" x14ac:dyDescent="0.25"/>
    <row r="464" s="79" customFormat="1" ht="15" customHeight="1" x14ac:dyDescent="0.25"/>
    <row r="465" s="79" customFormat="1" ht="15" customHeight="1" x14ac:dyDescent="0.25"/>
    <row r="466" s="79" customFormat="1" ht="15" customHeight="1" x14ac:dyDescent="0.25"/>
    <row r="467" s="79" customFormat="1" ht="15" customHeight="1" x14ac:dyDescent="0.25"/>
    <row r="468" s="79" customFormat="1" ht="15" customHeight="1" x14ac:dyDescent="0.25"/>
    <row r="469" s="79" customFormat="1" ht="15" customHeight="1" x14ac:dyDescent="0.25"/>
    <row r="470" s="79" customFormat="1" ht="15" customHeight="1" x14ac:dyDescent="0.25"/>
    <row r="471" s="79" customFormat="1" ht="15" customHeight="1" x14ac:dyDescent="0.25"/>
    <row r="472" s="79" customFormat="1" ht="15" customHeight="1" x14ac:dyDescent="0.25"/>
    <row r="473" s="79" customFormat="1" ht="15" customHeight="1" x14ac:dyDescent="0.25"/>
    <row r="474" s="79" customFormat="1" ht="15" customHeight="1" x14ac:dyDescent="0.25"/>
    <row r="475" s="79" customFormat="1" ht="15" customHeight="1" x14ac:dyDescent="0.25"/>
    <row r="476" s="79" customFormat="1" ht="15" customHeight="1" x14ac:dyDescent="0.25"/>
    <row r="477" s="79" customFormat="1" ht="15" customHeight="1" x14ac:dyDescent="0.25"/>
    <row r="478" s="79" customFormat="1" ht="15" customHeight="1" x14ac:dyDescent="0.25"/>
    <row r="479" s="79" customFormat="1" ht="15" customHeight="1" x14ac:dyDescent="0.25"/>
    <row r="480" s="79" customFormat="1" ht="15" customHeight="1" x14ac:dyDescent="0.25"/>
    <row r="481" s="79" customFormat="1" ht="15" customHeight="1" x14ac:dyDescent="0.25"/>
    <row r="482" s="79" customFormat="1" ht="15" customHeight="1" x14ac:dyDescent="0.25"/>
    <row r="483" s="79" customFormat="1" ht="15" customHeight="1" x14ac:dyDescent="0.25"/>
    <row r="484" s="79" customFormat="1" ht="15" customHeight="1" x14ac:dyDescent="0.25"/>
    <row r="485" s="79" customFormat="1" ht="15" customHeight="1" x14ac:dyDescent="0.25"/>
    <row r="486" s="79" customFormat="1" ht="15" customHeight="1" x14ac:dyDescent="0.25"/>
    <row r="487" s="79" customFormat="1" ht="15" customHeight="1" x14ac:dyDescent="0.25"/>
    <row r="488" s="79" customFormat="1" ht="15" customHeight="1" x14ac:dyDescent="0.25"/>
    <row r="489" s="79" customFormat="1" ht="15" customHeight="1" x14ac:dyDescent="0.25"/>
    <row r="490" s="79" customFormat="1" ht="15" customHeight="1" x14ac:dyDescent="0.25"/>
    <row r="491" s="79" customFormat="1" ht="15" customHeight="1" x14ac:dyDescent="0.25"/>
    <row r="492" s="79" customFormat="1" ht="15" customHeight="1" x14ac:dyDescent="0.25"/>
    <row r="493" s="79" customFormat="1" ht="15" customHeight="1" x14ac:dyDescent="0.25"/>
    <row r="494" s="79" customFormat="1" ht="15" customHeight="1" x14ac:dyDescent="0.25"/>
    <row r="495" s="79" customFormat="1" ht="15" customHeight="1" x14ac:dyDescent="0.25"/>
    <row r="496" s="79" customFormat="1" ht="15" customHeight="1" x14ac:dyDescent="0.25"/>
    <row r="497" s="79" customFormat="1" ht="15" customHeight="1" x14ac:dyDescent="0.25"/>
    <row r="498" s="79" customFormat="1" ht="15" customHeight="1" x14ac:dyDescent="0.25"/>
    <row r="499" s="79" customFormat="1" ht="15" customHeight="1" x14ac:dyDescent="0.25"/>
    <row r="500" s="79" customFormat="1" ht="15" customHeight="1" x14ac:dyDescent="0.25"/>
    <row r="501" s="79" customFormat="1" ht="15" customHeight="1" x14ac:dyDescent="0.25"/>
    <row r="502" s="79" customFormat="1" ht="15" customHeight="1" x14ac:dyDescent="0.25"/>
    <row r="503" s="79" customFormat="1" ht="15" customHeight="1" x14ac:dyDescent="0.25"/>
    <row r="504" s="79" customFormat="1" ht="15" customHeight="1" x14ac:dyDescent="0.25"/>
    <row r="505" s="79" customFormat="1" ht="15" customHeight="1" x14ac:dyDescent="0.25"/>
    <row r="506" s="79" customFormat="1" ht="15" customHeight="1" x14ac:dyDescent="0.25"/>
    <row r="507" s="79" customFormat="1" ht="15" customHeight="1" x14ac:dyDescent="0.25"/>
    <row r="508" s="79" customFormat="1" ht="15" customHeight="1" x14ac:dyDescent="0.25"/>
    <row r="509" s="79" customFormat="1" ht="15" customHeight="1" x14ac:dyDescent="0.25"/>
    <row r="510" s="79" customFormat="1" ht="15" customHeight="1" x14ac:dyDescent="0.25"/>
    <row r="511" s="79" customFormat="1" ht="15" customHeight="1" x14ac:dyDescent="0.25"/>
    <row r="512" s="79" customFormat="1" ht="15" customHeight="1" x14ac:dyDescent="0.25"/>
    <row r="513" s="79" customFormat="1" ht="15" customHeight="1" x14ac:dyDescent="0.25"/>
    <row r="514" s="79" customFormat="1" ht="15" customHeight="1" x14ac:dyDescent="0.25"/>
    <row r="515" s="79" customFormat="1" ht="15" customHeight="1" x14ac:dyDescent="0.25"/>
    <row r="516" s="79" customFormat="1" ht="15" customHeight="1" x14ac:dyDescent="0.25"/>
    <row r="517" s="79" customFormat="1" ht="15" customHeight="1" x14ac:dyDescent="0.25"/>
    <row r="518" s="79" customFormat="1" ht="15" customHeight="1" x14ac:dyDescent="0.25"/>
    <row r="519" s="79" customFormat="1" ht="15" customHeight="1" x14ac:dyDescent="0.25"/>
    <row r="520" s="79" customFormat="1" ht="15" customHeight="1" x14ac:dyDescent="0.25"/>
    <row r="521" s="79" customFormat="1" ht="15" customHeight="1" x14ac:dyDescent="0.25"/>
    <row r="522" s="79" customFormat="1" ht="15" customHeight="1" x14ac:dyDescent="0.25"/>
    <row r="523" s="79" customFormat="1" ht="15" customHeight="1" x14ac:dyDescent="0.25"/>
    <row r="524" s="79" customFormat="1" ht="15" customHeight="1" x14ac:dyDescent="0.25"/>
    <row r="525" s="79" customFormat="1" ht="15" customHeight="1" x14ac:dyDescent="0.25"/>
    <row r="526" s="79" customFormat="1" ht="15" customHeight="1" x14ac:dyDescent="0.25"/>
    <row r="527" s="79" customFormat="1" ht="15" customHeight="1" x14ac:dyDescent="0.25"/>
    <row r="528" s="79" customFormat="1" ht="15" customHeight="1" x14ac:dyDescent="0.25"/>
    <row r="529" s="79" customFormat="1" ht="15" customHeight="1" x14ac:dyDescent="0.25"/>
    <row r="530" s="79" customFormat="1" ht="15" customHeight="1" x14ac:dyDescent="0.25"/>
    <row r="531" s="79" customFormat="1" ht="15" customHeight="1" x14ac:dyDescent="0.25"/>
    <row r="532" s="79" customFormat="1" ht="15" customHeight="1" x14ac:dyDescent="0.25"/>
    <row r="533" s="79" customFormat="1" ht="15" customHeight="1" x14ac:dyDescent="0.25"/>
    <row r="534" s="79" customFormat="1" ht="15" customHeight="1" x14ac:dyDescent="0.25"/>
    <row r="535" s="79" customFormat="1" ht="15" customHeight="1" x14ac:dyDescent="0.25"/>
    <row r="536" s="79" customFormat="1" ht="15" customHeight="1" x14ac:dyDescent="0.25"/>
    <row r="537" s="79" customFormat="1" ht="15" customHeight="1" x14ac:dyDescent="0.25"/>
    <row r="538" s="79" customFormat="1" ht="15" customHeight="1" x14ac:dyDescent="0.25"/>
    <row r="539" s="79" customFormat="1" ht="15" customHeight="1" x14ac:dyDescent="0.25"/>
    <row r="540" s="79" customFormat="1" ht="15" customHeight="1" x14ac:dyDescent="0.25"/>
    <row r="541" s="79" customFormat="1" ht="15" customHeight="1" x14ac:dyDescent="0.25"/>
    <row r="542" s="79" customFormat="1" ht="15" customHeight="1" x14ac:dyDescent="0.25"/>
    <row r="543" s="79" customFormat="1" ht="15" customHeight="1" x14ac:dyDescent="0.25"/>
    <row r="544" s="79" customFormat="1" ht="15" customHeight="1" x14ac:dyDescent="0.25"/>
    <row r="545" s="79" customFormat="1" ht="15" customHeight="1" x14ac:dyDescent="0.25"/>
    <row r="546" s="79" customFormat="1" ht="15" customHeight="1" x14ac:dyDescent="0.25"/>
    <row r="547" s="79" customFormat="1" ht="15" customHeight="1" x14ac:dyDescent="0.25"/>
    <row r="548" s="79" customFormat="1" ht="15" customHeight="1" x14ac:dyDescent="0.25"/>
    <row r="549" s="79" customFormat="1" ht="15" customHeight="1" x14ac:dyDescent="0.25"/>
    <row r="550" s="79" customFormat="1" ht="15" customHeight="1" x14ac:dyDescent="0.25"/>
    <row r="551" s="79" customFormat="1" ht="15" customHeight="1" x14ac:dyDescent="0.25"/>
    <row r="552" s="79" customFormat="1" ht="15" customHeight="1" x14ac:dyDescent="0.25"/>
    <row r="553" s="79" customFormat="1" ht="15" customHeight="1" x14ac:dyDescent="0.25"/>
    <row r="554" s="79" customFormat="1" ht="15" customHeight="1" x14ac:dyDescent="0.25"/>
    <row r="555" s="79" customFormat="1" ht="15" customHeight="1" x14ac:dyDescent="0.25"/>
    <row r="556" s="79" customFormat="1" ht="15" customHeight="1" x14ac:dyDescent="0.25"/>
    <row r="557" s="79" customFormat="1" ht="15" customHeight="1" x14ac:dyDescent="0.25"/>
    <row r="558" s="79" customFormat="1" ht="15" customHeight="1" x14ac:dyDescent="0.25"/>
    <row r="559" s="79" customFormat="1" ht="15" customHeight="1" x14ac:dyDescent="0.25"/>
    <row r="560" s="79" customFormat="1" ht="15" customHeight="1" x14ac:dyDescent="0.25"/>
    <row r="561" s="79" customFormat="1" ht="15" customHeight="1" x14ac:dyDescent="0.25"/>
    <row r="562" s="79" customFormat="1" ht="15" customHeight="1" x14ac:dyDescent="0.25"/>
    <row r="563" s="79" customFormat="1" ht="15" customHeight="1" x14ac:dyDescent="0.25"/>
    <row r="564" s="79" customFormat="1" ht="15" customHeight="1" x14ac:dyDescent="0.25"/>
    <row r="565" s="79" customFormat="1" ht="15" customHeight="1" x14ac:dyDescent="0.25"/>
    <row r="566" s="79" customFormat="1" ht="15" customHeight="1" x14ac:dyDescent="0.25"/>
    <row r="567" s="79" customFormat="1" ht="15" customHeight="1" x14ac:dyDescent="0.25"/>
    <row r="568" s="79" customFormat="1" ht="15" customHeight="1" x14ac:dyDescent="0.25"/>
    <row r="569" s="79" customFormat="1" ht="15" customHeight="1" x14ac:dyDescent="0.25"/>
    <row r="570" s="79" customFormat="1" ht="15" customHeight="1" x14ac:dyDescent="0.25"/>
    <row r="571" s="79" customFormat="1" ht="15" customHeight="1" x14ac:dyDescent="0.25"/>
    <row r="572" s="79" customFormat="1" ht="15" customHeight="1" x14ac:dyDescent="0.25"/>
    <row r="573" s="79" customFormat="1" ht="15" customHeight="1" x14ac:dyDescent="0.25"/>
    <row r="574" s="79" customFormat="1" ht="15" customHeight="1" x14ac:dyDescent="0.25"/>
    <row r="575" s="79" customFormat="1" ht="15" customHeight="1" x14ac:dyDescent="0.25"/>
    <row r="576" s="79" customFormat="1" ht="15" customHeight="1" x14ac:dyDescent="0.25"/>
    <row r="577" s="79" customFormat="1" ht="15" customHeight="1" x14ac:dyDescent="0.25"/>
    <row r="578" s="79" customFormat="1" ht="15" customHeight="1" x14ac:dyDescent="0.25"/>
    <row r="579" s="79" customFormat="1" ht="15" customHeight="1" x14ac:dyDescent="0.25"/>
    <row r="580" s="79" customFormat="1" ht="15" customHeight="1" x14ac:dyDescent="0.25"/>
    <row r="581" s="79" customFormat="1" ht="15" customHeight="1" x14ac:dyDescent="0.25"/>
    <row r="582" s="79" customFormat="1" ht="15" customHeight="1" x14ac:dyDescent="0.25"/>
    <row r="583" s="79" customFormat="1" ht="15" customHeight="1" x14ac:dyDescent="0.25"/>
    <row r="584" s="79" customFormat="1" ht="15" customHeight="1" x14ac:dyDescent="0.25"/>
    <row r="585" s="79" customFormat="1" ht="15" customHeight="1" x14ac:dyDescent="0.25"/>
    <row r="586" s="79" customFormat="1" ht="15" customHeight="1" x14ac:dyDescent="0.25"/>
    <row r="587" s="79" customFormat="1" ht="15" customHeight="1" x14ac:dyDescent="0.25"/>
    <row r="588" s="79" customFormat="1" ht="15" customHeight="1" x14ac:dyDescent="0.25"/>
    <row r="589" s="79" customFormat="1" ht="15" customHeight="1" x14ac:dyDescent="0.25"/>
    <row r="590" s="79" customFormat="1" ht="15" customHeight="1" x14ac:dyDescent="0.25"/>
    <row r="591" s="79" customFormat="1" ht="15" customHeight="1" x14ac:dyDescent="0.25"/>
    <row r="592" s="79" customFormat="1" ht="15" customHeight="1" x14ac:dyDescent="0.25"/>
    <row r="593" s="79" customFormat="1" ht="15" customHeight="1" x14ac:dyDescent="0.25"/>
    <row r="594" s="79" customFormat="1" ht="15" customHeight="1" x14ac:dyDescent="0.25"/>
    <row r="595" s="79" customFormat="1" ht="15" customHeight="1" x14ac:dyDescent="0.25"/>
    <row r="596" s="79" customFormat="1" ht="15" customHeight="1" x14ac:dyDescent="0.25"/>
    <row r="597" s="79" customFormat="1" ht="15" customHeight="1" x14ac:dyDescent="0.25"/>
    <row r="598" s="79" customFormat="1" ht="15" customHeight="1" x14ac:dyDescent="0.25"/>
    <row r="599" s="79" customFormat="1" ht="15" customHeight="1" x14ac:dyDescent="0.25"/>
    <row r="600" s="79" customFormat="1" ht="15" customHeight="1" x14ac:dyDescent="0.25"/>
    <row r="601" s="79" customFormat="1" ht="15" customHeight="1" x14ac:dyDescent="0.25"/>
    <row r="602" s="79" customFormat="1" ht="15" customHeight="1" x14ac:dyDescent="0.25"/>
    <row r="603" s="79" customFormat="1" ht="15" customHeight="1" x14ac:dyDescent="0.25"/>
    <row r="604" s="79" customFormat="1" ht="15" customHeight="1" x14ac:dyDescent="0.25"/>
    <row r="605" s="79" customFormat="1" ht="15" customHeight="1" x14ac:dyDescent="0.25"/>
    <row r="606" s="79" customFormat="1" ht="15" customHeight="1" x14ac:dyDescent="0.25"/>
    <row r="607" s="79" customFormat="1" ht="15" customHeight="1" x14ac:dyDescent="0.25"/>
    <row r="608" s="79" customFormat="1" ht="15" customHeight="1" x14ac:dyDescent="0.25"/>
    <row r="609" s="79" customFormat="1" ht="15" customHeight="1" x14ac:dyDescent="0.25"/>
    <row r="610" s="79" customFormat="1" ht="15" customHeight="1" x14ac:dyDescent="0.25"/>
    <row r="611" s="79" customFormat="1" ht="15" customHeight="1" x14ac:dyDescent="0.25"/>
    <row r="612" s="79" customFormat="1" ht="15" customHeight="1" x14ac:dyDescent="0.25"/>
    <row r="613" s="79" customFormat="1" ht="15" customHeight="1" x14ac:dyDescent="0.25"/>
    <row r="614" s="79" customFormat="1" ht="15" customHeight="1" x14ac:dyDescent="0.25"/>
    <row r="615" s="79" customFormat="1" ht="15" customHeight="1" x14ac:dyDescent="0.25"/>
    <row r="616" s="79" customFormat="1" ht="15" customHeight="1" x14ac:dyDescent="0.25"/>
    <row r="617" s="79" customFormat="1" ht="15" customHeight="1" x14ac:dyDescent="0.25"/>
    <row r="618" s="79" customFormat="1" ht="15" customHeight="1" x14ac:dyDescent="0.25"/>
    <row r="619" s="79" customFormat="1" ht="15" customHeight="1" x14ac:dyDescent="0.25"/>
    <row r="620" s="79" customFormat="1" ht="15" customHeight="1" x14ac:dyDescent="0.25"/>
    <row r="621" s="79" customFormat="1" ht="15" customHeight="1" x14ac:dyDescent="0.25"/>
    <row r="622" s="79" customFormat="1" ht="15" customHeight="1" x14ac:dyDescent="0.25"/>
    <row r="623" s="79" customFormat="1" ht="15" customHeight="1" x14ac:dyDescent="0.25"/>
    <row r="624" s="79" customFormat="1" ht="15" customHeight="1" x14ac:dyDescent="0.25"/>
    <row r="625" s="79" customFormat="1" ht="15" customHeight="1" x14ac:dyDescent="0.25"/>
    <row r="626" s="79" customFormat="1" ht="15" customHeight="1" x14ac:dyDescent="0.25"/>
    <row r="627" s="79" customFormat="1" ht="15" customHeight="1" x14ac:dyDescent="0.25"/>
    <row r="628" s="79" customFormat="1" ht="15" customHeight="1" x14ac:dyDescent="0.25"/>
    <row r="629" s="79" customFormat="1" ht="15" customHeight="1" x14ac:dyDescent="0.25"/>
    <row r="630" s="79" customFormat="1" ht="15" customHeight="1" x14ac:dyDescent="0.25"/>
    <row r="631" s="79" customFormat="1" ht="15" customHeight="1" x14ac:dyDescent="0.25"/>
    <row r="632" s="79" customFormat="1" ht="15" customHeight="1" x14ac:dyDescent="0.25"/>
    <row r="633" s="79" customFormat="1" ht="15" customHeight="1" x14ac:dyDescent="0.25"/>
    <row r="634" s="79" customFormat="1" ht="15" customHeight="1" x14ac:dyDescent="0.25"/>
    <row r="635" s="79" customFormat="1" ht="15" customHeight="1" x14ac:dyDescent="0.25"/>
    <row r="636" s="79" customFormat="1" ht="15" customHeight="1" x14ac:dyDescent="0.25"/>
    <row r="637" s="79" customFormat="1" ht="15" customHeight="1" x14ac:dyDescent="0.25"/>
    <row r="638" s="79" customFormat="1" ht="15" customHeight="1" x14ac:dyDescent="0.25"/>
    <row r="639" s="79" customFormat="1" ht="15" customHeight="1" x14ac:dyDescent="0.25"/>
    <row r="640" s="79" customFormat="1" ht="15" customHeight="1" x14ac:dyDescent="0.25"/>
    <row r="641" s="79" customFormat="1" ht="15" customHeight="1" x14ac:dyDescent="0.25"/>
    <row r="642" s="79" customFormat="1" ht="15" customHeight="1" x14ac:dyDescent="0.25"/>
    <row r="643" s="79" customFormat="1" ht="15" customHeight="1" x14ac:dyDescent="0.25"/>
    <row r="644" s="79" customFormat="1" ht="15" customHeight="1" x14ac:dyDescent="0.25"/>
    <row r="645" s="79" customFormat="1" ht="15" customHeight="1" x14ac:dyDescent="0.25"/>
    <row r="646" s="79" customFormat="1" ht="15" customHeight="1" x14ac:dyDescent="0.25"/>
    <row r="647" s="79" customFormat="1" ht="15" customHeight="1" x14ac:dyDescent="0.25"/>
    <row r="648" s="79" customFormat="1" ht="15" customHeight="1" x14ac:dyDescent="0.25"/>
    <row r="649" s="79" customFormat="1" ht="15" customHeight="1" x14ac:dyDescent="0.25"/>
    <row r="650" s="79" customFormat="1" ht="15" customHeight="1" x14ac:dyDescent="0.25"/>
    <row r="651" s="79" customFormat="1" ht="15" customHeight="1" x14ac:dyDescent="0.25"/>
    <row r="652" s="79" customFormat="1" ht="15" customHeight="1" x14ac:dyDescent="0.25"/>
    <row r="653" s="79" customFormat="1" ht="15" customHeight="1" x14ac:dyDescent="0.25"/>
    <row r="654" s="79" customFormat="1" ht="15" customHeight="1" x14ac:dyDescent="0.25"/>
    <row r="655" s="79" customFormat="1" ht="15" customHeight="1" x14ac:dyDescent="0.25"/>
    <row r="656" s="79" customFormat="1" ht="15" customHeight="1" x14ac:dyDescent="0.25"/>
    <row r="657" s="79" customFormat="1" ht="15" customHeight="1" x14ac:dyDescent="0.25"/>
    <row r="658" s="79" customFormat="1" ht="15" customHeight="1" x14ac:dyDescent="0.25"/>
    <row r="659" s="79" customFormat="1" ht="15" customHeight="1" x14ac:dyDescent="0.25"/>
    <row r="660" s="79" customFormat="1" ht="15" customHeight="1" x14ac:dyDescent="0.25"/>
    <row r="661" s="79" customFormat="1" ht="15" customHeight="1" x14ac:dyDescent="0.25"/>
    <row r="662" s="79" customFormat="1" ht="15" customHeight="1" x14ac:dyDescent="0.25"/>
    <row r="663" s="79" customFormat="1" ht="15" customHeight="1" x14ac:dyDescent="0.25"/>
    <row r="664" s="79" customFormat="1" ht="15" customHeight="1" x14ac:dyDescent="0.25"/>
    <row r="665" s="79" customFormat="1" ht="15" customHeight="1" x14ac:dyDescent="0.25"/>
    <row r="666" s="79" customFormat="1" ht="15" customHeight="1" x14ac:dyDescent="0.25"/>
    <row r="667" s="79" customFormat="1" ht="15" customHeight="1" x14ac:dyDescent="0.25"/>
    <row r="668" s="79" customFormat="1" ht="15" customHeight="1" x14ac:dyDescent="0.25"/>
    <row r="669" s="79" customFormat="1" ht="15" customHeight="1" x14ac:dyDescent="0.25"/>
    <row r="670" s="79" customFormat="1" ht="15" customHeight="1" x14ac:dyDescent="0.25"/>
    <row r="671" s="79" customFormat="1" ht="15" customHeight="1" x14ac:dyDescent="0.25"/>
    <row r="672" s="79" customFormat="1" ht="15" customHeight="1" x14ac:dyDescent="0.25"/>
    <row r="673" s="79" customFormat="1" ht="15" customHeight="1" x14ac:dyDescent="0.25"/>
    <row r="674" s="79" customFormat="1" ht="15" customHeight="1" x14ac:dyDescent="0.25"/>
    <row r="675" s="79" customFormat="1" ht="15" customHeight="1" x14ac:dyDescent="0.25"/>
    <row r="676" s="79" customFormat="1" ht="15" customHeight="1" x14ac:dyDescent="0.25"/>
    <row r="677" s="79" customFormat="1" ht="15" customHeight="1" x14ac:dyDescent="0.25"/>
    <row r="678" s="79" customFormat="1" ht="15" customHeight="1" x14ac:dyDescent="0.25"/>
    <row r="679" s="79" customFormat="1" ht="15" customHeight="1" x14ac:dyDescent="0.25"/>
    <row r="680" s="79" customFormat="1" ht="15" customHeight="1" x14ac:dyDescent="0.25"/>
    <row r="681" s="79" customFormat="1" ht="15" customHeight="1" x14ac:dyDescent="0.25"/>
    <row r="682" s="79" customFormat="1" ht="15" customHeight="1" x14ac:dyDescent="0.25"/>
    <row r="683" s="79" customFormat="1" ht="15" customHeight="1" x14ac:dyDescent="0.25"/>
    <row r="684" s="79" customFormat="1" ht="15" customHeight="1" x14ac:dyDescent="0.25"/>
    <row r="685" s="79" customFormat="1" ht="15" customHeight="1" x14ac:dyDescent="0.25"/>
    <row r="686" s="79" customFormat="1" ht="15" customHeight="1" x14ac:dyDescent="0.25"/>
    <row r="687" s="79" customFormat="1" ht="15" customHeight="1" x14ac:dyDescent="0.25"/>
    <row r="688" s="79" customFormat="1" ht="15" customHeight="1" x14ac:dyDescent="0.25"/>
    <row r="689" s="79" customFormat="1" ht="15" customHeight="1" x14ac:dyDescent="0.25"/>
    <row r="690" s="79" customFormat="1" ht="15" customHeight="1" x14ac:dyDescent="0.25"/>
    <row r="691" s="79" customFormat="1" ht="15" customHeight="1" x14ac:dyDescent="0.25"/>
    <row r="692" s="79" customFormat="1" ht="15" customHeight="1" x14ac:dyDescent="0.25"/>
    <row r="693" s="79" customFormat="1" ht="15" customHeight="1" x14ac:dyDescent="0.25"/>
    <row r="694" s="79" customFormat="1" ht="15" customHeight="1" x14ac:dyDescent="0.25"/>
    <row r="695" s="79" customFormat="1" ht="15" customHeight="1" x14ac:dyDescent="0.25"/>
    <row r="696" s="79" customFormat="1" ht="15" customHeight="1" x14ac:dyDescent="0.25"/>
    <row r="697" s="79" customFormat="1" ht="15" customHeight="1" x14ac:dyDescent="0.25"/>
    <row r="698" s="79" customFormat="1" ht="15" customHeight="1" x14ac:dyDescent="0.25"/>
    <row r="699" s="79" customFormat="1" ht="15" customHeight="1" x14ac:dyDescent="0.25"/>
    <row r="700" s="79" customFormat="1" ht="15" customHeight="1" x14ac:dyDescent="0.25"/>
    <row r="701" s="79" customFormat="1" ht="15" customHeight="1" x14ac:dyDescent="0.25"/>
    <row r="702" s="79" customFormat="1" ht="15" customHeight="1" x14ac:dyDescent="0.25"/>
    <row r="703" s="79" customFormat="1" ht="15" customHeight="1" x14ac:dyDescent="0.25"/>
    <row r="704" s="79" customFormat="1" ht="15" customHeight="1" x14ac:dyDescent="0.25"/>
    <row r="705" s="79" customFormat="1" ht="15" customHeight="1" x14ac:dyDescent="0.25"/>
    <row r="706" s="79" customFormat="1" ht="15" customHeight="1" x14ac:dyDescent="0.25"/>
    <row r="707" s="79" customFormat="1" ht="15" customHeight="1" x14ac:dyDescent="0.25"/>
    <row r="708" s="79" customFormat="1" ht="15" customHeight="1" x14ac:dyDescent="0.25"/>
    <row r="709" s="79" customFormat="1" ht="15" customHeight="1" x14ac:dyDescent="0.25"/>
    <row r="710" s="79" customFormat="1" ht="15" customHeight="1" x14ac:dyDescent="0.25"/>
    <row r="711" s="79" customFormat="1" ht="15" customHeight="1" x14ac:dyDescent="0.25"/>
    <row r="712" s="79" customFormat="1" ht="15" customHeight="1" x14ac:dyDescent="0.25"/>
    <row r="713" s="79" customFormat="1" ht="15" customHeight="1" x14ac:dyDescent="0.25"/>
    <row r="714" s="79" customFormat="1" ht="15" customHeight="1" x14ac:dyDescent="0.25"/>
    <row r="715" s="79" customFormat="1" ht="15" customHeight="1" x14ac:dyDescent="0.25"/>
    <row r="716" s="79" customFormat="1" ht="15" customHeight="1" x14ac:dyDescent="0.25"/>
    <row r="717" s="79" customFormat="1" ht="15" customHeight="1" x14ac:dyDescent="0.25"/>
    <row r="718" s="79" customFormat="1" ht="15" customHeight="1" x14ac:dyDescent="0.25"/>
    <row r="719" s="79" customFormat="1" ht="15" customHeight="1" x14ac:dyDescent="0.25"/>
    <row r="720" s="79" customFormat="1" ht="15" customHeight="1" x14ac:dyDescent="0.25"/>
    <row r="721" s="79" customFormat="1" ht="15" customHeight="1" x14ac:dyDescent="0.25"/>
    <row r="722" s="79" customFormat="1" ht="15" customHeight="1" x14ac:dyDescent="0.25"/>
    <row r="723" s="79" customFormat="1" ht="15" customHeight="1" x14ac:dyDescent="0.25"/>
    <row r="724" s="79" customFormat="1" ht="15" customHeight="1" x14ac:dyDescent="0.25"/>
    <row r="725" s="79" customFormat="1" ht="15" customHeight="1" x14ac:dyDescent="0.25"/>
    <row r="726" s="79" customFormat="1" ht="15" customHeight="1" x14ac:dyDescent="0.25"/>
    <row r="727" s="79" customFormat="1" ht="15" customHeight="1" x14ac:dyDescent="0.25"/>
    <row r="728" s="79" customFormat="1" ht="15" customHeight="1" x14ac:dyDescent="0.25"/>
    <row r="729" s="79" customFormat="1" ht="15" customHeight="1" x14ac:dyDescent="0.25"/>
    <row r="730" s="79" customFormat="1" ht="15" customHeight="1" x14ac:dyDescent="0.25"/>
    <row r="731" s="79" customFormat="1" ht="15" customHeight="1" x14ac:dyDescent="0.25"/>
    <row r="732" s="79" customFormat="1" ht="15" customHeight="1" x14ac:dyDescent="0.25"/>
    <row r="733" s="79" customFormat="1" ht="15" customHeight="1" x14ac:dyDescent="0.25"/>
    <row r="734" s="79" customFormat="1" ht="15" customHeight="1" x14ac:dyDescent="0.25"/>
    <row r="735" s="79" customFormat="1" ht="15" customHeight="1" x14ac:dyDescent="0.25"/>
    <row r="736" s="79" customFormat="1" ht="15" customHeight="1" x14ac:dyDescent="0.25"/>
    <row r="737" s="79" customFormat="1" ht="15" customHeight="1" x14ac:dyDescent="0.25"/>
    <row r="738" s="79" customFormat="1" ht="15" customHeight="1" x14ac:dyDescent="0.25"/>
    <row r="739" s="79" customFormat="1" ht="15" customHeight="1" x14ac:dyDescent="0.25"/>
    <row r="740" s="79" customFormat="1" ht="15" customHeight="1" x14ac:dyDescent="0.25"/>
    <row r="741" s="79" customFormat="1" ht="15" customHeight="1" x14ac:dyDescent="0.25"/>
    <row r="742" s="79" customFormat="1" ht="15" customHeight="1" x14ac:dyDescent="0.25"/>
    <row r="743" s="79" customFormat="1" ht="15" customHeight="1" x14ac:dyDescent="0.25"/>
    <row r="744" s="79" customFormat="1" ht="15" customHeight="1" x14ac:dyDescent="0.25"/>
    <row r="745" s="79" customFormat="1" ht="15" customHeight="1" x14ac:dyDescent="0.25"/>
    <row r="746" s="79" customFormat="1" ht="15" customHeight="1" x14ac:dyDescent="0.25"/>
    <row r="747" s="79" customFormat="1" ht="15" customHeight="1" x14ac:dyDescent="0.25"/>
    <row r="748" s="79" customFormat="1" ht="15" customHeight="1" x14ac:dyDescent="0.25"/>
    <row r="749" s="79" customFormat="1" ht="15" customHeight="1" x14ac:dyDescent="0.25"/>
    <row r="750" s="79" customFormat="1" ht="15" customHeight="1" x14ac:dyDescent="0.25"/>
    <row r="751" s="79" customFormat="1" ht="15" customHeight="1" x14ac:dyDescent="0.25"/>
    <row r="752" s="79" customFormat="1" ht="15" customHeight="1" x14ac:dyDescent="0.25"/>
    <row r="753" s="79" customFormat="1" ht="15" customHeight="1" x14ac:dyDescent="0.25"/>
    <row r="754" s="79" customFormat="1" ht="15" customHeight="1" x14ac:dyDescent="0.25"/>
    <row r="755" s="79" customFormat="1" ht="15" customHeight="1" x14ac:dyDescent="0.25"/>
    <row r="756" s="79" customFormat="1" ht="15" customHeight="1" x14ac:dyDescent="0.25"/>
    <row r="757" s="79" customFormat="1" ht="15" customHeight="1" x14ac:dyDescent="0.25"/>
    <row r="758" s="79" customFormat="1" ht="15" customHeight="1" x14ac:dyDescent="0.25"/>
    <row r="759" s="79" customFormat="1" ht="15" customHeight="1" x14ac:dyDescent="0.25"/>
    <row r="760" s="79" customFormat="1" ht="15" customHeight="1" x14ac:dyDescent="0.25"/>
    <row r="761" s="79" customFormat="1" ht="15" customHeight="1" x14ac:dyDescent="0.25"/>
    <row r="762" s="79" customFormat="1" ht="15" customHeight="1" x14ac:dyDescent="0.25"/>
    <row r="763" s="79" customFormat="1" ht="15" customHeight="1" x14ac:dyDescent="0.25"/>
    <row r="764" s="79" customFormat="1" ht="15" customHeight="1" x14ac:dyDescent="0.25"/>
    <row r="765" s="79" customFormat="1" ht="15" customHeight="1" x14ac:dyDescent="0.25"/>
    <row r="766" s="79" customFormat="1" ht="15" customHeight="1" x14ac:dyDescent="0.25"/>
    <row r="767" s="79" customFormat="1" ht="15" customHeight="1" x14ac:dyDescent="0.25"/>
    <row r="768" s="79" customFormat="1" ht="15" customHeight="1" x14ac:dyDescent="0.25"/>
    <row r="769" s="79" customFormat="1" ht="15" customHeight="1" x14ac:dyDescent="0.25"/>
    <row r="770" s="79" customFormat="1" ht="15" customHeight="1" x14ac:dyDescent="0.25"/>
    <row r="771" s="79" customFormat="1" ht="15" customHeight="1" x14ac:dyDescent="0.25"/>
    <row r="772" s="79" customFormat="1" ht="15" customHeight="1" x14ac:dyDescent="0.25"/>
    <row r="773" s="79" customFormat="1" ht="15" customHeight="1" x14ac:dyDescent="0.25"/>
    <row r="774" s="79" customFormat="1" ht="15" customHeight="1" x14ac:dyDescent="0.25"/>
    <row r="775" s="79" customFormat="1" ht="15" customHeight="1" x14ac:dyDescent="0.25"/>
    <row r="776" s="79" customFormat="1" ht="15" customHeight="1" x14ac:dyDescent="0.25"/>
    <row r="777" s="79" customFormat="1" ht="15" customHeight="1" x14ac:dyDescent="0.25"/>
    <row r="778" s="79" customFormat="1" ht="15" customHeight="1" x14ac:dyDescent="0.25"/>
    <row r="779" s="79" customFormat="1" ht="15" customHeight="1" x14ac:dyDescent="0.25"/>
    <row r="780" s="79" customFormat="1" ht="15" customHeight="1" x14ac:dyDescent="0.25"/>
    <row r="781" s="79" customFormat="1" ht="15" customHeight="1" x14ac:dyDescent="0.25"/>
    <row r="782" s="79" customFormat="1" ht="15" customHeight="1" x14ac:dyDescent="0.25"/>
    <row r="783" s="79" customFormat="1" ht="15" customHeight="1" x14ac:dyDescent="0.25"/>
    <row r="784" s="79" customFormat="1" ht="15" customHeight="1" x14ac:dyDescent="0.25"/>
    <row r="785" s="79" customFormat="1" ht="15" customHeight="1" x14ac:dyDescent="0.25"/>
    <row r="786" s="79" customFormat="1" ht="15" customHeight="1" x14ac:dyDescent="0.25"/>
    <row r="787" s="79" customFormat="1" ht="15" customHeight="1" x14ac:dyDescent="0.25"/>
    <row r="788" s="79" customFormat="1" ht="15" customHeight="1" x14ac:dyDescent="0.25"/>
    <row r="789" s="79" customFormat="1" ht="15" customHeight="1" x14ac:dyDescent="0.25"/>
    <row r="790" s="79" customFormat="1" ht="15" customHeight="1" x14ac:dyDescent="0.25"/>
    <row r="791" s="79" customFormat="1" ht="15" customHeight="1" x14ac:dyDescent="0.25"/>
    <row r="792" s="79" customFormat="1" ht="15" customHeight="1" x14ac:dyDescent="0.25"/>
    <row r="793" s="79" customFormat="1" ht="15" customHeight="1" x14ac:dyDescent="0.25"/>
    <row r="794" s="79" customFormat="1" ht="15" customHeight="1" x14ac:dyDescent="0.25"/>
    <row r="795" s="79" customFormat="1" ht="15" customHeight="1" x14ac:dyDescent="0.25"/>
    <row r="796" s="79" customFormat="1" ht="15" customHeight="1" x14ac:dyDescent="0.25"/>
    <row r="797" s="79" customFormat="1" ht="15" customHeight="1" x14ac:dyDescent="0.25"/>
    <row r="798" s="79" customFormat="1" ht="15" customHeight="1" x14ac:dyDescent="0.25"/>
    <row r="799" s="79" customFormat="1" ht="15" customHeight="1" x14ac:dyDescent="0.25"/>
    <row r="800" s="79" customFormat="1" ht="15" customHeight="1" x14ac:dyDescent="0.25"/>
    <row r="801" s="79" customFormat="1" ht="15" customHeight="1" x14ac:dyDescent="0.25"/>
    <row r="802" s="79" customFormat="1" ht="15" customHeight="1" x14ac:dyDescent="0.25"/>
    <row r="803" s="79" customFormat="1" ht="15" customHeight="1" x14ac:dyDescent="0.25"/>
    <row r="804" s="79" customFormat="1" ht="15" customHeight="1" x14ac:dyDescent="0.25"/>
    <row r="805" s="79" customFormat="1" ht="15" customHeight="1" x14ac:dyDescent="0.25"/>
    <row r="806" s="79" customFormat="1" ht="15" customHeight="1" x14ac:dyDescent="0.25"/>
    <row r="807" s="79" customFormat="1" ht="15" customHeight="1" x14ac:dyDescent="0.25"/>
    <row r="808" s="79" customFormat="1" ht="15" customHeight="1" x14ac:dyDescent="0.25"/>
    <row r="809" s="79" customFormat="1" ht="15" customHeight="1" x14ac:dyDescent="0.25"/>
    <row r="810" s="79" customFormat="1" ht="15" customHeight="1" x14ac:dyDescent="0.25"/>
    <row r="811" s="79" customFormat="1" ht="15" customHeight="1" x14ac:dyDescent="0.25"/>
    <row r="812" s="79" customFormat="1" ht="15" customHeight="1" x14ac:dyDescent="0.25"/>
    <row r="813" s="79" customFormat="1" ht="15" customHeight="1" x14ac:dyDescent="0.25"/>
    <row r="814" s="79" customFormat="1" ht="15" customHeight="1" x14ac:dyDescent="0.25"/>
    <row r="815" s="79" customFormat="1" ht="15" customHeight="1" x14ac:dyDescent="0.25"/>
    <row r="816" s="79" customFormat="1" ht="15" customHeight="1" x14ac:dyDescent="0.25"/>
    <row r="817" s="79" customFormat="1" ht="15" customHeight="1" x14ac:dyDescent="0.25"/>
    <row r="818" s="79" customFormat="1" ht="15" customHeight="1" x14ac:dyDescent="0.25"/>
    <row r="819" s="79" customFormat="1" ht="15" customHeight="1" x14ac:dyDescent="0.25"/>
    <row r="820" s="79" customFormat="1" ht="15" customHeight="1" x14ac:dyDescent="0.25"/>
    <row r="821" s="79" customFormat="1" ht="15" customHeight="1" x14ac:dyDescent="0.25"/>
    <row r="822" s="79" customFormat="1" ht="15" customHeight="1" x14ac:dyDescent="0.25"/>
    <row r="823" s="79" customFormat="1" ht="15" customHeight="1" x14ac:dyDescent="0.25"/>
    <row r="824" s="79" customFormat="1" ht="15" customHeight="1" x14ac:dyDescent="0.25"/>
    <row r="825" s="79" customFormat="1" ht="15" customHeight="1" x14ac:dyDescent="0.25"/>
    <row r="826" s="79" customFormat="1" ht="15" customHeight="1" x14ac:dyDescent="0.25"/>
    <row r="827" s="79" customFormat="1" ht="15" customHeight="1" x14ac:dyDescent="0.25"/>
    <row r="828" s="79" customFormat="1" ht="15" customHeight="1" x14ac:dyDescent="0.25"/>
    <row r="829" s="79" customFormat="1" ht="15" customHeight="1" x14ac:dyDescent="0.25"/>
    <row r="830" s="79" customFormat="1" ht="15" customHeight="1" x14ac:dyDescent="0.25"/>
    <row r="831" s="79" customFormat="1" ht="15" customHeight="1" x14ac:dyDescent="0.25"/>
    <row r="832" s="79" customFormat="1" ht="15" customHeight="1" x14ac:dyDescent="0.25"/>
    <row r="833" s="79" customFormat="1" ht="15" customHeight="1" x14ac:dyDescent="0.25"/>
    <row r="834" s="79" customFormat="1" ht="15" customHeight="1" x14ac:dyDescent="0.25"/>
    <row r="835" s="79" customFormat="1" ht="15" customHeight="1" x14ac:dyDescent="0.25"/>
    <row r="836" s="79" customFormat="1" ht="15" customHeight="1" x14ac:dyDescent="0.25"/>
    <row r="837" s="79" customFormat="1" ht="15" customHeight="1" x14ac:dyDescent="0.25"/>
    <row r="838" s="79" customFormat="1" ht="15" customHeight="1" x14ac:dyDescent="0.25"/>
    <row r="839" s="79" customFormat="1" ht="15" customHeight="1" x14ac:dyDescent="0.25"/>
    <row r="840" s="79" customFormat="1" ht="15" customHeight="1" x14ac:dyDescent="0.25"/>
    <row r="841" s="79" customFormat="1" ht="15" customHeight="1" x14ac:dyDescent="0.25"/>
    <row r="842" s="79" customFormat="1" ht="15" customHeight="1" x14ac:dyDescent="0.25"/>
    <row r="843" s="79" customFormat="1" ht="15" customHeight="1" x14ac:dyDescent="0.25"/>
    <row r="844" s="79" customFormat="1" ht="15" customHeight="1" x14ac:dyDescent="0.25"/>
    <row r="845" s="79" customFormat="1" ht="15" customHeight="1" x14ac:dyDescent="0.25"/>
    <row r="846" s="79" customFormat="1" ht="15" customHeight="1" x14ac:dyDescent="0.25"/>
    <row r="847" s="79" customFormat="1" ht="15" customHeight="1" x14ac:dyDescent="0.25"/>
    <row r="848" s="79" customFormat="1" ht="15" customHeight="1" x14ac:dyDescent="0.25"/>
    <row r="849" s="79" customFormat="1" ht="15" customHeight="1" x14ac:dyDescent="0.25"/>
    <row r="850" s="79" customFormat="1" ht="15" customHeight="1" x14ac:dyDescent="0.25"/>
    <row r="851" s="79" customFormat="1" ht="15" customHeight="1" x14ac:dyDescent="0.25"/>
    <row r="852" s="79" customFormat="1" ht="15" customHeight="1" x14ac:dyDescent="0.25"/>
    <row r="853" s="79" customFormat="1" ht="15" customHeight="1" x14ac:dyDescent="0.25"/>
    <row r="854" s="79" customFormat="1" ht="15" customHeight="1" x14ac:dyDescent="0.25"/>
    <row r="855" s="79" customFormat="1" ht="15" customHeight="1" x14ac:dyDescent="0.25"/>
    <row r="856" s="79" customFormat="1" ht="15" customHeight="1" x14ac:dyDescent="0.25"/>
    <row r="857" s="79" customFormat="1" ht="15" customHeight="1" x14ac:dyDescent="0.25"/>
    <row r="858" s="79" customFormat="1" ht="15" customHeight="1" x14ac:dyDescent="0.25"/>
    <row r="859" s="79" customFormat="1" ht="15" customHeight="1" x14ac:dyDescent="0.25"/>
    <row r="860" s="79" customFormat="1" ht="15" customHeight="1" x14ac:dyDescent="0.25"/>
    <row r="861" s="79" customFormat="1" ht="15" customHeight="1" x14ac:dyDescent="0.25"/>
    <row r="862" s="79" customFormat="1" ht="15" customHeight="1" x14ac:dyDescent="0.25"/>
    <row r="863" s="79" customFormat="1" ht="15" customHeight="1" x14ac:dyDescent="0.25"/>
    <row r="864" s="79" customFormat="1" ht="15" customHeight="1" x14ac:dyDescent="0.25"/>
    <row r="865" s="79" customFormat="1" ht="15" customHeight="1" x14ac:dyDescent="0.25"/>
    <row r="866" s="79" customFormat="1" ht="15" customHeight="1" x14ac:dyDescent="0.25"/>
    <row r="867" s="79" customFormat="1" ht="15" customHeight="1" x14ac:dyDescent="0.25"/>
    <row r="868" s="79" customFormat="1" ht="15" customHeight="1" x14ac:dyDescent="0.25"/>
    <row r="869" s="79" customFormat="1" ht="15" customHeight="1" x14ac:dyDescent="0.25"/>
    <row r="870" s="79" customFormat="1" ht="15" customHeight="1" x14ac:dyDescent="0.25"/>
    <row r="871" s="79" customFormat="1" ht="15" customHeight="1" x14ac:dyDescent="0.25"/>
    <row r="872" s="79" customFormat="1" ht="15" customHeight="1" x14ac:dyDescent="0.25"/>
    <row r="873" s="79" customFormat="1" ht="15" customHeight="1" x14ac:dyDescent="0.25"/>
    <row r="874" s="79" customFormat="1" ht="15" customHeight="1" x14ac:dyDescent="0.25"/>
    <row r="875" s="79" customFormat="1" ht="15" customHeight="1" x14ac:dyDescent="0.25"/>
    <row r="876" s="79" customFormat="1" ht="15" customHeight="1" x14ac:dyDescent="0.25"/>
    <row r="877" s="79" customFormat="1" ht="15" customHeight="1" x14ac:dyDescent="0.25"/>
    <row r="878" s="79" customFormat="1" ht="15" customHeight="1" x14ac:dyDescent="0.25"/>
    <row r="879" s="79" customFormat="1" ht="15" customHeight="1" x14ac:dyDescent="0.25"/>
    <row r="880" s="79" customFormat="1" ht="15" customHeight="1" x14ac:dyDescent="0.25"/>
    <row r="881" s="79" customFormat="1" ht="15" customHeight="1" x14ac:dyDescent="0.25"/>
    <row r="882" s="79" customFormat="1" ht="15" customHeight="1" x14ac:dyDescent="0.25"/>
    <row r="883" s="79" customFormat="1" ht="15" customHeight="1" x14ac:dyDescent="0.25"/>
    <row r="884" s="79" customFormat="1" ht="15" customHeight="1" x14ac:dyDescent="0.25"/>
    <row r="885" s="79" customFormat="1" ht="15" customHeight="1" x14ac:dyDescent="0.25"/>
    <row r="886" s="79" customFormat="1" ht="15" customHeight="1" x14ac:dyDescent="0.25"/>
    <row r="887" s="79" customFormat="1" ht="15" customHeight="1" x14ac:dyDescent="0.25"/>
    <row r="888" s="79" customFormat="1" ht="15" customHeight="1" x14ac:dyDescent="0.25"/>
    <row r="889" s="79" customFormat="1" ht="15" customHeight="1" x14ac:dyDescent="0.25"/>
    <row r="890" s="79" customFormat="1" ht="15" customHeight="1" x14ac:dyDescent="0.25"/>
    <row r="891" s="79" customFormat="1" ht="15" customHeight="1" x14ac:dyDescent="0.25"/>
    <row r="892" s="79" customFormat="1" ht="15" customHeight="1" x14ac:dyDescent="0.25"/>
    <row r="893" s="79" customFormat="1" ht="15" customHeight="1" x14ac:dyDescent="0.25"/>
    <row r="894" s="79" customFormat="1" ht="15" customHeight="1" x14ac:dyDescent="0.25"/>
    <row r="895" s="79" customFormat="1" ht="15" customHeight="1" x14ac:dyDescent="0.25"/>
    <row r="896" s="79" customFormat="1" ht="15" customHeight="1" x14ac:dyDescent="0.25"/>
    <row r="897" s="79" customFormat="1" ht="15" customHeight="1" x14ac:dyDescent="0.25"/>
    <row r="898" s="79" customFormat="1" ht="15" customHeight="1" x14ac:dyDescent="0.25"/>
    <row r="899" s="79" customFormat="1" ht="15" customHeight="1" x14ac:dyDescent="0.25"/>
    <row r="900" s="79" customFormat="1" ht="15" customHeight="1" x14ac:dyDescent="0.25"/>
    <row r="901" s="79" customFormat="1" ht="15" customHeight="1" x14ac:dyDescent="0.25"/>
    <row r="902" s="79" customFormat="1" ht="15" customHeight="1" x14ac:dyDescent="0.25"/>
    <row r="903" s="79" customFormat="1" ht="15" customHeight="1" x14ac:dyDescent="0.25"/>
    <row r="904" s="79" customFormat="1" ht="15" customHeight="1" x14ac:dyDescent="0.25"/>
    <row r="905" s="79" customFormat="1" ht="15" customHeight="1" x14ac:dyDescent="0.25"/>
    <row r="906" s="79" customFormat="1" ht="15" customHeight="1" x14ac:dyDescent="0.25"/>
    <row r="907" s="79" customFormat="1" ht="15" customHeight="1" x14ac:dyDescent="0.25"/>
    <row r="908" s="79" customFormat="1" ht="15" customHeight="1" x14ac:dyDescent="0.25"/>
    <row r="909" s="79" customFormat="1" ht="15" customHeight="1" x14ac:dyDescent="0.25"/>
    <row r="910" s="79" customFormat="1" ht="15" customHeight="1" x14ac:dyDescent="0.25"/>
    <row r="911" s="79" customFormat="1" ht="15" customHeight="1" x14ac:dyDescent="0.25"/>
    <row r="912" s="79" customFormat="1" ht="15" customHeight="1" x14ac:dyDescent="0.25"/>
    <row r="913" s="79" customFormat="1" ht="15" customHeight="1" x14ac:dyDescent="0.25"/>
    <row r="914" s="79" customFormat="1" ht="15" customHeight="1" x14ac:dyDescent="0.25"/>
    <row r="915" s="79" customFormat="1" ht="15" customHeight="1" x14ac:dyDescent="0.25"/>
    <row r="916" s="79" customFormat="1" ht="15" customHeight="1" x14ac:dyDescent="0.25"/>
    <row r="917" s="79" customFormat="1" ht="15" customHeight="1" x14ac:dyDescent="0.25"/>
    <row r="918" s="79" customFormat="1" ht="15" customHeight="1" x14ac:dyDescent="0.25"/>
    <row r="919" s="79" customFormat="1" ht="15" customHeight="1" x14ac:dyDescent="0.25"/>
    <row r="920" s="79" customFormat="1" ht="15" customHeight="1" x14ac:dyDescent="0.25"/>
    <row r="921" s="79" customFormat="1" ht="15" customHeight="1" x14ac:dyDescent="0.25"/>
    <row r="922" s="79" customFormat="1" ht="15" customHeight="1" x14ac:dyDescent="0.25"/>
    <row r="923" s="79" customFormat="1" ht="15" customHeight="1" x14ac:dyDescent="0.25"/>
    <row r="924" s="79" customFormat="1" ht="15" customHeight="1" x14ac:dyDescent="0.25"/>
    <row r="925" s="79" customFormat="1" ht="15" customHeight="1" x14ac:dyDescent="0.25"/>
    <row r="926" s="79" customFormat="1" ht="15" customHeight="1" x14ac:dyDescent="0.25"/>
    <row r="927" s="79" customFormat="1" ht="15" customHeight="1" x14ac:dyDescent="0.25"/>
    <row r="928" s="79" customFormat="1" ht="15" customHeight="1" x14ac:dyDescent="0.25"/>
    <row r="929" s="79" customFormat="1" ht="15" customHeight="1" x14ac:dyDescent="0.25"/>
    <row r="930" s="79" customFormat="1" ht="15" customHeight="1" x14ac:dyDescent="0.25"/>
    <row r="931" s="79" customFormat="1" ht="15" customHeight="1" x14ac:dyDescent="0.25"/>
    <row r="932" s="79" customFormat="1" ht="15" customHeight="1" x14ac:dyDescent="0.25"/>
    <row r="933" s="79" customFormat="1" ht="15" customHeight="1" x14ac:dyDescent="0.25"/>
    <row r="934" s="79" customFormat="1" ht="15" customHeight="1" x14ac:dyDescent="0.25"/>
    <row r="935" s="79" customFormat="1" ht="15" customHeight="1" x14ac:dyDescent="0.25"/>
    <row r="936" s="79" customFormat="1" ht="15" customHeight="1" x14ac:dyDescent="0.25"/>
    <row r="937" s="79" customFormat="1" ht="15" customHeight="1" x14ac:dyDescent="0.25"/>
    <row r="938" s="79" customFormat="1" ht="15" customHeight="1" x14ac:dyDescent="0.25"/>
    <row r="939" s="79" customFormat="1" ht="15" customHeight="1" x14ac:dyDescent="0.25"/>
    <row r="940" s="79" customFormat="1" ht="15" customHeight="1" x14ac:dyDescent="0.25"/>
    <row r="941" s="79" customFormat="1" ht="15" customHeight="1" x14ac:dyDescent="0.25"/>
    <row r="942" s="79" customFormat="1" ht="15" customHeight="1" x14ac:dyDescent="0.25"/>
    <row r="943" s="79" customFormat="1" ht="15" customHeight="1" x14ac:dyDescent="0.25"/>
    <row r="944" s="79" customFormat="1" ht="15" customHeight="1" x14ac:dyDescent="0.25"/>
    <row r="945" s="79" customFormat="1" ht="15" customHeight="1" x14ac:dyDescent="0.25"/>
    <row r="946" s="79" customFormat="1" ht="15" customHeight="1" x14ac:dyDescent="0.25"/>
    <row r="947" s="79" customFormat="1" ht="15" customHeight="1" x14ac:dyDescent="0.25"/>
    <row r="948" s="79" customFormat="1" ht="15" customHeight="1" x14ac:dyDescent="0.25"/>
    <row r="949" s="79" customFormat="1" ht="15" customHeight="1" x14ac:dyDescent="0.25"/>
    <row r="950" s="79" customFormat="1" ht="15" customHeight="1" x14ac:dyDescent="0.25"/>
    <row r="951" s="79" customFormat="1" ht="15" customHeight="1" x14ac:dyDescent="0.25"/>
    <row r="952" s="79" customFormat="1" ht="15" customHeight="1" x14ac:dyDescent="0.25"/>
    <row r="953" s="79" customFormat="1" ht="15" customHeight="1" x14ac:dyDescent="0.25"/>
    <row r="954" s="79" customFormat="1" ht="15" customHeight="1" x14ac:dyDescent="0.25"/>
    <row r="955" s="79" customFormat="1" ht="15" customHeight="1" x14ac:dyDescent="0.25"/>
    <row r="956" s="79" customFormat="1" ht="15" customHeight="1" x14ac:dyDescent="0.25"/>
    <row r="957" s="79" customFormat="1" ht="15" customHeight="1" x14ac:dyDescent="0.25"/>
    <row r="958" s="79" customFormat="1" ht="15" customHeight="1" x14ac:dyDescent="0.25"/>
    <row r="959" s="79" customFormat="1" ht="15" customHeight="1" x14ac:dyDescent="0.25"/>
    <row r="960" s="79" customFormat="1" ht="15" customHeight="1" x14ac:dyDescent="0.25"/>
    <row r="961" s="79" customFormat="1" ht="15" customHeight="1" x14ac:dyDescent="0.25"/>
    <row r="962" s="79" customFormat="1" ht="15" customHeight="1" x14ac:dyDescent="0.25"/>
    <row r="963" s="79" customFormat="1" ht="15" customHeight="1" x14ac:dyDescent="0.25"/>
    <row r="964" s="79" customFormat="1" ht="15" customHeight="1" x14ac:dyDescent="0.25"/>
    <row r="965" s="79" customFormat="1" ht="15" customHeight="1" x14ac:dyDescent="0.25"/>
    <row r="966" s="79" customFormat="1" ht="15" customHeight="1" x14ac:dyDescent="0.25"/>
    <row r="967" s="79" customFormat="1" ht="15" customHeight="1" x14ac:dyDescent="0.25"/>
    <row r="968" s="79" customFormat="1" ht="15" customHeight="1" x14ac:dyDescent="0.25"/>
    <row r="969" s="79" customFormat="1" ht="15" customHeight="1" x14ac:dyDescent="0.25"/>
    <row r="970" s="79" customFormat="1" ht="15" customHeight="1" x14ac:dyDescent="0.25"/>
    <row r="971" s="79" customFormat="1" ht="15" customHeight="1" x14ac:dyDescent="0.25"/>
    <row r="972" s="79" customFormat="1" ht="15" customHeight="1" x14ac:dyDescent="0.25"/>
    <row r="973" s="79" customFormat="1" ht="15" customHeight="1" x14ac:dyDescent="0.25"/>
    <row r="974" s="79" customFormat="1" ht="15" customHeight="1" x14ac:dyDescent="0.25"/>
    <row r="975" s="79" customFormat="1" ht="15" customHeight="1" x14ac:dyDescent="0.25"/>
    <row r="976" s="79" customFormat="1" ht="15" customHeight="1" x14ac:dyDescent="0.25"/>
    <row r="977" s="79" customFormat="1" ht="15" customHeight="1" x14ac:dyDescent="0.25"/>
    <row r="978" s="79" customFormat="1" ht="15" customHeight="1" x14ac:dyDescent="0.25"/>
    <row r="979" s="79" customFormat="1" ht="15" customHeight="1" x14ac:dyDescent="0.25"/>
    <row r="980" s="79" customFormat="1" ht="15" customHeight="1" x14ac:dyDescent="0.25"/>
    <row r="981" s="79" customFormat="1" ht="15" customHeight="1" x14ac:dyDescent="0.25"/>
    <row r="982" s="79" customFormat="1" ht="15" customHeight="1" x14ac:dyDescent="0.25"/>
    <row r="983" s="79" customFormat="1" ht="15" customHeight="1" x14ac:dyDescent="0.25"/>
    <row r="984" s="79" customFormat="1" ht="15" customHeight="1" x14ac:dyDescent="0.25"/>
    <row r="985" s="79" customFormat="1" ht="15" customHeight="1" x14ac:dyDescent="0.25"/>
    <row r="986" s="79" customFormat="1" ht="15" customHeight="1" x14ac:dyDescent="0.25"/>
    <row r="987" s="79" customFormat="1" ht="15" customHeight="1" x14ac:dyDescent="0.25"/>
    <row r="988" s="79" customFormat="1" ht="15" customHeight="1" x14ac:dyDescent="0.25"/>
    <row r="989" s="79" customFormat="1" ht="15" customHeight="1" x14ac:dyDescent="0.25"/>
    <row r="990" s="79" customFormat="1" ht="15" customHeight="1" x14ac:dyDescent="0.25"/>
    <row r="991" s="79" customFormat="1" ht="15" customHeight="1" x14ac:dyDescent="0.25"/>
    <row r="992" s="79" customFormat="1" ht="15" customHeight="1" x14ac:dyDescent="0.25"/>
    <row r="993" s="79" customFormat="1" ht="15" customHeight="1" x14ac:dyDescent="0.25"/>
    <row r="994" s="79" customFormat="1" ht="15" customHeight="1" x14ac:dyDescent="0.25"/>
    <row r="995" s="79" customFormat="1" ht="15" customHeight="1" x14ac:dyDescent="0.25"/>
    <row r="996" s="79" customFormat="1" ht="15" customHeight="1" x14ac:dyDescent="0.25"/>
    <row r="997" s="79" customFormat="1" ht="15" customHeight="1" x14ac:dyDescent="0.25"/>
    <row r="998" s="79" customFormat="1" ht="15" customHeight="1" x14ac:dyDescent="0.25"/>
    <row r="999" s="79" customFormat="1" ht="15" customHeight="1" x14ac:dyDescent="0.25"/>
    <row r="1000" s="79" customFormat="1" ht="15" customHeight="1" x14ac:dyDescent="0.25"/>
    <row r="1001" s="79" customFormat="1" ht="15" customHeight="1" x14ac:dyDescent="0.25"/>
    <row r="1002" s="79" customFormat="1" ht="15" customHeight="1" x14ac:dyDescent="0.25"/>
    <row r="1003" s="79" customFormat="1" ht="15" customHeight="1" x14ac:dyDescent="0.25"/>
    <row r="1004" s="79" customFormat="1" ht="15" customHeight="1" x14ac:dyDescent="0.25"/>
    <row r="1005" s="79" customFormat="1" ht="15" customHeight="1" x14ac:dyDescent="0.25"/>
    <row r="1006" s="79" customFormat="1" ht="15" customHeight="1" x14ac:dyDescent="0.25"/>
    <row r="1007" s="79" customFormat="1" ht="15" customHeight="1" x14ac:dyDescent="0.25"/>
    <row r="1008" s="79" customFormat="1" ht="15" customHeight="1" x14ac:dyDescent="0.25"/>
    <row r="1009" s="79" customFormat="1" ht="15" customHeight="1" x14ac:dyDescent="0.25"/>
    <row r="1010" s="79" customFormat="1" ht="15" customHeight="1" x14ac:dyDescent="0.25"/>
    <row r="1011" s="79" customFormat="1" ht="15" customHeight="1" x14ac:dyDescent="0.25"/>
    <row r="1012" s="79" customFormat="1" ht="15" customHeight="1" x14ac:dyDescent="0.25"/>
    <row r="1013" s="79" customFormat="1" ht="15" customHeight="1" x14ac:dyDescent="0.25"/>
    <row r="1014" s="79" customFormat="1" ht="15" customHeight="1" x14ac:dyDescent="0.25"/>
    <row r="1015" s="79" customFormat="1" ht="15" customHeight="1" x14ac:dyDescent="0.25"/>
    <row r="1016" s="79" customFormat="1" ht="15" customHeight="1" x14ac:dyDescent="0.25"/>
    <row r="1017" s="79" customFormat="1" ht="15" customHeight="1" x14ac:dyDescent="0.25"/>
    <row r="1018" s="79" customFormat="1" ht="15" customHeight="1" x14ac:dyDescent="0.25"/>
    <row r="1019" s="79" customFormat="1" ht="15" customHeight="1" x14ac:dyDescent="0.25"/>
    <row r="1020" s="79" customFormat="1" ht="15" customHeight="1" x14ac:dyDescent="0.25"/>
    <row r="1021" s="79" customFormat="1" ht="15" customHeight="1" x14ac:dyDescent="0.25"/>
    <row r="1022" s="79" customFormat="1" ht="15" customHeight="1" x14ac:dyDescent="0.25"/>
    <row r="1023" s="79" customFormat="1" ht="15" customHeight="1" x14ac:dyDescent="0.25"/>
    <row r="1024" s="79" customFormat="1" ht="15" customHeight="1" x14ac:dyDescent="0.25"/>
    <row r="1025" s="79" customFormat="1" ht="15" customHeight="1" x14ac:dyDescent="0.25"/>
    <row r="1026" s="79" customFormat="1" ht="15" customHeight="1" x14ac:dyDescent="0.25"/>
    <row r="1027" s="79" customFormat="1" ht="15" customHeight="1" x14ac:dyDescent="0.25"/>
    <row r="1028" s="79" customFormat="1" ht="15" customHeight="1" x14ac:dyDescent="0.25"/>
    <row r="1029" s="79" customFormat="1" ht="15" customHeight="1" x14ac:dyDescent="0.25"/>
    <row r="1030" s="79" customFormat="1" ht="15" customHeight="1" x14ac:dyDescent="0.25"/>
    <row r="1031" s="79" customFormat="1" ht="15" customHeight="1" x14ac:dyDescent="0.25"/>
    <row r="1032" s="79" customFormat="1" ht="15" customHeight="1" x14ac:dyDescent="0.25"/>
    <row r="1033" s="79" customFormat="1" ht="15" customHeight="1" x14ac:dyDescent="0.25"/>
    <row r="1034" s="79" customFormat="1" ht="15" customHeight="1" x14ac:dyDescent="0.25"/>
    <row r="1035" s="79" customFormat="1" ht="15" customHeight="1" x14ac:dyDescent="0.25"/>
    <row r="1036" s="79" customFormat="1" ht="15" customHeight="1" x14ac:dyDescent="0.25"/>
    <row r="1037" s="79" customFormat="1" ht="15" customHeight="1" x14ac:dyDescent="0.25"/>
    <row r="1038" s="79" customFormat="1" ht="15" customHeight="1" x14ac:dyDescent="0.25"/>
    <row r="1039" s="79" customFormat="1" ht="15" customHeight="1" x14ac:dyDescent="0.25"/>
    <row r="1040" s="79" customFormat="1" ht="15" customHeight="1" x14ac:dyDescent="0.25"/>
    <row r="1041" s="79" customFormat="1" ht="15" customHeight="1" x14ac:dyDescent="0.25"/>
    <row r="1042" s="79" customFormat="1" ht="15" customHeight="1" x14ac:dyDescent="0.25"/>
    <row r="1043" s="79" customFormat="1" ht="15" customHeight="1" x14ac:dyDescent="0.25"/>
    <row r="1044" s="79" customFormat="1" ht="15" customHeight="1" x14ac:dyDescent="0.25"/>
    <row r="1045" s="79" customFormat="1" ht="15" customHeight="1" x14ac:dyDescent="0.25"/>
    <row r="1046" s="79" customFormat="1" ht="15" customHeight="1" x14ac:dyDescent="0.25"/>
    <row r="1047" s="79" customFormat="1" ht="15" customHeight="1" x14ac:dyDescent="0.25"/>
    <row r="1048" s="79" customFormat="1" ht="15" customHeight="1" x14ac:dyDescent="0.25"/>
    <row r="1049" s="79" customFormat="1" ht="15" customHeight="1" x14ac:dyDescent="0.25"/>
    <row r="1050" s="79" customFormat="1" ht="15" customHeight="1" x14ac:dyDescent="0.25"/>
    <row r="1051" s="79" customFormat="1" ht="15" customHeight="1" x14ac:dyDescent="0.25"/>
    <row r="1052" s="79" customFormat="1" ht="15" customHeight="1" x14ac:dyDescent="0.25"/>
    <row r="1053" s="79" customFormat="1" ht="15" customHeight="1" x14ac:dyDescent="0.25"/>
    <row r="1054" s="79" customFormat="1" ht="15" customHeight="1" x14ac:dyDescent="0.25"/>
    <row r="1055" s="79" customFormat="1" ht="15" customHeight="1" x14ac:dyDescent="0.25"/>
    <row r="1056" s="79" customFormat="1" ht="15" customHeight="1" x14ac:dyDescent="0.25"/>
    <row r="1057" s="79" customFormat="1" ht="15" customHeight="1" x14ac:dyDescent="0.25"/>
    <row r="1058" s="79" customFormat="1" ht="15" customHeight="1" x14ac:dyDescent="0.25"/>
    <row r="1059" s="79" customFormat="1" ht="15" customHeight="1" x14ac:dyDescent="0.25"/>
    <row r="1060" s="79" customFormat="1" ht="15" customHeight="1" x14ac:dyDescent="0.25"/>
    <row r="1061" s="79" customFormat="1" ht="15" customHeight="1" x14ac:dyDescent="0.25"/>
    <row r="1062" s="79" customFormat="1" ht="15" customHeight="1" x14ac:dyDescent="0.25"/>
    <row r="1063" s="79" customFormat="1" ht="15" customHeight="1" x14ac:dyDescent="0.25"/>
    <row r="1064" s="79" customFormat="1" ht="15" customHeight="1" x14ac:dyDescent="0.25"/>
    <row r="1065" s="79" customFormat="1" ht="15" customHeight="1" x14ac:dyDescent="0.25"/>
    <row r="1066" s="79" customFormat="1" ht="15" customHeight="1" x14ac:dyDescent="0.25"/>
    <row r="1067" s="79" customFormat="1" ht="15" customHeight="1" x14ac:dyDescent="0.25"/>
    <row r="1068" s="79" customFormat="1" ht="15" customHeight="1" x14ac:dyDescent="0.25"/>
    <row r="1069" s="79" customFormat="1" ht="15" customHeight="1" x14ac:dyDescent="0.25"/>
    <row r="1070" s="79" customFormat="1" ht="15" customHeight="1" x14ac:dyDescent="0.25"/>
    <row r="1071" s="79" customFormat="1" ht="15" customHeight="1" x14ac:dyDescent="0.25"/>
    <row r="1072" s="79" customFormat="1" ht="15" customHeight="1" x14ac:dyDescent="0.25"/>
    <row r="1073" s="79" customFormat="1" ht="15" customHeight="1" x14ac:dyDescent="0.25"/>
    <row r="1074" s="79" customFormat="1" ht="15" customHeight="1" x14ac:dyDescent="0.25"/>
    <row r="1075" s="79" customFormat="1" ht="15" customHeight="1" x14ac:dyDescent="0.25"/>
    <row r="1076" s="79" customFormat="1" ht="15" customHeight="1" x14ac:dyDescent="0.25"/>
    <row r="1077" s="79" customFormat="1" ht="15" customHeight="1" x14ac:dyDescent="0.25"/>
    <row r="1078" s="79" customFormat="1" ht="15" customHeight="1" x14ac:dyDescent="0.25"/>
    <row r="1079" s="79" customFormat="1" ht="15" customHeight="1" x14ac:dyDescent="0.25"/>
    <row r="1080" s="79" customFormat="1" ht="15" customHeight="1" x14ac:dyDescent="0.25"/>
    <row r="1081" s="79" customFormat="1" ht="15" customHeight="1" x14ac:dyDescent="0.25"/>
    <row r="1082" s="79" customFormat="1" ht="15" customHeight="1" x14ac:dyDescent="0.25"/>
    <row r="1083" s="79" customFormat="1" ht="15" customHeight="1" x14ac:dyDescent="0.25"/>
    <row r="1084" s="79" customFormat="1" ht="15" customHeight="1" x14ac:dyDescent="0.25"/>
    <row r="1085" s="79" customFormat="1" ht="15" customHeight="1" x14ac:dyDescent="0.25"/>
    <row r="1086" s="79" customFormat="1" ht="15" customHeight="1" x14ac:dyDescent="0.25"/>
    <row r="1087" s="79" customFormat="1" ht="15" customHeight="1" x14ac:dyDescent="0.25"/>
    <row r="1088" s="79" customFormat="1" ht="15" customHeight="1" x14ac:dyDescent="0.25"/>
    <row r="1089" s="79" customFormat="1" ht="15" customHeight="1" x14ac:dyDescent="0.25"/>
    <row r="1090" s="79" customFormat="1" ht="15" customHeight="1" x14ac:dyDescent="0.25"/>
    <row r="1091" s="79" customFormat="1" ht="15" customHeight="1" x14ac:dyDescent="0.25"/>
    <row r="1092" s="79" customFormat="1" ht="15" customHeight="1" x14ac:dyDescent="0.25"/>
    <row r="1093" s="79" customFormat="1" ht="15" customHeight="1" x14ac:dyDescent="0.25"/>
    <row r="1094" s="79" customFormat="1" ht="15" customHeight="1" x14ac:dyDescent="0.25"/>
    <row r="1095" s="79" customFormat="1" ht="15" customHeight="1" x14ac:dyDescent="0.25"/>
    <row r="1096" s="79" customFormat="1" ht="15" customHeight="1" x14ac:dyDescent="0.25"/>
    <row r="1097" s="79" customFormat="1" ht="15" customHeight="1" x14ac:dyDescent="0.25"/>
    <row r="1098" s="79" customFormat="1" ht="15" customHeight="1" x14ac:dyDescent="0.25"/>
    <row r="1099" s="79" customFormat="1" ht="15" customHeight="1" x14ac:dyDescent="0.25"/>
    <row r="1100" s="79" customFormat="1" ht="15" customHeight="1" x14ac:dyDescent="0.25"/>
    <row r="1101" s="79" customFormat="1" ht="15" customHeight="1" x14ac:dyDescent="0.25"/>
    <row r="1102" s="79" customFormat="1" ht="15" customHeight="1" x14ac:dyDescent="0.25"/>
    <row r="1103" s="79" customFormat="1" ht="15" customHeight="1" x14ac:dyDescent="0.25"/>
    <row r="1104" s="79" customFormat="1" ht="15" customHeight="1" x14ac:dyDescent="0.25"/>
    <row r="1105" s="79" customFormat="1" ht="15" customHeight="1" x14ac:dyDescent="0.25"/>
    <row r="1106" s="79" customFormat="1" ht="15" customHeight="1" x14ac:dyDescent="0.25"/>
    <row r="1107" s="79" customFormat="1" ht="15" customHeight="1" x14ac:dyDescent="0.25"/>
    <row r="1108" s="79" customFormat="1" ht="15" customHeight="1" x14ac:dyDescent="0.25"/>
    <row r="1109" s="79" customFormat="1" ht="15" customHeight="1" x14ac:dyDescent="0.25"/>
    <row r="1110" s="79" customFormat="1" ht="15" customHeight="1" x14ac:dyDescent="0.25"/>
    <row r="1111" s="79" customFormat="1" ht="15" customHeight="1" x14ac:dyDescent="0.25"/>
    <row r="1112" s="79" customFormat="1" ht="15" customHeight="1" x14ac:dyDescent="0.25"/>
    <row r="1113" s="79" customFormat="1" ht="15" customHeight="1" x14ac:dyDescent="0.25"/>
    <row r="1114" s="79" customFormat="1" ht="15" customHeight="1" x14ac:dyDescent="0.25"/>
    <row r="1115" s="79" customFormat="1" ht="15" customHeight="1" x14ac:dyDescent="0.25"/>
    <row r="1116" s="79" customFormat="1" ht="15" customHeight="1" x14ac:dyDescent="0.25"/>
    <row r="1117" s="79" customFormat="1" ht="15" customHeight="1" x14ac:dyDescent="0.25"/>
    <row r="1118" s="79" customFormat="1" ht="15" customHeight="1" x14ac:dyDescent="0.25"/>
    <row r="1119" s="79" customFormat="1" ht="15" customHeight="1" x14ac:dyDescent="0.25"/>
    <row r="1120" s="79" customFormat="1" ht="15" customHeight="1" x14ac:dyDescent="0.25"/>
    <row r="1121" s="79" customFormat="1" ht="15" customHeight="1" x14ac:dyDescent="0.25"/>
    <row r="1122" s="79" customFormat="1" ht="15" customHeight="1" x14ac:dyDescent="0.25"/>
    <row r="1123" s="79" customFormat="1" ht="15" customHeight="1" x14ac:dyDescent="0.25"/>
    <row r="1124" s="79" customFormat="1" ht="15" customHeight="1" x14ac:dyDescent="0.25"/>
    <row r="1125" s="79" customFormat="1" ht="15" customHeight="1" x14ac:dyDescent="0.25"/>
    <row r="1126" s="79" customFormat="1" ht="15" customHeight="1" x14ac:dyDescent="0.25"/>
    <row r="1127" s="79" customFormat="1" ht="15" customHeight="1" x14ac:dyDescent="0.25"/>
    <row r="1128" s="79" customFormat="1" ht="15" customHeight="1" x14ac:dyDescent="0.25"/>
    <row r="1129" s="79" customFormat="1" ht="15" customHeight="1" x14ac:dyDescent="0.25"/>
    <row r="1130" s="79" customFormat="1" ht="15" customHeight="1" x14ac:dyDescent="0.25"/>
    <row r="1131" s="79" customFormat="1" ht="15" customHeight="1" x14ac:dyDescent="0.25"/>
    <row r="1132" s="79" customFormat="1" ht="15" customHeight="1" x14ac:dyDescent="0.25"/>
    <row r="1133" s="79" customFormat="1" ht="15" customHeight="1" x14ac:dyDescent="0.25"/>
    <row r="1134" s="79" customFormat="1" ht="15" customHeight="1" x14ac:dyDescent="0.25"/>
    <row r="1135" s="79" customFormat="1" ht="15" customHeight="1" x14ac:dyDescent="0.25"/>
    <row r="1136" s="79" customFormat="1" ht="15" customHeight="1" x14ac:dyDescent="0.25"/>
    <row r="1137" s="79" customFormat="1" ht="15" customHeight="1" x14ac:dyDescent="0.25"/>
    <row r="1138" s="79" customFormat="1" ht="15" customHeight="1" x14ac:dyDescent="0.25"/>
    <row r="1139" s="79" customFormat="1" ht="15" customHeight="1" x14ac:dyDescent="0.25"/>
    <row r="1140" s="79" customFormat="1" ht="15" customHeight="1" x14ac:dyDescent="0.25"/>
    <row r="1141" s="79" customFormat="1" ht="15" customHeight="1" x14ac:dyDescent="0.25"/>
    <row r="1142" s="79" customFormat="1" ht="15" customHeight="1" x14ac:dyDescent="0.25"/>
    <row r="1143" s="79" customFormat="1" ht="15" customHeight="1" x14ac:dyDescent="0.25"/>
    <row r="1144" s="79" customFormat="1" ht="15" customHeight="1" x14ac:dyDescent="0.25"/>
    <row r="1145" s="79" customFormat="1" ht="15" customHeight="1" x14ac:dyDescent="0.25"/>
    <row r="1146" s="79" customFormat="1" ht="15" customHeight="1" x14ac:dyDescent="0.25"/>
    <row r="1147" s="79" customFormat="1" ht="15" customHeight="1" x14ac:dyDescent="0.25"/>
    <row r="1148" s="79" customFormat="1" ht="15" customHeight="1" x14ac:dyDescent="0.25"/>
    <row r="1149" s="79" customFormat="1" ht="15" customHeight="1" x14ac:dyDescent="0.25"/>
    <row r="1150" s="79" customFormat="1" ht="15" customHeight="1" x14ac:dyDescent="0.25"/>
    <row r="1151" s="79" customFormat="1" ht="15" customHeight="1" x14ac:dyDescent="0.25"/>
    <row r="1152" s="79" customFormat="1" ht="15" customHeight="1" x14ac:dyDescent="0.25"/>
    <row r="1153" s="79" customFormat="1" ht="15" customHeight="1" x14ac:dyDescent="0.25"/>
    <row r="1154" s="79" customFormat="1" ht="15" customHeight="1" x14ac:dyDescent="0.25"/>
    <row r="1155" s="79" customFormat="1" ht="15" customHeight="1" x14ac:dyDescent="0.25"/>
    <row r="1156" s="79" customFormat="1" ht="15" customHeight="1" x14ac:dyDescent="0.25"/>
    <row r="1157" s="79" customFormat="1" ht="15" customHeight="1" x14ac:dyDescent="0.25"/>
    <row r="1158" s="79" customFormat="1" ht="15" customHeight="1" x14ac:dyDescent="0.25"/>
    <row r="1159" s="79" customFormat="1" ht="15" customHeight="1" x14ac:dyDescent="0.25"/>
    <row r="1160" s="79" customFormat="1" ht="15" customHeight="1" x14ac:dyDescent="0.25"/>
    <row r="1161" s="79" customFormat="1" ht="15" customHeight="1" x14ac:dyDescent="0.25"/>
    <row r="1162" s="79" customFormat="1" ht="15" customHeight="1" x14ac:dyDescent="0.25"/>
    <row r="1163" s="79" customFormat="1" ht="15" customHeight="1" x14ac:dyDescent="0.25"/>
    <row r="1164" s="79" customFormat="1" ht="15" customHeight="1" x14ac:dyDescent="0.25"/>
    <row r="1165" s="79" customFormat="1" ht="15" customHeight="1" x14ac:dyDescent="0.25"/>
    <row r="1166" s="79" customFormat="1" ht="15" customHeight="1" x14ac:dyDescent="0.25"/>
    <row r="1167" s="79" customFormat="1" ht="15" customHeight="1" x14ac:dyDescent="0.25"/>
    <row r="1168" s="79" customFormat="1" ht="15" customHeight="1" x14ac:dyDescent="0.25"/>
    <row r="1169" s="79" customFormat="1" ht="15" customHeight="1" x14ac:dyDescent="0.25"/>
    <row r="1170" s="79" customFormat="1" ht="15" customHeight="1" x14ac:dyDescent="0.25"/>
    <row r="1171" s="79" customFormat="1" ht="15" customHeight="1" x14ac:dyDescent="0.25"/>
    <row r="1172" s="79" customFormat="1" ht="15" customHeight="1" x14ac:dyDescent="0.25"/>
    <row r="1173" s="79" customFormat="1" ht="15" customHeight="1" x14ac:dyDescent="0.25"/>
    <row r="1174" s="79" customFormat="1" ht="15" customHeight="1" x14ac:dyDescent="0.25"/>
    <row r="1175" s="79" customFormat="1" ht="15" customHeight="1" x14ac:dyDescent="0.25"/>
    <row r="1176" s="79" customFormat="1" ht="15" customHeight="1" x14ac:dyDescent="0.25"/>
    <row r="1177" s="79" customFormat="1" ht="15" customHeight="1" x14ac:dyDescent="0.25"/>
    <row r="1178" s="79" customFormat="1" ht="15" customHeight="1" x14ac:dyDescent="0.25"/>
    <row r="1179" s="79" customFormat="1" ht="15" customHeight="1" x14ac:dyDescent="0.25"/>
    <row r="1180" s="79" customFormat="1" ht="15" customHeight="1" x14ac:dyDescent="0.25"/>
    <row r="1181" s="79" customFormat="1" ht="15" customHeight="1" x14ac:dyDescent="0.25"/>
    <row r="1182" s="79" customFormat="1" ht="15" customHeight="1" x14ac:dyDescent="0.25"/>
    <row r="1183" s="79" customFormat="1" ht="15" customHeight="1" x14ac:dyDescent="0.25"/>
    <row r="1184" s="79" customFormat="1" ht="15" customHeight="1" x14ac:dyDescent="0.25"/>
    <row r="1185" s="79" customFormat="1" ht="15" customHeight="1" x14ac:dyDescent="0.25"/>
    <row r="1186" s="79" customFormat="1" ht="15" customHeight="1" x14ac:dyDescent="0.25"/>
    <row r="1187" s="79" customFormat="1" ht="15" customHeight="1" x14ac:dyDescent="0.25"/>
    <row r="1188" s="79" customFormat="1" ht="15" customHeight="1" x14ac:dyDescent="0.25"/>
    <row r="1189" s="79" customFormat="1" ht="15" customHeight="1" x14ac:dyDescent="0.25"/>
    <row r="1190" s="79" customFormat="1" ht="15" customHeight="1" x14ac:dyDescent="0.25"/>
    <row r="1191" s="79" customFormat="1" ht="15" customHeight="1" x14ac:dyDescent="0.25"/>
    <row r="1192" s="79" customFormat="1" ht="15" customHeight="1" x14ac:dyDescent="0.25"/>
    <row r="1193" s="79" customFormat="1" ht="15" customHeight="1" x14ac:dyDescent="0.25"/>
    <row r="1194" s="79" customFormat="1" ht="15" customHeight="1" x14ac:dyDescent="0.25"/>
    <row r="1195" s="79" customFormat="1" ht="15" customHeight="1" x14ac:dyDescent="0.25"/>
    <row r="1196" s="79" customFormat="1" ht="15" customHeight="1" x14ac:dyDescent="0.25"/>
    <row r="1197" s="79" customFormat="1" ht="15" customHeight="1" x14ac:dyDescent="0.25"/>
    <row r="1198" s="79" customFormat="1" ht="15" customHeight="1" x14ac:dyDescent="0.25"/>
    <row r="1199" s="79" customFormat="1" ht="15" customHeight="1" x14ac:dyDescent="0.25"/>
    <row r="1200" s="79" customFormat="1" ht="15" customHeight="1" x14ac:dyDescent="0.25"/>
    <row r="1201" s="79" customFormat="1" ht="15" customHeight="1" x14ac:dyDescent="0.25"/>
    <row r="1202" s="79" customFormat="1" ht="15" customHeight="1" x14ac:dyDescent="0.25"/>
    <row r="1203" s="79" customFormat="1" ht="15" customHeight="1" x14ac:dyDescent="0.25"/>
    <row r="1204" s="79" customFormat="1" ht="15" customHeight="1" x14ac:dyDescent="0.25"/>
    <row r="1205" s="79" customFormat="1" ht="15" customHeight="1" x14ac:dyDescent="0.25"/>
    <row r="1206" s="79" customFormat="1" ht="15" customHeight="1" x14ac:dyDescent="0.25"/>
    <row r="1207" s="79" customFormat="1" ht="15" customHeight="1" x14ac:dyDescent="0.25"/>
    <row r="1208" s="79" customFormat="1" ht="15" customHeight="1" x14ac:dyDescent="0.25"/>
    <row r="1209" s="79" customFormat="1" ht="15" customHeight="1" x14ac:dyDescent="0.25"/>
    <row r="1210" s="79" customFormat="1" ht="15" customHeight="1" x14ac:dyDescent="0.25"/>
    <row r="1211" s="79" customFormat="1" ht="15" customHeight="1" x14ac:dyDescent="0.25"/>
    <row r="1212" s="79" customFormat="1" ht="15" customHeight="1" x14ac:dyDescent="0.25"/>
    <row r="1213" s="79" customFormat="1" ht="15" customHeight="1" x14ac:dyDescent="0.25"/>
    <row r="1214" s="79" customFormat="1" ht="15" customHeight="1" x14ac:dyDescent="0.25"/>
    <row r="1215" s="79" customFormat="1" ht="15" customHeight="1" x14ac:dyDescent="0.25"/>
    <row r="1216" s="79" customFormat="1" ht="15" customHeight="1" x14ac:dyDescent="0.25"/>
    <row r="1217" s="79" customFormat="1" ht="15" customHeight="1" x14ac:dyDescent="0.25"/>
    <row r="1218" s="79" customFormat="1" ht="15" customHeight="1" x14ac:dyDescent="0.25"/>
    <row r="1219" s="79" customFormat="1" ht="15" customHeight="1" x14ac:dyDescent="0.25"/>
    <row r="1220" s="79" customFormat="1" ht="15" customHeight="1" x14ac:dyDescent="0.25"/>
    <row r="1221" s="79" customFormat="1" ht="15" customHeight="1" x14ac:dyDescent="0.25"/>
    <row r="1222" s="79" customFormat="1" ht="15" customHeight="1" x14ac:dyDescent="0.25"/>
    <row r="1223" s="79" customFormat="1" ht="15" customHeight="1" x14ac:dyDescent="0.25"/>
    <row r="1224" s="79" customFormat="1" ht="15" customHeight="1" x14ac:dyDescent="0.25"/>
    <row r="1225" s="79" customFormat="1" ht="15" customHeight="1" x14ac:dyDescent="0.25"/>
    <row r="1226" s="79" customFormat="1" ht="15" customHeight="1" x14ac:dyDescent="0.25"/>
    <row r="1227" s="79" customFormat="1" ht="15" customHeight="1" x14ac:dyDescent="0.25"/>
    <row r="1228" s="79" customFormat="1" ht="15" customHeight="1" x14ac:dyDescent="0.25"/>
    <row r="1229" s="79" customFormat="1" ht="15" customHeight="1" x14ac:dyDescent="0.25"/>
    <row r="1230" s="79" customFormat="1" ht="15" customHeight="1" x14ac:dyDescent="0.25"/>
    <row r="1231" s="79" customFormat="1" ht="15" customHeight="1" x14ac:dyDescent="0.25"/>
    <row r="1232" s="79" customFormat="1" ht="15" customHeight="1" x14ac:dyDescent="0.25"/>
    <row r="1233" s="79" customFormat="1" ht="15" customHeight="1" x14ac:dyDescent="0.25"/>
    <row r="1234" s="79" customFormat="1" ht="15" customHeight="1" x14ac:dyDescent="0.25"/>
    <row r="1235" s="79" customFormat="1" ht="15" customHeight="1" x14ac:dyDescent="0.25"/>
    <row r="1236" s="79" customFormat="1" ht="15" customHeight="1" x14ac:dyDescent="0.25"/>
    <row r="1237" s="79" customFormat="1" ht="15" customHeight="1" x14ac:dyDescent="0.25"/>
    <row r="1238" s="79" customFormat="1" ht="15" customHeight="1" x14ac:dyDescent="0.25"/>
    <row r="1239" s="79" customFormat="1" ht="15" customHeight="1" x14ac:dyDescent="0.25"/>
    <row r="1240" s="79" customFormat="1" ht="15" customHeight="1" x14ac:dyDescent="0.25"/>
    <row r="1241" s="79" customFormat="1" ht="15" customHeight="1" x14ac:dyDescent="0.25"/>
    <row r="1242" s="79" customFormat="1" ht="15" customHeight="1" x14ac:dyDescent="0.25"/>
    <row r="1243" s="79" customFormat="1" ht="15" customHeight="1" x14ac:dyDescent="0.25"/>
    <row r="1244" s="79" customFormat="1" ht="15" customHeight="1" x14ac:dyDescent="0.25"/>
    <row r="1245" s="79" customFormat="1" ht="15" customHeight="1" x14ac:dyDescent="0.25"/>
    <row r="1246" s="79" customFormat="1" ht="15" customHeight="1" x14ac:dyDescent="0.25"/>
    <row r="1247" s="79" customFormat="1" ht="15" customHeight="1" x14ac:dyDescent="0.25"/>
    <row r="1248" s="79" customFormat="1" ht="15" customHeight="1" x14ac:dyDescent="0.25"/>
    <row r="1249" s="79" customFormat="1" ht="15" customHeight="1" x14ac:dyDescent="0.25"/>
    <row r="1250" s="79" customFormat="1" ht="15" customHeight="1" x14ac:dyDescent="0.25"/>
    <row r="1251" s="79" customFormat="1" ht="15" customHeight="1" x14ac:dyDescent="0.25"/>
    <row r="1252" s="79" customFormat="1" ht="15" customHeight="1" x14ac:dyDescent="0.25"/>
    <row r="1253" s="79" customFormat="1" ht="15" customHeight="1" x14ac:dyDescent="0.25"/>
    <row r="1254" s="79" customFormat="1" ht="15" customHeight="1" x14ac:dyDescent="0.25"/>
    <row r="1255" s="79" customFormat="1" ht="15" customHeight="1" x14ac:dyDescent="0.25"/>
    <row r="1256" s="79" customFormat="1" ht="15" customHeight="1" x14ac:dyDescent="0.25"/>
    <row r="1257" s="79" customFormat="1" ht="15" customHeight="1" x14ac:dyDescent="0.25"/>
    <row r="1258" s="79" customFormat="1" ht="15" customHeight="1" x14ac:dyDescent="0.25"/>
    <row r="1259" s="79" customFormat="1" ht="15" customHeight="1" x14ac:dyDescent="0.25"/>
    <row r="1260" s="79" customFormat="1" ht="15" customHeight="1" x14ac:dyDescent="0.25"/>
    <row r="1261" s="79" customFormat="1" ht="15" customHeight="1" x14ac:dyDescent="0.25"/>
    <row r="1262" s="79" customFormat="1" ht="15" customHeight="1" x14ac:dyDescent="0.25"/>
    <row r="1263" s="79" customFormat="1" ht="15" customHeight="1" x14ac:dyDescent="0.25"/>
    <row r="1264" s="79" customFormat="1" ht="15" customHeight="1" x14ac:dyDescent="0.25"/>
    <row r="1265" s="79" customFormat="1" ht="15" customHeight="1" x14ac:dyDescent="0.25"/>
    <row r="1266" s="79" customFormat="1" ht="15" customHeight="1" x14ac:dyDescent="0.25"/>
    <row r="1267" s="79" customFormat="1" ht="15" customHeight="1" x14ac:dyDescent="0.25"/>
    <row r="1268" s="79" customFormat="1" ht="15" customHeight="1" x14ac:dyDescent="0.25"/>
    <row r="1269" s="79" customFormat="1" ht="15" customHeight="1" x14ac:dyDescent="0.25"/>
    <row r="1270" s="79" customFormat="1" ht="15" customHeight="1" x14ac:dyDescent="0.25"/>
    <row r="1271" s="79" customFormat="1" ht="15" customHeight="1" x14ac:dyDescent="0.25"/>
    <row r="1272" s="79" customFormat="1" ht="15" customHeight="1" x14ac:dyDescent="0.25"/>
    <row r="1273" s="79" customFormat="1" ht="15" customHeight="1" x14ac:dyDescent="0.25"/>
    <row r="1274" s="79" customFormat="1" ht="15" customHeight="1" x14ac:dyDescent="0.25"/>
    <row r="1275" s="79" customFormat="1" ht="15" customHeight="1" x14ac:dyDescent="0.25"/>
    <row r="1276" s="79" customFormat="1" ht="15" customHeight="1" x14ac:dyDescent="0.25"/>
    <row r="1277" s="79" customFormat="1" ht="15" customHeight="1" x14ac:dyDescent="0.25"/>
    <row r="1278" s="79" customFormat="1" ht="15" customHeight="1" x14ac:dyDescent="0.25"/>
    <row r="1279" s="79" customFormat="1" ht="15" customHeight="1" x14ac:dyDescent="0.25"/>
    <row r="1280" s="79" customFormat="1" ht="15" customHeight="1" x14ac:dyDescent="0.25"/>
    <row r="1281" s="79" customFormat="1" ht="15" customHeight="1" x14ac:dyDescent="0.25"/>
    <row r="1282" s="79" customFormat="1" ht="15" customHeight="1" x14ac:dyDescent="0.25"/>
    <row r="1283" s="79" customFormat="1" ht="15" customHeight="1" x14ac:dyDescent="0.25"/>
    <row r="1284" s="79" customFormat="1" ht="15" customHeight="1" x14ac:dyDescent="0.25"/>
    <row r="1285" s="79" customFormat="1" ht="15" customHeight="1" x14ac:dyDescent="0.25"/>
    <row r="1286" s="79" customFormat="1" ht="15" customHeight="1" x14ac:dyDescent="0.25"/>
    <row r="1287" s="79" customFormat="1" ht="15" customHeight="1" x14ac:dyDescent="0.25"/>
    <row r="1288" s="79" customFormat="1" ht="15" customHeight="1" x14ac:dyDescent="0.25"/>
    <row r="1289" s="79" customFormat="1" ht="15" customHeight="1" x14ac:dyDescent="0.25"/>
    <row r="1290" s="79" customFormat="1" ht="15" customHeight="1" x14ac:dyDescent="0.25"/>
    <row r="1291" s="79" customFormat="1" ht="15" customHeight="1" x14ac:dyDescent="0.25"/>
    <row r="1292" s="79" customFormat="1" ht="15" customHeight="1" x14ac:dyDescent="0.25"/>
    <row r="1293" s="79" customFormat="1" ht="15" customHeight="1" x14ac:dyDescent="0.25"/>
    <row r="1294" s="79" customFormat="1" ht="15" customHeight="1" x14ac:dyDescent="0.25"/>
    <row r="1295" s="79" customFormat="1" ht="15" customHeight="1" x14ac:dyDescent="0.25"/>
    <row r="1296" s="79" customFormat="1" ht="15" customHeight="1" x14ac:dyDescent="0.25"/>
    <row r="1297" s="79" customFormat="1" ht="15" customHeight="1" x14ac:dyDescent="0.25"/>
    <row r="1298" s="79" customFormat="1" ht="15" customHeight="1" x14ac:dyDescent="0.25"/>
    <row r="1299" s="79" customFormat="1" ht="15" customHeight="1" x14ac:dyDescent="0.25"/>
    <row r="1300" s="79" customFormat="1" ht="15" customHeight="1" x14ac:dyDescent="0.25"/>
    <row r="1301" s="79" customFormat="1" ht="15" customHeight="1" x14ac:dyDescent="0.25"/>
    <row r="1302" s="79" customFormat="1" ht="15" customHeight="1" x14ac:dyDescent="0.25"/>
    <row r="1303" s="79" customFormat="1" ht="15" customHeight="1" x14ac:dyDescent="0.25"/>
    <row r="1304" s="79" customFormat="1" ht="15" customHeight="1" x14ac:dyDescent="0.25"/>
    <row r="1305" s="79" customFormat="1" ht="15" customHeight="1" x14ac:dyDescent="0.25"/>
    <row r="1306" s="79" customFormat="1" ht="15" customHeight="1" x14ac:dyDescent="0.25"/>
    <row r="1307" s="79" customFormat="1" ht="15" customHeight="1" x14ac:dyDescent="0.25"/>
    <row r="1308" s="79" customFormat="1" ht="15" customHeight="1" x14ac:dyDescent="0.25"/>
    <row r="1309" s="79" customFormat="1" ht="15" customHeight="1" x14ac:dyDescent="0.25"/>
    <row r="1310" s="79" customFormat="1" ht="15" customHeight="1" x14ac:dyDescent="0.25"/>
    <row r="1311" s="79" customFormat="1" ht="15" customHeight="1" x14ac:dyDescent="0.25"/>
    <row r="1312" s="79" customFormat="1" ht="15" customHeight="1" x14ac:dyDescent="0.25"/>
    <row r="1313" s="79" customFormat="1" ht="15" customHeight="1" x14ac:dyDescent="0.25"/>
    <row r="1314" s="79" customFormat="1" ht="15" customHeight="1" x14ac:dyDescent="0.25"/>
    <row r="1315" s="79" customFormat="1" ht="15" customHeight="1" x14ac:dyDescent="0.25"/>
    <row r="1316" s="79" customFormat="1" ht="15" customHeight="1" x14ac:dyDescent="0.25"/>
    <row r="1317" s="79" customFormat="1" ht="15" customHeight="1" x14ac:dyDescent="0.25"/>
    <row r="1318" s="79" customFormat="1" ht="15" customHeight="1" x14ac:dyDescent="0.25"/>
    <row r="1319" s="79" customFormat="1" ht="15" customHeight="1" x14ac:dyDescent="0.25"/>
    <row r="1320" s="79" customFormat="1" ht="15" customHeight="1" x14ac:dyDescent="0.25"/>
    <row r="1321" s="79" customFormat="1" ht="15" customHeight="1" x14ac:dyDescent="0.25"/>
    <row r="1322" s="79" customFormat="1" ht="15" customHeight="1" x14ac:dyDescent="0.25"/>
    <row r="1323" s="79" customFormat="1" ht="15" customHeight="1" x14ac:dyDescent="0.25"/>
    <row r="1324" s="79" customFormat="1" ht="15" customHeight="1" x14ac:dyDescent="0.25"/>
    <row r="1325" s="79" customFormat="1" ht="15" customHeight="1" x14ac:dyDescent="0.25"/>
    <row r="1326" s="79" customFormat="1" ht="15" customHeight="1" x14ac:dyDescent="0.25"/>
    <row r="1327" s="79" customFormat="1" ht="15" customHeight="1" x14ac:dyDescent="0.25"/>
    <row r="1328" s="79" customFormat="1" ht="15" customHeight="1" x14ac:dyDescent="0.25"/>
    <row r="1329" s="79" customFormat="1" ht="15" customHeight="1" x14ac:dyDescent="0.25"/>
    <row r="1330" s="79" customFormat="1" ht="15" customHeight="1" x14ac:dyDescent="0.25"/>
    <row r="1331" s="79" customFormat="1" ht="15" customHeight="1" x14ac:dyDescent="0.25"/>
    <row r="1332" s="79" customFormat="1" ht="15" customHeight="1" x14ac:dyDescent="0.25"/>
    <row r="1333" s="79" customFormat="1" ht="15" customHeight="1" x14ac:dyDescent="0.25"/>
    <row r="1334" s="79" customFormat="1" ht="15" customHeight="1" x14ac:dyDescent="0.25"/>
    <row r="1335" s="79" customFormat="1" ht="15" customHeight="1" x14ac:dyDescent="0.25"/>
    <row r="1336" s="79" customFormat="1" ht="15" customHeight="1" x14ac:dyDescent="0.25"/>
    <row r="1337" s="79" customFormat="1" ht="15" customHeight="1" x14ac:dyDescent="0.25"/>
    <row r="1338" s="79" customFormat="1" ht="15" customHeight="1" x14ac:dyDescent="0.25"/>
    <row r="1339" s="79" customFormat="1" ht="15" customHeight="1" x14ac:dyDescent="0.25"/>
    <row r="1340" s="79" customFormat="1" ht="15" customHeight="1" x14ac:dyDescent="0.25"/>
    <row r="1341" s="79" customFormat="1" ht="15" customHeight="1" x14ac:dyDescent="0.25"/>
    <row r="1342" s="79" customFormat="1" ht="15" customHeight="1" x14ac:dyDescent="0.25"/>
    <row r="1343" s="79" customFormat="1" ht="15" customHeight="1" x14ac:dyDescent="0.25"/>
    <row r="1344" s="79" customFormat="1" ht="15" customHeight="1" x14ac:dyDescent="0.25"/>
    <row r="1345" s="79" customFormat="1" ht="15" customHeight="1" x14ac:dyDescent="0.25"/>
    <row r="1346" s="79" customFormat="1" ht="15" customHeight="1" x14ac:dyDescent="0.25"/>
    <row r="1347" s="79" customFormat="1" ht="15" customHeight="1" x14ac:dyDescent="0.25"/>
    <row r="1348" s="79" customFormat="1" ht="15" customHeight="1" x14ac:dyDescent="0.25"/>
    <row r="1349" s="79" customFormat="1" ht="15" customHeight="1" x14ac:dyDescent="0.25"/>
    <row r="1350" s="79" customFormat="1" ht="15" customHeight="1" x14ac:dyDescent="0.25"/>
    <row r="1351" s="79" customFormat="1" ht="15" customHeight="1" x14ac:dyDescent="0.25"/>
    <row r="1352" s="79" customFormat="1" ht="15" customHeight="1" x14ac:dyDescent="0.25"/>
    <row r="1353" s="79" customFormat="1" ht="15" customHeight="1" x14ac:dyDescent="0.25"/>
    <row r="1354" s="79" customFormat="1" ht="15" customHeight="1" x14ac:dyDescent="0.25"/>
    <row r="1355" s="79" customFormat="1" ht="15" customHeight="1" x14ac:dyDescent="0.25"/>
    <row r="1356" s="79" customFormat="1" ht="15" customHeight="1" x14ac:dyDescent="0.25"/>
    <row r="1357" s="79" customFormat="1" ht="15" customHeight="1" x14ac:dyDescent="0.25"/>
    <row r="1358" s="79" customFormat="1" ht="15" customHeight="1" x14ac:dyDescent="0.25"/>
    <row r="1359" s="79" customFormat="1" ht="15" customHeight="1" x14ac:dyDescent="0.25"/>
    <row r="1360" s="79" customFormat="1" ht="15" customHeight="1" x14ac:dyDescent="0.25"/>
    <row r="1361" s="79" customFormat="1" ht="15" customHeight="1" x14ac:dyDescent="0.25"/>
    <row r="1362" s="79" customFormat="1" ht="15" customHeight="1" x14ac:dyDescent="0.25"/>
    <row r="1363" s="79" customFormat="1" ht="15" customHeight="1" x14ac:dyDescent="0.25"/>
    <row r="1364" s="79" customFormat="1" ht="15" customHeight="1" x14ac:dyDescent="0.25"/>
    <row r="1365" s="79" customFormat="1" ht="15" customHeight="1" x14ac:dyDescent="0.25"/>
    <row r="1366" s="79" customFormat="1" ht="15" customHeight="1" x14ac:dyDescent="0.25"/>
    <row r="1367" s="79" customFormat="1" ht="15" customHeight="1" x14ac:dyDescent="0.25"/>
    <row r="1368" s="79" customFormat="1" ht="15" customHeight="1" x14ac:dyDescent="0.25"/>
    <row r="1369" s="79" customFormat="1" ht="15" customHeight="1" x14ac:dyDescent="0.25"/>
    <row r="1370" s="79" customFormat="1" ht="15" customHeight="1" x14ac:dyDescent="0.25"/>
    <row r="1371" s="79" customFormat="1" ht="15" customHeight="1" x14ac:dyDescent="0.25"/>
    <row r="1372" s="79" customFormat="1" ht="15" customHeight="1" x14ac:dyDescent="0.25"/>
    <row r="1373" s="79" customFormat="1" ht="15" customHeight="1" x14ac:dyDescent="0.25"/>
    <row r="1374" s="79" customFormat="1" ht="15" customHeight="1" x14ac:dyDescent="0.25"/>
    <row r="1375" s="79" customFormat="1" ht="15" customHeight="1" x14ac:dyDescent="0.25"/>
    <row r="1376" s="79" customFormat="1" ht="15" customHeight="1" x14ac:dyDescent="0.25"/>
    <row r="1377" s="79" customFormat="1" ht="15" customHeight="1" x14ac:dyDescent="0.25"/>
    <row r="1378" s="79" customFormat="1" ht="15" customHeight="1" x14ac:dyDescent="0.25"/>
    <row r="1379" s="79" customFormat="1" ht="15" customHeight="1" x14ac:dyDescent="0.25"/>
    <row r="1380" s="79" customFormat="1" ht="15" customHeight="1" x14ac:dyDescent="0.25"/>
    <row r="1381" s="79" customFormat="1" ht="15" customHeight="1" x14ac:dyDescent="0.25"/>
    <row r="1382" s="79" customFormat="1" ht="15" customHeight="1" x14ac:dyDescent="0.25"/>
    <row r="1383" s="79" customFormat="1" ht="15" customHeight="1" x14ac:dyDescent="0.25"/>
    <row r="1384" s="79" customFormat="1" ht="15" customHeight="1" x14ac:dyDescent="0.25"/>
    <row r="1385" s="79" customFormat="1" ht="15" customHeight="1" x14ac:dyDescent="0.25"/>
    <row r="1386" s="79" customFormat="1" ht="15" customHeight="1" x14ac:dyDescent="0.25"/>
    <row r="1387" s="79" customFormat="1" ht="15" customHeight="1" x14ac:dyDescent="0.25"/>
    <row r="1388" s="79" customFormat="1" ht="15" customHeight="1" x14ac:dyDescent="0.25"/>
    <row r="1389" s="79" customFormat="1" ht="15" customHeight="1" x14ac:dyDescent="0.25"/>
    <row r="1390" s="79" customFormat="1" ht="15" customHeight="1" x14ac:dyDescent="0.25"/>
    <row r="1391" s="79" customFormat="1" ht="15" customHeight="1" x14ac:dyDescent="0.25"/>
    <row r="1392" s="79" customFormat="1" ht="15" customHeight="1" x14ac:dyDescent="0.25"/>
    <row r="1393" s="79" customFormat="1" ht="15" customHeight="1" x14ac:dyDescent="0.25"/>
    <row r="1394" s="79" customFormat="1" ht="15" customHeight="1" x14ac:dyDescent="0.25"/>
    <row r="1395" s="79" customFormat="1" ht="15" customHeight="1" x14ac:dyDescent="0.25"/>
    <row r="1396" s="79" customFormat="1" ht="15" customHeight="1" x14ac:dyDescent="0.25"/>
    <row r="1397" s="79" customFormat="1" ht="15" customHeight="1" x14ac:dyDescent="0.25"/>
    <row r="1398" s="79" customFormat="1" ht="15" customHeight="1" x14ac:dyDescent="0.25"/>
    <row r="1399" s="79" customFormat="1" ht="15" customHeight="1" x14ac:dyDescent="0.25"/>
    <row r="1400" s="79" customFormat="1" ht="15" customHeight="1" x14ac:dyDescent="0.25"/>
    <row r="1401" s="79" customFormat="1" ht="15" customHeight="1" x14ac:dyDescent="0.25"/>
    <row r="1402" s="79" customFormat="1" ht="15" customHeight="1" x14ac:dyDescent="0.25"/>
    <row r="1403" s="79" customFormat="1" ht="15" customHeight="1" x14ac:dyDescent="0.25"/>
    <row r="1404" s="79" customFormat="1" ht="15" customHeight="1" x14ac:dyDescent="0.25"/>
    <row r="1405" s="79" customFormat="1" ht="15" customHeight="1" x14ac:dyDescent="0.25"/>
    <row r="1406" s="79" customFormat="1" ht="15" customHeight="1" x14ac:dyDescent="0.25"/>
    <row r="1407" s="79" customFormat="1" ht="15" customHeight="1" x14ac:dyDescent="0.25"/>
    <row r="1408" s="79" customFormat="1" ht="15" customHeight="1" x14ac:dyDescent="0.25"/>
    <row r="1409" s="79" customFormat="1" ht="15" customHeight="1" x14ac:dyDescent="0.25"/>
    <row r="1410" s="79" customFormat="1" ht="15" customHeight="1" x14ac:dyDescent="0.25"/>
    <row r="1411" s="79" customFormat="1" ht="15" customHeight="1" x14ac:dyDescent="0.25"/>
    <row r="1412" s="79" customFormat="1" ht="15" customHeight="1" x14ac:dyDescent="0.25"/>
    <row r="1413" s="79" customFormat="1" ht="15" customHeight="1" x14ac:dyDescent="0.25"/>
    <row r="1414" s="79" customFormat="1" ht="15" customHeight="1" x14ac:dyDescent="0.25"/>
    <row r="1415" s="79" customFormat="1" ht="15" customHeight="1" x14ac:dyDescent="0.25"/>
    <row r="1416" s="79" customFormat="1" ht="15" customHeight="1" x14ac:dyDescent="0.25"/>
    <row r="1417" s="79" customFormat="1" ht="15" customHeight="1" x14ac:dyDescent="0.25"/>
    <row r="1418" s="79" customFormat="1" ht="15" customHeight="1" x14ac:dyDescent="0.25"/>
    <row r="1419" s="79" customFormat="1" ht="15" customHeight="1" x14ac:dyDescent="0.25"/>
    <row r="1420" s="79" customFormat="1" ht="15" customHeight="1" x14ac:dyDescent="0.25"/>
    <row r="1421" s="79" customFormat="1" ht="15" customHeight="1" x14ac:dyDescent="0.25"/>
    <row r="1422" s="79" customFormat="1" ht="15" customHeight="1" x14ac:dyDescent="0.25"/>
    <row r="1423" s="79" customFormat="1" ht="15" customHeight="1" x14ac:dyDescent="0.25"/>
    <row r="1424" s="79" customFormat="1" ht="15" customHeight="1" x14ac:dyDescent="0.25"/>
    <row r="1425" s="79" customFormat="1" ht="15" customHeight="1" x14ac:dyDescent="0.25"/>
    <row r="1426" s="79" customFormat="1" ht="15" customHeight="1" x14ac:dyDescent="0.25"/>
    <row r="1427" s="79" customFormat="1" ht="15" customHeight="1" x14ac:dyDescent="0.25"/>
    <row r="1428" s="79" customFormat="1" ht="15" customHeight="1" x14ac:dyDescent="0.25"/>
    <row r="1429" s="79" customFormat="1" ht="15" customHeight="1" x14ac:dyDescent="0.25"/>
    <row r="1430" s="79" customFormat="1" ht="15" customHeight="1" x14ac:dyDescent="0.25"/>
    <row r="1431" s="79" customFormat="1" ht="15" customHeight="1" x14ac:dyDescent="0.25"/>
    <row r="1432" s="79" customFormat="1" ht="15" customHeight="1" x14ac:dyDescent="0.25"/>
    <row r="1433" s="79" customFormat="1" ht="15" customHeight="1" x14ac:dyDescent="0.25"/>
    <row r="1434" s="79" customFormat="1" ht="15" customHeight="1" x14ac:dyDescent="0.25"/>
    <row r="1435" s="79" customFormat="1" ht="15" customHeight="1" x14ac:dyDescent="0.25"/>
    <row r="1436" s="79" customFormat="1" ht="15" customHeight="1" x14ac:dyDescent="0.25"/>
    <row r="1437" s="79" customFormat="1" ht="15" customHeight="1" x14ac:dyDescent="0.25"/>
    <row r="1438" s="79" customFormat="1" ht="15" customHeight="1" x14ac:dyDescent="0.25"/>
    <row r="1439" s="79" customFormat="1" ht="15" customHeight="1" x14ac:dyDescent="0.25"/>
    <row r="1440" s="79" customFormat="1" ht="15" customHeight="1" x14ac:dyDescent="0.25"/>
    <row r="1441" s="79" customFormat="1" ht="15" customHeight="1" x14ac:dyDescent="0.25"/>
    <row r="1442" s="79" customFormat="1" ht="15" customHeight="1" x14ac:dyDescent="0.25"/>
    <row r="1443" s="79" customFormat="1" ht="15" customHeight="1" x14ac:dyDescent="0.25"/>
    <row r="1444" s="79" customFormat="1" ht="15" customHeight="1" x14ac:dyDescent="0.25"/>
    <row r="1445" s="79" customFormat="1" ht="15" customHeight="1" x14ac:dyDescent="0.25"/>
    <row r="1446" s="79" customFormat="1" ht="15" customHeight="1" x14ac:dyDescent="0.25"/>
    <row r="1447" s="79" customFormat="1" ht="15" customHeight="1" x14ac:dyDescent="0.25"/>
    <row r="1448" s="79" customFormat="1" ht="15" customHeight="1" x14ac:dyDescent="0.25"/>
    <row r="1449" s="79" customFormat="1" ht="15" customHeight="1" x14ac:dyDescent="0.25"/>
    <row r="1450" s="79" customFormat="1" ht="15" customHeight="1" x14ac:dyDescent="0.25"/>
    <row r="1451" s="79" customFormat="1" ht="15" customHeight="1" x14ac:dyDescent="0.25"/>
    <row r="1452" s="79" customFormat="1" ht="15" customHeight="1" x14ac:dyDescent="0.25"/>
    <row r="1453" s="79" customFormat="1" ht="15" customHeight="1" x14ac:dyDescent="0.25"/>
    <row r="1454" s="79" customFormat="1" ht="15" customHeight="1" x14ac:dyDescent="0.25"/>
    <row r="1455" s="79" customFormat="1" ht="15" customHeight="1" x14ac:dyDescent="0.25"/>
    <row r="1456" s="79" customFormat="1" ht="15" customHeight="1" x14ac:dyDescent="0.25"/>
    <row r="1457" s="79" customFormat="1" ht="15" customHeight="1" x14ac:dyDescent="0.25"/>
    <row r="1458" s="79" customFormat="1" ht="15" customHeight="1" x14ac:dyDescent="0.25"/>
    <row r="1459" s="79" customFormat="1" ht="15" customHeight="1" x14ac:dyDescent="0.25"/>
    <row r="1460" s="79" customFormat="1" ht="15" customHeight="1" x14ac:dyDescent="0.25"/>
    <row r="1461" s="79" customFormat="1" ht="15" customHeight="1" x14ac:dyDescent="0.25"/>
    <row r="1462" s="79" customFormat="1" ht="15" customHeight="1" x14ac:dyDescent="0.25"/>
    <row r="1463" s="79" customFormat="1" ht="15" customHeight="1" x14ac:dyDescent="0.25"/>
    <row r="1464" s="79" customFormat="1" ht="15" customHeight="1" x14ac:dyDescent="0.25"/>
    <row r="1465" s="79" customFormat="1" ht="15" customHeight="1" x14ac:dyDescent="0.25"/>
    <row r="1466" s="79" customFormat="1" ht="15" customHeight="1" x14ac:dyDescent="0.25"/>
    <row r="1467" s="79" customFormat="1" ht="15" customHeight="1" x14ac:dyDescent="0.25"/>
    <row r="1468" s="79" customFormat="1" ht="15" customHeight="1" x14ac:dyDescent="0.25"/>
    <row r="1469" s="79" customFormat="1" ht="15" customHeight="1" x14ac:dyDescent="0.25"/>
    <row r="1470" s="79" customFormat="1" ht="15" customHeight="1" x14ac:dyDescent="0.25"/>
    <row r="1471" s="79" customFormat="1" ht="15" customHeight="1" x14ac:dyDescent="0.25"/>
    <row r="1472" s="79" customFormat="1" ht="15" customHeight="1" x14ac:dyDescent="0.25"/>
    <row r="1473" s="79" customFormat="1" ht="15" customHeight="1" x14ac:dyDescent="0.25"/>
    <row r="1474" s="79" customFormat="1" ht="15" customHeight="1" x14ac:dyDescent="0.25"/>
    <row r="1475" s="79" customFormat="1" ht="15" customHeight="1" x14ac:dyDescent="0.25"/>
    <row r="1476" s="79" customFormat="1" ht="15" customHeight="1" x14ac:dyDescent="0.25"/>
    <row r="1477" s="79" customFormat="1" ht="15" customHeight="1" x14ac:dyDescent="0.25"/>
    <row r="1478" s="79" customFormat="1" ht="15" customHeight="1" x14ac:dyDescent="0.25"/>
    <row r="1479" s="79" customFormat="1" ht="15" customHeight="1" x14ac:dyDescent="0.25"/>
    <row r="1480" s="79" customFormat="1" ht="15" customHeight="1" x14ac:dyDescent="0.25"/>
    <row r="1481" s="79" customFormat="1" ht="15" customHeight="1" x14ac:dyDescent="0.25"/>
    <row r="1482" s="79" customFormat="1" ht="15" customHeight="1" x14ac:dyDescent="0.25"/>
    <row r="1483" s="79" customFormat="1" ht="15" customHeight="1" x14ac:dyDescent="0.25"/>
    <row r="1484" s="79" customFormat="1" ht="15" customHeight="1" x14ac:dyDescent="0.25"/>
    <row r="1485" s="79" customFormat="1" ht="15" customHeight="1" x14ac:dyDescent="0.25"/>
    <row r="1486" s="79" customFormat="1" ht="15" customHeight="1" x14ac:dyDescent="0.25"/>
    <row r="1487" s="79" customFormat="1" ht="15" customHeight="1" x14ac:dyDescent="0.25"/>
    <row r="1488" s="79" customFormat="1" ht="15" customHeight="1" x14ac:dyDescent="0.25"/>
    <row r="1489" s="79" customFormat="1" ht="15" customHeight="1" x14ac:dyDescent="0.25"/>
    <row r="1490" s="79" customFormat="1" ht="15" customHeight="1" x14ac:dyDescent="0.25"/>
    <row r="1491" s="79" customFormat="1" ht="15" customHeight="1" x14ac:dyDescent="0.25"/>
    <row r="1492" s="79" customFormat="1" ht="15" customHeight="1" x14ac:dyDescent="0.25"/>
    <row r="1493" s="79" customFormat="1" ht="15" customHeight="1" x14ac:dyDescent="0.25"/>
    <row r="1494" s="79" customFormat="1" ht="15" customHeight="1" x14ac:dyDescent="0.25"/>
    <row r="1495" s="79" customFormat="1" ht="15" customHeight="1" x14ac:dyDescent="0.25"/>
    <row r="1496" s="79" customFormat="1" ht="15" customHeight="1" x14ac:dyDescent="0.25"/>
    <row r="1497" s="79" customFormat="1" ht="15" customHeight="1" x14ac:dyDescent="0.25"/>
    <row r="1498" s="79" customFormat="1" ht="15" customHeight="1" x14ac:dyDescent="0.25"/>
    <row r="1499" s="79" customFormat="1" ht="15" customHeight="1" x14ac:dyDescent="0.25"/>
    <row r="1500" s="79" customFormat="1" ht="15" customHeight="1" x14ac:dyDescent="0.25"/>
    <row r="1501" s="79" customFormat="1" ht="15" customHeight="1" x14ac:dyDescent="0.25"/>
    <row r="1502" s="79" customFormat="1" ht="15" customHeight="1" x14ac:dyDescent="0.25"/>
    <row r="1503" s="79" customFormat="1" ht="15" customHeight="1" x14ac:dyDescent="0.25"/>
    <row r="1504" s="79" customFormat="1" ht="15" customHeight="1" x14ac:dyDescent="0.25"/>
    <row r="1505" s="79" customFormat="1" ht="15" customHeight="1" x14ac:dyDescent="0.25"/>
    <row r="1506" s="79" customFormat="1" ht="15" customHeight="1" x14ac:dyDescent="0.25"/>
    <row r="1507" s="79" customFormat="1" ht="15" customHeight="1" x14ac:dyDescent="0.25"/>
    <row r="1508" s="79" customFormat="1" ht="15" customHeight="1" x14ac:dyDescent="0.25"/>
    <row r="1509" s="79" customFormat="1" ht="15" customHeight="1" x14ac:dyDescent="0.25"/>
    <row r="1510" s="79" customFormat="1" ht="15" customHeight="1" x14ac:dyDescent="0.25"/>
    <row r="1511" s="79" customFormat="1" ht="15" customHeight="1" x14ac:dyDescent="0.25"/>
    <row r="1512" s="79" customFormat="1" ht="15" customHeight="1" x14ac:dyDescent="0.25"/>
    <row r="1513" s="79" customFormat="1" ht="15" customHeight="1" x14ac:dyDescent="0.25"/>
    <row r="1514" s="79" customFormat="1" ht="15" customHeight="1" x14ac:dyDescent="0.25"/>
  </sheetData>
  <sheetProtection selectLockedCells="1"/>
  <mergeCells count="6">
    <mergeCell ref="C2:AG2"/>
    <mergeCell ref="AH2:AH3"/>
    <mergeCell ref="AI2:AL3"/>
    <mergeCell ref="AM2:AP3"/>
    <mergeCell ref="AQ2:AR3"/>
    <mergeCell ref="A126:AH126"/>
  </mergeCells>
  <conditionalFormatting sqref="D65:AG65 C9:AG10 C5:AG6">
    <cfRule type="expression" priority="2139" stopIfTrue="1">
      <formula>C5=""</formula>
    </cfRule>
    <cfRule type="expression" dxfId="18404" priority="2140" stopIfTrue="1">
      <formula>C5=CléPersonnalisée2</formula>
    </cfRule>
    <cfRule type="expression" dxfId="18403" priority="2141" stopIfTrue="1">
      <formula>C5=CléPersonnalisée1</formula>
    </cfRule>
    <cfRule type="expression" dxfId="18402" priority="2142" stopIfTrue="1">
      <formula>C5=CléMaladie</formula>
    </cfRule>
    <cfRule type="expression" dxfId="18401" priority="2143" stopIfTrue="1">
      <formula>C5=CléPersonnelle</formula>
    </cfRule>
    <cfRule type="expression" dxfId="18400" priority="2144" stopIfTrue="1">
      <formula>C5=CléCongés</formula>
    </cfRule>
  </conditionalFormatting>
  <conditionalFormatting sqref="AH5:AH6 AH9:AH10">
    <cfRule type="dataBar" priority="2145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{EF9BBC8D-0B18-40BC-AAAB-8AB5BF8E28B0}</x14:id>
        </ext>
      </extLst>
    </cfRule>
  </conditionalFormatting>
  <conditionalFormatting sqref="AI5:AL6 AI9:AL11">
    <cfRule type="expression" priority="2133" stopIfTrue="1">
      <formula>AI5=""</formula>
    </cfRule>
    <cfRule type="expression" dxfId="18399" priority="2134" stopIfTrue="1">
      <formula>AI5=CléPersonnalisée2</formula>
    </cfRule>
    <cfRule type="expression" dxfId="18398" priority="2135" stopIfTrue="1">
      <formula>AI5=CléPersonnalisée1</formula>
    </cfRule>
    <cfRule type="expression" dxfId="18397" priority="2136" stopIfTrue="1">
      <formula>AI5=CléMaladie</formula>
    </cfRule>
    <cfRule type="expression" dxfId="18396" priority="2137" stopIfTrue="1">
      <formula>AI5=CléPersonnelle</formula>
    </cfRule>
    <cfRule type="expression" dxfId="18395" priority="2138" stopIfTrue="1">
      <formula>AI5=CléCongés</formula>
    </cfRule>
  </conditionalFormatting>
  <conditionalFormatting sqref="AM5:AP6 AM9:AP10">
    <cfRule type="expression" priority="2127" stopIfTrue="1">
      <formula>AM5=""</formula>
    </cfRule>
    <cfRule type="expression" dxfId="18394" priority="2128" stopIfTrue="1">
      <formula>AM5=CléPersonnalisée2</formula>
    </cfRule>
    <cfRule type="expression" dxfId="18393" priority="2129" stopIfTrue="1">
      <formula>AM5=CléPersonnalisée1</formula>
    </cfRule>
    <cfRule type="expression" dxfId="18392" priority="2130" stopIfTrue="1">
      <formula>AM5=CléMaladie</formula>
    </cfRule>
    <cfRule type="expression" dxfId="18391" priority="2131" stopIfTrue="1">
      <formula>AM5=CléPersonnelle</formula>
    </cfRule>
    <cfRule type="expression" dxfId="18390" priority="2132" stopIfTrue="1">
      <formula>AM5=CléCongés</formula>
    </cfRule>
  </conditionalFormatting>
  <conditionalFormatting sqref="AQ5:AR6 AQ9:AR10 AQ32:AR32 AQ44:AR44">
    <cfRule type="expression" priority="2121" stopIfTrue="1">
      <formula>AQ5=""</formula>
    </cfRule>
    <cfRule type="expression" dxfId="18389" priority="2122" stopIfTrue="1">
      <formula>AQ5=CléPersonnalisée2</formula>
    </cfRule>
    <cfRule type="expression" dxfId="18388" priority="2123" stopIfTrue="1">
      <formula>AQ5=CléPersonnalisée1</formula>
    </cfRule>
    <cfRule type="expression" dxfId="18387" priority="2124" stopIfTrue="1">
      <formula>AQ5=CléMaladie</formula>
    </cfRule>
    <cfRule type="expression" dxfId="18386" priority="2125" stopIfTrue="1">
      <formula>AQ5=CléPersonnelle</formula>
    </cfRule>
    <cfRule type="expression" dxfId="18385" priority="2126" stopIfTrue="1">
      <formula>AQ5=CléCongés</formula>
    </cfRule>
  </conditionalFormatting>
  <conditionalFormatting sqref="AP7:AP8">
    <cfRule type="expression" priority="2115" stopIfTrue="1">
      <formula>AP7=""</formula>
    </cfRule>
    <cfRule type="expression" dxfId="18384" priority="2116" stopIfTrue="1">
      <formula>AP7=CléPersonnalisée2</formula>
    </cfRule>
    <cfRule type="expression" dxfId="18383" priority="2117" stopIfTrue="1">
      <formula>AP7=CléPersonnalisée1</formula>
    </cfRule>
    <cfRule type="expression" dxfId="18382" priority="2118" stopIfTrue="1">
      <formula>AP7=CléMaladie</formula>
    </cfRule>
    <cfRule type="expression" dxfId="18381" priority="2119" stopIfTrue="1">
      <formula>AP7=CléPersonnelle</formula>
    </cfRule>
    <cfRule type="expression" dxfId="18380" priority="2120" stopIfTrue="1">
      <formula>AP7=CléCongés</formula>
    </cfRule>
  </conditionalFormatting>
  <conditionalFormatting sqref="AQ8:AR8 AR7">
    <cfRule type="expression" priority="2109" stopIfTrue="1">
      <formula>AQ7=""</formula>
    </cfRule>
    <cfRule type="expression" dxfId="18379" priority="2110" stopIfTrue="1">
      <formula>AQ7=CléPersonnalisée2</formula>
    </cfRule>
    <cfRule type="expression" dxfId="18378" priority="2111" stopIfTrue="1">
      <formula>AQ7=CléPersonnalisée1</formula>
    </cfRule>
    <cfRule type="expression" dxfId="18377" priority="2112" stopIfTrue="1">
      <formula>AQ7=CléMaladie</formula>
    </cfRule>
    <cfRule type="expression" dxfId="18376" priority="2113" stopIfTrue="1">
      <formula>AQ7=CléPersonnelle</formula>
    </cfRule>
    <cfRule type="expression" dxfId="18375" priority="2114" stopIfTrue="1">
      <formula>AQ7=CléCongés</formula>
    </cfRule>
  </conditionalFormatting>
  <conditionalFormatting sqref="AM11 AP11">
    <cfRule type="expression" priority="2103" stopIfTrue="1">
      <formula>AM11=""</formula>
    </cfRule>
    <cfRule type="expression" dxfId="18374" priority="2104" stopIfTrue="1">
      <formula>AM11=CléPersonnalisée2</formula>
    </cfRule>
    <cfRule type="expression" dxfId="18373" priority="2105" stopIfTrue="1">
      <formula>AM11=CléPersonnalisée1</formula>
    </cfRule>
    <cfRule type="expression" dxfId="18372" priority="2106" stopIfTrue="1">
      <formula>AM11=CléMaladie</formula>
    </cfRule>
    <cfRule type="expression" dxfId="18371" priority="2107" stopIfTrue="1">
      <formula>AM11=CléPersonnelle</formula>
    </cfRule>
    <cfRule type="expression" dxfId="18370" priority="2108" stopIfTrue="1">
      <formula>AM11=CléCongés</formula>
    </cfRule>
  </conditionalFormatting>
  <conditionalFormatting sqref="AQ48:AR48">
    <cfRule type="expression" priority="2097" stopIfTrue="1">
      <formula>AQ48=""</formula>
    </cfRule>
    <cfRule type="expression" dxfId="18369" priority="2098" stopIfTrue="1">
      <formula>AQ48=CléPersonnalisée2</formula>
    </cfRule>
    <cfRule type="expression" dxfId="18368" priority="2099" stopIfTrue="1">
      <formula>AQ48=CléPersonnalisée1</formula>
    </cfRule>
    <cfRule type="expression" dxfId="18367" priority="2100" stopIfTrue="1">
      <formula>AQ48=CléMaladie</formula>
    </cfRule>
    <cfRule type="expression" dxfId="18366" priority="2101" stopIfTrue="1">
      <formula>AQ48=CléPersonnelle</formula>
    </cfRule>
    <cfRule type="expression" dxfId="18365" priority="2102" stopIfTrue="1">
      <formula>AQ48=CléCongés</formula>
    </cfRule>
  </conditionalFormatting>
  <conditionalFormatting sqref="AQ52:AR52">
    <cfRule type="expression" priority="2091" stopIfTrue="1">
      <formula>AQ52=""</formula>
    </cfRule>
    <cfRule type="expression" dxfId="18364" priority="2092" stopIfTrue="1">
      <formula>AQ52=CléPersonnalisée2</formula>
    </cfRule>
    <cfRule type="expression" dxfId="18363" priority="2093" stopIfTrue="1">
      <formula>AQ52=CléPersonnalisée1</formula>
    </cfRule>
    <cfRule type="expression" dxfId="18362" priority="2094" stopIfTrue="1">
      <formula>AQ52=CléMaladie</formula>
    </cfRule>
    <cfRule type="expression" dxfId="18361" priority="2095" stopIfTrue="1">
      <formula>AQ52=CléPersonnelle</formula>
    </cfRule>
    <cfRule type="expression" dxfId="18360" priority="2096" stopIfTrue="1">
      <formula>AQ52=CléCongés</formula>
    </cfRule>
  </conditionalFormatting>
  <conditionalFormatting sqref="AQ56:AR56 AQ60:AR60">
    <cfRule type="expression" priority="2085" stopIfTrue="1">
      <formula>AQ56=""</formula>
    </cfRule>
    <cfRule type="expression" dxfId="18359" priority="2086" stopIfTrue="1">
      <formula>AQ56=CléPersonnalisée2</formula>
    </cfRule>
    <cfRule type="expression" dxfId="18358" priority="2087" stopIfTrue="1">
      <formula>AQ56=CléPersonnalisée1</formula>
    </cfRule>
    <cfRule type="expression" dxfId="18357" priority="2088" stopIfTrue="1">
      <formula>AQ56=CléMaladie</formula>
    </cfRule>
    <cfRule type="expression" dxfId="18356" priority="2089" stopIfTrue="1">
      <formula>AQ56=CléPersonnelle</formula>
    </cfRule>
    <cfRule type="expression" dxfId="18355" priority="2090" stopIfTrue="1">
      <formula>AQ56=CléCongés</formula>
    </cfRule>
  </conditionalFormatting>
  <conditionalFormatting sqref="AQ64:AR64 AQ68:AR68">
    <cfRule type="expression" priority="2079" stopIfTrue="1">
      <formula>AQ64=""</formula>
    </cfRule>
    <cfRule type="expression" dxfId="18354" priority="2080" stopIfTrue="1">
      <formula>AQ64=CléPersonnalisée2</formula>
    </cfRule>
    <cfRule type="expression" dxfId="18353" priority="2081" stopIfTrue="1">
      <formula>AQ64=CléPersonnalisée1</formula>
    </cfRule>
    <cfRule type="expression" dxfId="18352" priority="2082" stopIfTrue="1">
      <formula>AQ64=CléMaladie</formula>
    </cfRule>
    <cfRule type="expression" dxfId="18351" priority="2083" stopIfTrue="1">
      <formula>AQ64=CléPersonnelle</formula>
    </cfRule>
    <cfRule type="expression" dxfId="18350" priority="2084" stopIfTrue="1">
      <formula>AQ64=CléCongés</formula>
    </cfRule>
  </conditionalFormatting>
  <conditionalFormatting sqref="AQ72:AR72 AQ76:AR76 AQ84:AR84 AQ88:AR88 AQ92:AR92 AQ124:AR124 AQ80:AR80">
    <cfRule type="expression" priority="2073" stopIfTrue="1">
      <formula>AQ72=""</formula>
    </cfRule>
    <cfRule type="expression" dxfId="18349" priority="2074" stopIfTrue="1">
      <formula>AQ72=CléPersonnalisée2</formula>
    </cfRule>
    <cfRule type="expression" dxfId="18348" priority="2075" stopIfTrue="1">
      <formula>AQ72=CléPersonnalisée1</formula>
    </cfRule>
    <cfRule type="expression" dxfId="18347" priority="2076" stopIfTrue="1">
      <formula>AQ72=CléMaladie</formula>
    </cfRule>
    <cfRule type="expression" dxfId="18346" priority="2077" stopIfTrue="1">
      <formula>AQ72=CléPersonnelle</formula>
    </cfRule>
    <cfRule type="expression" dxfId="18345" priority="2078" stopIfTrue="1">
      <formula>AQ72=CléCongés</formula>
    </cfRule>
  </conditionalFormatting>
  <conditionalFormatting sqref="C17:AG18">
    <cfRule type="expression" priority="2067" stopIfTrue="1">
      <formula>C17=""</formula>
    </cfRule>
    <cfRule type="expression" dxfId="18344" priority="2068" stopIfTrue="1">
      <formula>C17=CléPersonnalisée2</formula>
    </cfRule>
    <cfRule type="expression" dxfId="18343" priority="2069" stopIfTrue="1">
      <formula>C17=CléPersonnalisée1</formula>
    </cfRule>
    <cfRule type="expression" dxfId="18342" priority="2070" stopIfTrue="1">
      <formula>C17=CléMaladie</formula>
    </cfRule>
    <cfRule type="expression" dxfId="18341" priority="2071" stopIfTrue="1">
      <formula>C17=CléPersonnelle</formula>
    </cfRule>
    <cfRule type="expression" dxfId="18340" priority="2072" stopIfTrue="1">
      <formula>C17=CléCongés</formula>
    </cfRule>
  </conditionalFormatting>
  <conditionalFormatting sqref="AJ17:AL19">
    <cfRule type="expression" priority="2061" stopIfTrue="1">
      <formula>AJ17=""</formula>
    </cfRule>
    <cfRule type="expression" dxfId="18339" priority="2062" stopIfTrue="1">
      <formula>AJ17=CléPersonnalisée2</formula>
    </cfRule>
    <cfRule type="expression" dxfId="18338" priority="2063" stopIfTrue="1">
      <formula>AJ17=CléPersonnalisée1</formula>
    </cfRule>
    <cfRule type="expression" dxfId="18337" priority="2064" stopIfTrue="1">
      <formula>AJ17=CléMaladie</formula>
    </cfRule>
    <cfRule type="expression" dxfId="18336" priority="2065" stopIfTrue="1">
      <formula>AJ17=CléPersonnelle</formula>
    </cfRule>
    <cfRule type="expression" dxfId="18335" priority="2066" stopIfTrue="1">
      <formula>AJ17=CléCongés</formula>
    </cfRule>
  </conditionalFormatting>
  <conditionalFormatting sqref="C21:AG22">
    <cfRule type="expression" priority="2043" stopIfTrue="1">
      <formula>C21=""</formula>
    </cfRule>
    <cfRule type="expression" dxfId="18324" priority="2044" stopIfTrue="1">
      <formula>C21=CléPersonnalisée2</formula>
    </cfRule>
    <cfRule type="expression" dxfId="18323" priority="2045" stopIfTrue="1">
      <formula>C21=CléPersonnalisée1</formula>
    </cfRule>
    <cfRule type="expression" dxfId="18322" priority="2046" stopIfTrue="1">
      <formula>C21=CléMaladie</formula>
    </cfRule>
    <cfRule type="expression" dxfId="18321" priority="2047" stopIfTrue="1">
      <formula>C21=CléPersonnelle</formula>
    </cfRule>
    <cfRule type="expression" dxfId="18320" priority="2048" stopIfTrue="1">
      <formula>C21=CléCongés</formula>
    </cfRule>
  </conditionalFormatting>
  <conditionalFormatting sqref="AJ21:AL23">
    <cfRule type="expression" priority="2037" stopIfTrue="1">
      <formula>AJ21=""</formula>
    </cfRule>
    <cfRule type="expression" dxfId="18319" priority="2038" stopIfTrue="1">
      <formula>AJ21=CléPersonnalisée2</formula>
    </cfRule>
    <cfRule type="expression" dxfId="18318" priority="2039" stopIfTrue="1">
      <formula>AJ21=CléPersonnalisée1</formula>
    </cfRule>
    <cfRule type="expression" dxfId="18317" priority="2040" stopIfTrue="1">
      <formula>AJ21=CléMaladie</formula>
    </cfRule>
    <cfRule type="expression" dxfId="18316" priority="2041" stopIfTrue="1">
      <formula>AJ21=CléPersonnelle</formula>
    </cfRule>
    <cfRule type="expression" dxfId="18315" priority="2042" stopIfTrue="1">
      <formula>AJ21=CléCongés</formula>
    </cfRule>
  </conditionalFormatting>
  <conditionalFormatting sqref="C25:AG26">
    <cfRule type="expression" priority="2019" stopIfTrue="1">
      <formula>C25=""</formula>
    </cfRule>
    <cfRule type="expression" dxfId="18304" priority="2020" stopIfTrue="1">
      <formula>C25=CléPersonnalisée2</formula>
    </cfRule>
    <cfRule type="expression" dxfId="18303" priority="2021" stopIfTrue="1">
      <formula>C25=CléPersonnalisée1</formula>
    </cfRule>
    <cfRule type="expression" dxfId="18302" priority="2022" stopIfTrue="1">
      <formula>C25=CléMaladie</formula>
    </cfRule>
    <cfRule type="expression" dxfId="18301" priority="2023" stopIfTrue="1">
      <formula>C25=CléPersonnelle</formula>
    </cfRule>
    <cfRule type="expression" dxfId="18300" priority="2024" stopIfTrue="1">
      <formula>C25=CléCongés</formula>
    </cfRule>
  </conditionalFormatting>
  <conditionalFormatting sqref="AI27:AL27 AJ25:AL26">
    <cfRule type="expression" priority="2013" stopIfTrue="1">
      <formula>AI25=""</formula>
    </cfRule>
    <cfRule type="expression" dxfId="18299" priority="2014" stopIfTrue="1">
      <formula>AI25=CléPersonnalisée2</formula>
    </cfRule>
    <cfRule type="expression" dxfId="18298" priority="2015" stopIfTrue="1">
      <formula>AI25=CléPersonnalisée1</formula>
    </cfRule>
    <cfRule type="expression" dxfId="18297" priority="2016" stopIfTrue="1">
      <formula>AI25=CléMaladie</formula>
    </cfRule>
    <cfRule type="expression" dxfId="18296" priority="2017" stopIfTrue="1">
      <formula>AI25=CléPersonnelle</formula>
    </cfRule>
    <cfRule type="expression" dxfId="18295" priority="2018" stopIfTrue="1">
      <formula>AI25=CléCongés</formula>
    </cfRule>
  </conditionalFormatting>
  <conditionalFormatting sqref="AM25:AP26">
    <cfRule type="expression" priority="2007" stopIfTrue="1">
      <formula>AM25=""</formula>
    </cfRule>
    <cfRule type="expression" dxfId="18294" priority="2008" stopIfTrue="1">
      <formula>AM25=CléPersonnalisée2</formula>
    </cfRule>
    <cfRule type="expression" dxfId="18293" priority="2009" stopIfTrue="1">
      <formula>AM25=CléPersonnalisée1</formula>
    </cfRule>
    <cfRule type="expression" dxfId="18292" priority="2010" stopIfTrue="1">
      <formula>AM25=CléMaladie</formula>
    </cfRule>
    <cfRule type="expression" dxfId="18291" priority="2011" stopIfTrue="1">
      <formula>AM25=CléPersonnelle</formula>
    </cfRule>
    <cfRule type="expression" dxfId="18290" priority="2012" stopIfTrue="1">
      <formula>AM25=CléCongés</formula>
    </cfRule>
  </conditionalFormatting>
  <conditionalFormatting sqref="AQ25:AR26">
    <cfRule type="expression" priority="2001" stopIfTrue="1">
      <formula>AQ25=""</formula>
    </cfRule>
    <cfRule type="expression" dxfId="18289" priority="2002" stopIfTrue="1">
      <formula>AQ25=CléPersonnalisée2</formula>
    </cfRule>
    <cfRule type="expression" dxfId="18288" priority="2003" stopIfTrue="1">
      <formula>AQ25=CléPersonnalisée1</formula>
    </cfRule>
    <cfRule type="expression" dxfId="18287" priority="2004" stopIfTrue="1">
      <formula>AQ25=CléMaladie</formula>
    </cfRule>
    <cfRule type="expression" dxfId="18286" priority="2005" stopIfTrue="1">
      <formula>AQ25=CléPersonnelle</formula>
    </cfRule>
    <cfRule type="expression" dxfId="18285" priority="2006" stopIfTrue="1">
      <formula>AQ25=CléCongés</formula>
    </cfRule>
  </conditionalFormatting>
  <conditionalFormatting sqref="AM27 AP27">
    <cfRule type="expression" priority="1995" stopIfTrue="1">
      <formula>AM27=""</formula>
    </cfRule>
    <cfRule type="expression" dxfId="18284" priority="1996" stopIfTrue="1">
      <formula>AM27=CléPersonnalisée2</formula>
    </cfRule>
    <cfRule type="expression" dxfId="18283" priority="1997" stopIfTrue="1">
      <formula>AM27=CléPersonnalisée1</formula>
    </cfRule>
    <cfRule type="expression" dxfId="18282" priority="1998" stopIfTrue="1">
      <formula>AM27=CléMaladie</formula>
    </cfRule>
    <cfRule type="expression" dxfId="18281" priority="1999" stopIfTrue="1">
      <formula>AM27=CléPersonnelle</formula>
    </cfRule>
    <cfRule type="expression" dxfId="18280" priority="2000" stopIfTrue="1">
      <formula>AM27=CléCongés</formula>
    </cfRule>
  </conditionalFormatting>
  <conditionalFormatting sqref="C29:AG30">
    <cfRule type="expression" priority="1989" stopIfTrue="1">
      <formula>C29=""</formula>
    </cfRule>
    <cfRule type="expression" dxfId="18279" priority="1990" stopIfTrue="1">
      <formula>C29=CléPersonnalisée2</formula>
    </cfRule>
    <cfRule type="expression" dxfId="18278" priority="1991" stopIfTrue="1">
      <formula>C29=CléPersonnalisée1</formula>
    </cfRule>
    <cfRule type="expression" dxfId="18277" priority="1992" stopIfTrue="1">
      <formula>C29=CléMaladie</formula>
    </cfRule>
    <cfRule type="expression" dxfId="18276" priority="1993" stopIfTrue="1">
      <formula>C29=CléPersonnelle</formula>
    </cfRule>
    <cfRule type="expression" dxfId="18275" priority="1994" stopIfTrue="1">
      <formula>C29=CléCongés</formula>
    </cfRule>
  </conditionalFormatting>
  <conditionalFormatting sqref="AI31:AL31 AJ29:AL30">
    <cfRule type="expression" priority="1983" stopIfTrue="1">
      <formula>AI29=""</formula>
    </cfRule>
    <cfRule type="expression" dxfId="18274" priority="1984" stopIfTrue="1">
      <formula>AI29=CléPersonnalisée2</formula>
    </cfRule>
    <cfRule type="expression" dxfId="18273" priority="1985" stopIfTrue="1">
      <formula>AI29=CléPersonnalisée1</formula>
    </cfRule>
    <cfRule type="expression" dxfId="18272" priority="1986" stopIfTrue="1">
      <formula>AI29=CléMaladie</formula>
    </cfRule>
    <cfRule type="expression" dxfId="18271" priority="1987" stopIfTrue="1">
      <formula>AI29=CléPersonnelle</formula>
    </cfRule>
    <cfRule type="expression" dxfId="18270" priority="1988" stopIfTrue="1">
      <formula>AI29=CléCongés</formula>
    </cfRule>
  </conditionalFormatting>
  <conditionalFormatting sqref="AM29:AP30">
    <cfRule type="expression" priority="1977" stopIfTrue="1">
      <formula>AM29=""</formula>
    </cfRule>
    <cfRule type="expression" dxfId="18269" priority="1978" stopIfTrue="1">
      <formula>AM29=CléPersonnalisée2</formula>
    </cfRule>
    <cfRule type="expression" dxfId="18268" priority="1979" stopIfTrue="1">
      <formula>AM29=CléPersonnalisée1</formula>
    </cfRule>
    <cfRule type="expression" dxfId="18267" priority="1980" stopIfTrue="1">
      <formula>AM29=CléMaladie</formula>
    </cfRule>
    <cfRule type="expression" dxfId="18266" priority="1981" stopIfTrue="1">
      <formula>AM29=CléPersonnelle</formula>
    </cfRule>
    <cfRule type="expression" dxfId="18265" priority="1982" stopIfTrue="1">
      <formula>AM29=CléCongés</formula>
    </cfRule>
  </conditionalFormatting>
  <conditionalFormatting sqref="AQ29:AR30">
    <cfRule type="expression" priority="1971" stopIfTrue="1">
      <formula>AQ29=""</formula>
    </cfRule>
    <cfRule type="expression" dxfId="18264" priority="1972" stopIfTrue="1">
      <formula>AQ29=CléPersonnalisée2</formula>
    </cfRule>
    <cfRule type="expression" dxfId="18263" priority="1973" stopIfTrue="1">
      <formula>AQ29=CléPersonnalisée1</formula>
    </cfRule>
    <cfRule type="expression" dxfId="18262" priority="1974" stopIfTrue="1">
      <formula>AQ29=CléMaladie</formula>
    </cfRule>
    <cfRule type="expression" dxfId="18261" priority="1975" stopIfTrue="1">
      <formula>AQ29=CléPersonnelle</formula>
    </cfRule>
    <cfRule type="expression" dxfId="18260" priority="1976" stopIfTrue="1">
      <formula>AQ29=CléCongés</formula>
    </cfRule>
  </conditionalFormatting>
  <conditionalFormatting sqref="AM31 AP31">
    <cfRule type="expression" priority="1965" stopIfTrue="1">
      <formula>AM31=""</formula>
    </cfRule>
    <cfRule type="expression" dxfId="18259" priority="1966" stopIfTrue="1">
      <formula>AM31=CléPersonnalisée2</formula>
    </cfRule>
    <cfRule type="expression" dxfId="18258" priority="1967" stopIfTrue="1">
      <formula>AM31=CléPersonnalisée1</formula>
    </cfRule>
    <cfRule type="expression" dxfId="18257" priority="1968" stopIfTrue="1">
      <formula>AM31=CléMaladie</formula>
    </cfRule>
    <cfRule type="expression" dxfId="18256" priority="1969" stopIfTrue="1">
      <formula>AM31=CléPersonnelle</formula>
    </cfRule>
    <cfRule type="expression" dxfId="18255" priority="1970" stopIfTrue="1">
      <formula>AM31=CléCongés</formula>
    </cfRule>
  </conditionalFormatting>
  <conditionalFormatting sqref="C33:AG34">
    <cfRule type="expression" priority="1958" stopIfTrue="1">
      <formula>C33=""</formula>
    </cfRule>
    <cfRule type="expression" dxfId="18254" priority="1959" stopIfTrue="1">
      <formula>C33=CléPersonnalisée2</formula>
    </cfRule>
    <cfRule type="expression" dxfId="18253" priority="1960" stopIfTrue="1">
      <formula>C33=CléPersonnalisée1</formula>
    </cfRule>
    <cfRule type="expression" dxfId="18252" priority="1961" stopIfTrue="1">
      <formula>C33=CléMaladie</formula>
    </cfRule>
    <cfRule type="expression" dxfId="18251" priority="1962" stopIfTrue="1">
      <formula>C33=CléPersonnelle</formula>
    </cfRule>
    <cfRule type="expression" dxfId="18250" priority="1963" stopIfTrue="1">
      <formula>C33=CléCongés</formula>
    </cfRule>
  </conditionalFormatting>
  <conditionalFormatting sqref="AH35">
    <cfRule type="dataBar" priority="1964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{C357F02C-86F1-4F90-ACC8-0C668681BBA4}</x14:id>
        </ext>
      </extLst>
    </cfRule>
  </conditionalFormatting>
  <conditionalFormatting sqref="AI35:AL35 AJ33:AL34">
    <cfRule type="expression" priority="1952" stopIfTrue="1">
      <formula>AI33=""</formula>
    </cfRule>
    <cfRule type="expression" dxfId="18249" priority="1953" stopIfTrue="1">
      <formula>AI33=CléPersonnalisée2</formula>
    </cfRule>
    <cfRule type="expression" dxfId="18248" priority="1954" stopIfTrue="1">
      <formula>AI33=CléPersonnalisée1</formula>
    </cfRule>
    <cfRule type="expression" dxfId="18247" priority="1955" stopIfTrue="1">
      <formula>AI33=CléMaladie</formula>
    </cfRule>
    <cfRule type="expression" dxfId="18246" priority="1956" stopIfTrue="1">
      <formula>AI33=CléPersonnelle</formula>
    </cfRule>
    <cfRule type="expression" dxfId="18245" priority="1957" stopIfTrue="1">
      <formula>AI33=CléCongés</formula>
    </cfRule>
  </conditionalFormatting>
  <conditionalFormatting sqref="AM33:AP34">
    <cfRule type="expression" priority="1946" stopIfTrue="1">
      <formula>AM33=""</formula>
    </cfRule>
    <cfRule type="expression" dxfId="18244" priority="1947" stopIfTrue="1">
      <formula>AM33=CléPersonnalisée2</formula>
    </cfRule>
    <cfRule type="expression" dxfId="18243" priority="1948" stopIfTrue="1">
      <formula>AM33=CléPersonnalisée1</formula>
    </cfRule>
    <cfRule type="expression" dxfId="18242" priority="1949" stopIfTrue="1">
      <formula>AM33=CléMaladie</formula>
    </cfRule>
    <cfRule type="expression" dxfId="18241" priority="1950" stopIfTrue="1">
      <formula>AM33=CléPersonnelle</formula>
    </cfRule>
    <cfRule type="expression" dxfId="18240" priority="1951" stopIfTrue="1">
      <formula>AM33=CléCongés</formula>
    </cfRule>
  </conditionalFormatting>
  <conditionalFormatting sqref="AQ33:AR34">
    <cfRule type="expression" priority="1940" stopIfTrue="1">
      <formula>AQ33=""</formula>
    </cfRule>
    <cfRule type="expression" dxfId="18239" priority="1941" stopIfTrue="1">
      <formula>AQ33=CléPersonnalisée2</formula>
    </cfRule>
    <cfRule type="expression" dxfId="18238" priority="1942" stopIfTrue="1">
      <formula>AQ33=CléPersonnalisée1</formula>
    </cfRule>
    <cfRule type="expression" dxfId="18237" priority="1943" stopIfTrue="1">
      <formula>AQ33=CléMaladie</formula>
    </cfRule>
    <cfRule type="expression" dxfId="18236" priority="1944" stopIfTrue="1">
      <formula>AQ33=CléPersonnelle</formula>
    </cfRule>
    <cfRule type="expression" dxfId="18235" priority="1945" stopIfTrue="1">
      <formula>AQ33=CléCongés</formula>
    </cfRule>
  </conditionalFormatting>
  <conditionalFormatting sqref="AM35 AP35">
    <cfRule type="expression" priority="1934" stopIfTrue="1">
      <formula>AM35=""</formula>
    </cfRule>
    <cfRule type="expression" dxfId="18234" priority="1935" stopIfTrue="1">
      <formula>AM35=CléPersonnalisée2</formula>
    </cfRule>
    <cfRule type="expression" dxfId="18233" priority="1936" stopIfTrue="1">
      <formula>AM35=CléPersonnalisée1</formula>
    </cfRule>
    <cfRule type="expression" dxfId="18232" priority="1937" stopIfTrue="1">
      <formula>AM35=CléMaladie</formula>
    </cfRule>
    <cfRule type="expression" dxfId="18231" priority="1938" stopIfTrue="1">
      <formula>AM35=CléPersonnelle</formula>
    </cfRule>
    <cfRule type="expression" dxfId="18230" priority="1939" stopIfTrue="1">
      <formula>AM35=CléCongés</formula>
    </cfRule>
  </conditionalFormatting>
  <conditionalFormatting sqref="D37:AG38">
    <cfRule type="expression" priority="1927" stopIfTrue="1">
      <formula>D37=""</formula>
    </cfRule>
    <cfRule type="expression" dxfId="18229" priority="1928" stopIfTrue="1">
      <formula>D37=CléPersonnalisée2</formula>
    </cfRule>
    <cfRule type="expression" dxfId="18228" priority="1929" stopIfTrue="1">
      <formula>D37=CléPersonnalisée1</formula>
    </cfRule>
    <cfRule type="expression" dxfId="18227" priority="1930" stopIfTrue="1">
      <formula>D37=CléMaladie</formula>
    </cfRule>
    <cfRule type="expression" dxfId="18226" priority="1931" stopIfTrue="1">
      <formula>D37=CléPersonnelle</formula>
    </cfRule>
    <cfRule type="expression" dxfId="18225" priority="1932" stopIfTrue="1">
      <formula>D37=CléCongés</formula>
    </cfRule>
  </conditionalFormatting>
  <conditionalFormatting sqref="AH39">
    <cfRule type="dataBar" priority="1933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{98255FBB-7C57-4D5B-B084-4EFBDB4810F9}</x14:id>
        </ext>
      </extLst>
    </cfRule>
  </conditionalFormatting>
  <conditionalFormatting sqref="AI39:AL39 AJ37:AL38">
    <cfRule type="expression" priority="1921" stopIfTrue="1">
      <formula>AI37=""</formula>
    </cfRule>
    <cfRule type="expression" dxfId="18224" priority="1922" stopIfTrue="1">
      <formula>AI37=CléPersonnalisée2</formula>
    </cfRule>
    <cfRule type="expression" dxfId="18223" priority="1923" stopIfTrue="1">
      <formula>AI37=CléPersonnalisée1</formula>
    </cfRule>
    <cfRule type="expression" dxfId="18222" priority="1924" stopIfTrue="1">
      <formula>AI37=CléMaladie</formula>
    </cfRule>
    <cfRule type="expression" dxfId="18221" priority="1925" stopIfTrue="1">
      <formula>AI37=CléPersonnelle</formula>
    </cfRule>
    <cfRule type="expression" dxfId="18220" priority="1926" stopIfTrue="1">
      <formula>AI37=CléCongés</formula>
    </cfRule>
  </conditionalFormatting>
  <conditionalFormatting sqref="AM37:AP38">
    <cfRule type="expression" priority="1915" stopIfTrue="1">
      <formula>AM37=""</formula>
    </cfRule>
    <cfRule type="expression" dxfId="18219" priority="1916" stopIfTrue="1">
      <formula>AM37=CléPersonnalisée2</formula>
    </cfRule>
    <cfRule type="expression" dxfId="18218" priority="1917" stopIfTrue="1">
      <formula>AM37=CléPersonnalisée1</formula>
    </cfRule>
    <cfRule type="expression" dxfId="18217" priority="1918" stopIfTrue="1">
      <formula>AM37=CléMaladie</formula>
    </cfRule>
    <cfRule type="expression" dxfId="18216" priority="1919" stopIfTrue="1">
      <formula>AM37=CléPersonnelle</formula>
    </cfRule>
    <cfRule type="expression" dxfId="18215" priority="1920" stopIfTrue="1">
      <formula>AM37=CléCongés</formula>
    </cfRule>
  </conditionalFormatting>
  <conditionalFormatting sqref="AQ37:AR38">
    <cfRule type="expression" priority="1909" stopIfTrue="1">
      <formula>AQ37=""</formula>
    </cfRule>
    <cfRule type="expression" dxfId="18214" priority="1910" stopIfTrue="1">
      <formula>AQ37=CléPersonnalisée2</formula>
    </cfRule>
    <cfRule type="expression" dxfId="18213" priority="1911" stopIfTrue="1">
      <formula>AQ37=CléPersonnalisée1</formula>
    </cfRule>
    <cfRule type="expression" dxfId="18212" priority="1912" stopIfTrue="1">
      <formula>AQ37=CléMaladie</formula>
    </cfRule>
    <cfRule type="expression" dxfId="18211" priority="1913" stopIfTrue="1">
      <formula>AQ37=CléPersonnelle</formula>
    </cfRule>
    <cfRule type="expression" dxfId="18210" priority="1914" stopIfTrue="1">
      <formula>AQ37=CléCongés</formula>
    </cfRule>
  </conditionalFormatting>
  <conditionalFormatting sqref="AM39 AP39">
    <cfRule type="expression" priority="1903" stopIfTrue="1">
      <formula>AM39=""</formula>
    </cfRule>
    <cfRule type="expression" dxfId="18209" priority="1904" stopIfTrue="1">
      <formula>AM39=CléPersonnalisée2</formula>
    </cfRule>
    <cfRule type="expression" dxfId="18208" priority="1905" stopIfTrue="1">
      <formula>AM39=CléPersonnalisée1</formula>
    </cfRule>
    <cfRule type="expression" dxfId="18207" priority="1906" stopIfTrue="1">
      <formula>AM39=CléMaladie</formula>
    </cfRule>
    <cfRule type="expression" dxfId="18206" priority="1907" stopIfTrue="1">
      <formula>AM39=CléPersonnelle</formula>
    </cfRule>
    <cfRule type="expression" dxfId="18205" priority="1908" stopIfTrue="1">
      <formula>AM39=CléCongés</formula>
    </cfRule>
  </conditionalFormatting>
  <conditionalFormatting sqref="D41:AG42">
    <cfRule type="expression" priority="1897" stopIfTrue="1">
      <formula>D41=""</formula>
    </cfRule>
    <cfRule type="expression" dxfId="18204" priority="1898" stopIfTrue="1">
      <formula>D41=CléPersonnalisée2</formula>
    </cfRule>
    <cfRule type="expression" dxfId="18203" priority="1899" stopIfTrue="1">
      <formula>D41=CléPersonnalisée1</formula>
    </cfRule>
    <cfRule type="expression" dxfId="18202" priority="1900" stopIfTrue="1">
      <formula>D41=CléMaladie</formula>
    </cfRule>
    <cfRule type="expression" dxfId="18201" priority="1901" stopIfTrue="1">
      <formula>D41=CléPersonnelle</formula>
    </cfRule>
    <cfRule type="expression" dxfId="18200" priority="1902" stopIfTrue="1">
      <formula>D41=CléCongés</formula>
    </cfRule>
  </conditionalFormatting>
  <conditionalFormatting sqref="AI43:AL43 AJ41:AL42">
    <cfRule type="expression" priority="1891" stopIfTrue="1">
      <formula>AI41=""</formula>
    </cfRule>
    <cfRule type="expression" dxfId="18199" priority="1892" stopIfTrue="1">
      <formula>AI41=CléPersonnalisée2</formula>
    </cfRule>
    <cfRule type="expression" dxfId="18198" priority="1893" stopIfTrue="1">
      <formula>AI41=CléPersonnalisée1</formula>
    </cfRule>
    <cfRule type="expression" dxfId="18197" priority="1894" stopIfTrue="1">
      <formula>AI41=CléMaladie</formula>
    </cfRule>
    <cfRule type="expression" dxfId="18196" priority="1895" stopIfTrue="1">
      <formula>AI41=CléPersonnelle</formula>
    </cfRule>
    <cfRule type="expression" dxfId="18195" priority="1896" stopIfTrue="1">
      <formula>AI41=CléCongés</formula>
    </cfRule>
  </conditionalFormatting>
  <conditionalFormatting sqref="AM41:AP42">
    <cfRule type="expression" priority="1885" stopIfTrue="1">
      <formula>AM41=""</formula>
    </cfRule>
    <cfRule type="expression" dxfId="18194" priority="1886" stopIfTrue="1">
      <formula>AM41=CléPersonnalisée2</formula>
    </cfRule>
    <cfRule type="expression" dxfId="18193" priority="1887" stopIfTrue="1">
      <formula>AM41=CléPersonnalisée1</formula>
    </cfRule>
    <cfRule type="expression" dxfId="18192" priority="1888" stopIfTrue="1">
      <formula>AM41=CléMaladie</formula>
    </cfRule>
    <cfRule type="expression" dxfId="18191" priority="1889" stopIfTrue="1">
      <formula>AM41=CléPersonnelle</formula>
    </cfRule>
    <cfRule type="expression" dxfId="18190" priority="1890" stopIfTrue="1">
      <formula>AM41=CléCongés</formula>
    </cfRule>
  </conditionalFormatting>
  <conditionalFormatting sqref="AQ41:AR42">
    <cfRule type="expression" priority="1879" stopIfTrue="1">
      <formula>AQ41=""</formula>
    </cfRule>
    <cfRule type="expression" dxfId="18189" priority="1880" stopIfTrue="1">
      <formula>AQ41=CléPersonnalisée2</formula>
    </cfRule>
    <cfRule type="expression" dxfId="18188" priority="1881" stopIfTrue="1">
      <formula>AQ41=CléPersonnalisée1</formula>
    </cfRule>
    <cfRule type="expression" dxfId="18187" priority="1882" stopIfTrue="1">
      <formula>AQ41=CléMaladie</formula>
    </cfRule>
    <cfRule type="expression" dxfId="18186" priority="1883" stopIfTrue="1">
      <formula>AQ41=CléPersonnelle</formula>
    </cfRule>
    <cfRule type="expression" dxfId="18185" priority="1884" stopIfTrue="1">
      <formula>AQ41=CléCongés</formula>
    </cfRule>
  </conditionalFormatting>
  <conditionalFormatting sqref="AM43 AP43">
    <cfRule type="expression" priority="1873" stopIfTrue="1">
      <formula>AM43=""</formula>
    </cfRule>
    <cfRule type="expression" dxfId="18184" priority="1874" stopIfTrue="1">
      <formula>AM43=CléPersonnalisée2</formula>
    </cfRule>
    <cfRule type="expression" dxfId="18183" priority="1875" stopIfTrue="1">
      <formula>AM43=CléPersonnalisée1</formula>
    </cfRule>
    <cfRule type="expression" dxfId="18182" priority="1876" stopIfTrue="1">
      <formula>AM43=CléMaladie</formula>
    </cfRule>
    <cfRule type="expression" dxfId="18181" priority="1877" stopIfTrue="1">
      <formula>AM43=CléPersonnelle</formula>
    </cfRule>
    <cfRule type="expression" dxfId="18180" priority="1878" stopIfTrue="1">
      <formula>AM43=CléCongés</formula>
    </cfRule>
  </conditionalFormatting>
  <conditionalFormatting sqref="D45:AG46">
    <cfRule type="expression" priority="1867" stopIfTrue="1">
      <formula>D45=""</formula>
    </cfRule>
    <cfRule type="expression" dxfId="18179" priority="1868" stopIfTrue="1">
      <formula>D45=CléPersonnalisée2</formula>
    </cfRule>
    <cfRule type="expression" dxfId="18178" priority="1869" stopIfTrue="1">
      <formula>D45=CléPersonnalisée1</formula>
    </cfRule>
    <cfRule type="expression" dxfId="18177" priority="1870" stopIfTrue="1">
      <formula>D45=CléMaladie</formula>
    </cfRule>
    <cfRule type="expression" dxfId="18176" priority="1871" stopIfTrue="1">
      <formula>D45=CléPersonnelle</formula>
    </cfRule>
    <cfRule type="expression" dxfId="18175" priority="1872" stopIfTrue="1">
      <formula>D45=CléCongés</formula>
    </cfRule>
  </conditionalFormatting>
  <conditionalFormatting sqref="AI47:AL47 AJ45:AL46">
    <cfRule type="expression" priority="1861" stopIfTrue="1">
      <formula>AI45=""</formula>
    </cfRule>
    <cfRule type="expression" dxfId="18174" priority="1862" stopIfTrue="1">
      <formula>AI45=CléPersonnalisée2</formula>
    </cfRule>
    <cfRule type="expression" dxfId="18173" priority="1863" stopIfTrue="1">
      <formula>AI45=CléPersonnalisée1</formula>
    </cfRule>
    <cfRule type="expression" dxfId="18172" priority="1864" stopIfTrue="1">
      <formula>AI45=CléMaladie</formula>
    </cfRule>
    <cfRule type="expression" dxfId="18171" priority="1865" stopIfTrue="1">
      <formula>AI45=CléPersonnelle</formula>
    </cfRule>
    <cfRule type="expression" dxfId="18170" priority="1866" stopIfTrue="1">
      <formula>AI45=CléCongés</formula>
    </cfRule>
  </conditionalFormatting>
  <conditionalFormatting sqref="AM45:AP46">
    <cfRule type="expression" priority="1855" stopIfTrue="1">
      <formula>AM45=""</formula>
    </cfRule>
    <cfRule type="expression" dxfId="18169" priority="1856" stopIfTrue="1">
      <formula>AM45=CléPersonnalisée2</formula>
    </cfRule>
    <cfRule type="expression" dxfId="18168" priority="1857" stopIfTrue="1">
      <formula>AM45=CléPersonnalisée1</formula>
    </cfRule>
    <cfRule type="expression" dxfId="18167" priority="1858" stopIfTrue="1">
      <formula>AM45=CléMaladie</formula>
    </cfRule>
    <cfRule type="expression" dxfId="18166" priority="1859" stopIfTrue="1">
      <formula>AM45=CléPersonnelle</formula>
    </cfRule>
    <cfRule type="expression" dxfId="18165" priority="1860" stopIfTrue="1">
      <formula>AM45=CléCongés</formula>
    </cfRule>
  </conditionalFormatting>
  <conditionalFormatting sqref="AQ45:AR46">
    <cfRule type="expression" priority="1849" stopIfTrue="1">
      <formula>AQ45=""</formula>
    </cfRule>
    <cfRule type="expression" dxfId="18164" priority="1850" stopIfTrue="1">
      <formula>AQ45=CléPersonnalisée2</formula>
    </cfRule>
    <cfRule type="expression" dxfId="18163" priority="1851" stopIfTrue="1">
      <formula>AQ45=CléPersonnalisée1</formula>
    </cfRule>
    <cfRule type="expression" dxfId="18162" priority="1852" stopIfTrue="1">
      <formula>AQ45=CléMaladie</formula>
    </cfRule>
    <cfRule type="expression" dxfId="18161" priority="1853" stopIfTrue="1">
      <formula>AQ45=CléPersonnelle</formula>
    </cfRule>
    <cfRule type="expression" dxfId="18160" priority="1854" stopIfTrue="1">
      <formula>AQ45=CléCongés</formula>
    </cfRule>
  </conditionalFormatting>
  <conditionalFormatting sqref="AM47 AP47">
    <cfRule type="expression" priority="1843" stopIfTrue="1">
      <formula>AM47=""</formula>
    </cfRule>
    <cfRule type="expression" dxfId="18159" priority="1844" stopIfTrue="1">
      <formula>AM47=CléPersonnalisée2</formula>
    </cfRule>
    <cfRule type="expression" dxfId="18158" priority="1845" stopIfTrue="1">
      <formula>AM47=CléPersonnalisée1</formula>
    </cfRule>
    <cfRule type="expression" dxfId="18157" priority="1846" stopIfTrue="1">
      <formula>AM47=CléMaladie</formula>
    </cfRule>
    <cfRule type="expression" dxfId="18156" priority="1847" stopIfTrue="1">
      <formula>AM47=CléPersonnelle</formula>
    </cfRule>
    <cfRule type="expression" dxfId="18155" priority="1848" stopIfTrue="1">
      <formula>AM47=CléCongés</formula>
    </cfRule>
  </conditionalFormatting>
  <conditionalFormatting sqref="D49:AG50">
    <cfRule type="expression" priority="1837" stopIfTrue="1">
      <formula>D49=""</formula>
    </cfRule>
    <cfRule type="expression" dxfId="18154" priority="1838" stopIfTrue="1">
      <formula>D49=CléPersonnalisée2</formula>
    </cfRule>
    <cfRule type="expression" dxfId="18153" priority="1839" stopIfTrue="1">
      <formula>D49=CléPersonnalisée1</formula>
    </cfRule>
    <cfRule type="expression" dxfId="18152" priority="1840" stopIfTrue="1">
      <formula>D49=CléMaladie</formula>
    </cfRule>
    <cfRule type="expression" dxfId="18151" priority="1841" stopIfTrue="1">
      <formula>D49=CléPersonnelle</formula>
    </cfRule>
    <cfRule type="expression" dxfId="18150" priority="1842" stopIfTrue="1">
      <formula>D49=CléCongés</formula>
    </cfRule>
  </conditionalFormatting>
  <conditionalFormatting sqref="AI51:AL51 AJ49:AL50">
    <cfRule type="expression" priority="1831" stopIfTrue="1">
      <formula>AI49=""</formula>
    </cfRule>
    <cfRule type="expression" dxfId="18149" priority="1832" stopIfTrue="1">
      <formula>AI49=CléPersonnalisée2</formula>
    </cfRule>
    <cfRule type="expression" dxfId="18148" priority="1833" stopIfTrue="1">
      <formula>AI49=CléPersonnalisée1</formula>
    </cfRule>
    <cfRule type="expression" dxfId="18147" priority="1834" stopIfTrue="1">
      <formula>AI49=CléMaladie</formula>
    </cfRule>
    <cfRule type="expression" dxfId="18146" priority="1835" stopIfTrue="1">
      <formula>AI49=CléPersonnelle</formula>
    </cfRule>
    <cfRule type="expression" dxfId="18145" priority="1836" stopIfTrue="1">
      <formula>AI49=CléCongés</formula>
    </cfRule>
  </conditionalFormatting>
  <conditionalFormatting sqref="AM49:AP50">
    <cfRule type="expression" priority="1825" stopIfTrue="1">
      <formula>AM49=""</formula>
    </cfRule>
    <cfRule type="expression" dxfId="18144" priority="1826" stopIfTrue="1">
      <formula>AM49=CléPersonnalisée2</formula>
    </cfRule>
    <cfRule type="expression" dxfId="18143" priority="1827" stopIfTrue="1">
      <formula>AM49=CléPersonnalisée1</formula>
    </cfRule>
    <cfRule type="expression" dxfId="18142" priority="1828" stopIfTrue="1">
      <formula>AM49=CléMaladie</formula>
    </cfRule>
    <cfRule type="expression" dxfId="18141" priority="1829" stopIfTrue="1">
      <formula>AM49=CléPersonnelle</formula>
    </cfRule>
    <cfRule type="expression" dxfId="18140" priority="1830" stopIfTrue="1">
      <formula>AM49=CléCongés</formula>
    </cfRule>
  </conditionalFormatting>
  <conditionalFormatting sqref="AQ49:AR50">
    <cfRule type="expression" priority="1819" stopIfTrue="1">
      <formula>AQ49=""</formula>
    </cfRule>
    <cfRule type="expression" dxfId="18139" priority="1820" stopIfTrue="1">
      <formula>AQ49=CléPersonnalisée2</formula>
    </cfRule>
    <cfRule type="expression" dxfId="18138" priority="1821" stopIfTrue="1">
      <formula>AQ49=CléPersonnalisée1</formula>
    </cfRule>
    <cfRule type="expression" dxfId="18137" priority="1822" stopIfTrue="1">
      <formula>AQ49=CléMaladie</formula>
    </cfRule>
    <cfRule type="expression" dxfId="18136" priority="1823" stopIfTrue="1">
      <formula>AQ49=CléPersonnelle</formula>
    </cfRule>
    <cfRule type="expression" dxfId="18135" priority="1824" stopIfTrue="1">
      <formula>AQ49=CléCongés</formula>
    </cfRule>
  </conditionalFormatting>
  <conditionalFormatting sqref="AM51 AP51">
    <cfRule type="expression" priority="1813" stopIfTrue="1">
      <formula>AM51=""</formula>
    </cfRule>
    <cfRule type="expression" dxfId="18134" priority="1814" stopIfTrue="1">
      <formula>AM51=CléPersonnalisée2</formula>
    </cfRule>
    <cfRule type="expression" dxfId="18133" priority="1815" stopIfTrue="1">
      <formula>AM51=CléPersonnalisée1</formula>
    </cfRule>
    <cfRule type="expression" dxfId="18132" priority="1816" stopIfTrue="1">
      <formula>AM51=CléMaladie</formula>
    </cfRule>
    <cfRule type="expression" dxfId="18131" priority="1817" stopIfTrue="1">
      <formula>AM51=CléPersonnelle</formula>
    </cfRule>
    <cfRule type="expression" dxfId="18130" priority="1818" stopIfTrue="1">
      <formula>AM51=CléCongés</formula>
    </cfRule>
  </conditionalFormatting>
  <conditionalFormatting sqref="D53:AG54">
    <cfRule type="expression" priority="1807" stopIfTrue="1">
      <formula>D53=""</formula>
    </cfRule>
    <cfRule type="expression" dxfId="18129" priority="1808" stopIfTrue="1">
      <formula>D53=CléPersonnalisée2</formula>
    </cfRule>
    <cfRule type="expression" dxfId="18128" priority="1809" stopIfTrue="1">
      <formula>D53=CléPersonnalisée1</formula>
    </cfRule>
    <cfRule type="expression" dxfId="18127" priority="1810" stopIfTrue="1">
      <formula>D53=CléMaladie</formula>
    </cfRule>
    <cfRule type="expression" dxfId="18126" priority="1811" stopIfTrue="1">
      <formula>D53=CléPersonnelle</formula>
    </cfRule>
    <cfRule type="expression" dxfId="18125" priority="1812" stopIfTrue="1">
      <formula>D53=CléCongés</formula>
    </cfRule>
  </conditionalFormatting>
  <conditionalFormatting sqref="AI55:AL55 AJ53:AL54">
    <cfRule type="expression" priority="1801" stopIfTrue="1">
      <formula>AI53=""</formula>
    </cfRule>
    <cfRule type="expression" dxfId="18124" priority="1802" stopIfTrue="1">
      <formula>AI53=CléPersonnalisée2</formula>
    </cfRule>
    <cfRule type="expression" dxfId="18123" priority="1803" stopIfTrue="1">
      <formula>AI53=CléPersonnalisée1</formula>
    </cfRule>
    <cfRule type="expression" dxfId="18122" priority="1804" stopIfTrue="1">
      <formula>AI53=CléMaladie</formula>
    </cfRule>
    <cfRule type="expression" dxfId="18121" priority="1805" stopIfTrue="1">
      <formula>AI53=CléPersonnelle</formula>
    </cfRule>
    <cfRule type="expression" dxfId="18120" priority="1806" stopIfTrue="1">
      <formula>AI53=CléCongés</formula>
    </cfRule>
  </conditionalFormatting>
  <conditionalFormatting sqref="AM53:AP54">
    <cfRule type="expression" priority="1795" stopIfTrue="1">
      <formula>AM53=""</formula>
    </cfRule>
    <cfRule type="expression" dxfId="18119" priority="1796" stopIfTrue="1">
      <formula>AM53=CléPersonnalisée2</formula>
    </cfRule>
    <cfRule type="expression" dxfId="18118" priority="1797" stopIfTrue="1">
      <formula>AM53=CléPersonnalisée1</formula>
    </cfRule>
    <cfRule type="expression" dxfId="18117" priority="1798" stopIfTrue="1">
      <formula>AM53=CléMaladie</formula>
    </cfRule>
    <cfRule type="expression" dxfId="18116" priority="1799" stopIfTrue="1">
      <formula>AM53=CléPersonnelle</formula>
    </cfRule>
    <cfRule type="expression" dxfId="18115" priority="1800" stopIfTrue="1">
      <formula>AM53=CléCongés</formula>
    </cfRule>
  </conditionalFormatting>
  <conditionalFormatting sqref="AQ53:AR54">
    <cfRule type="expression" priority="1789" stopIfTrue="1">
      <formula>AQ53=""</formula>
    </cfRule>
    <cfRule type="expression" dxfId="18114" priority="1790" stopIfTrue="1">
      <formula>AQ53=CléPersonnalisée2</formula>
    </cfRule>
    <cfRule type="expression" dxfId="18113" priority="1791" stopIfTrue="1">
      <formula>AQ53=CléPersonnalisée1</formula>
    </cfRule>
    <cfRule type="expression" dxfId="18112" priority="1792" stopIfTrue="1">
      <formula>AQ53=CléMaladie</formula>
    </cfRule>
    <cfRule type="expression" dxfId="18111" priority="1793" stopIfTrue="1">
      <formula>AQ53=CléPersonnelle</formula>
    </cfRule>
    <cfRule type="expression" dxfId="18110" priority="1794" stopIfTrue="1">
      <formula>AQ53=CléCongés</formula>
    </cfRule>
  </conditionalFormatting>
  <conditionalFormatting sqref="AM55 AP55">
    <cfRule type="expression" priority="1783" stopIfTrue="1">
      <formula>AM55=""</formula>
    </cfRule>
    <cfRule type="expression" dxfId="18109" priority="1784" stopIfTrue="1">
      <formula>AM55=CléPersonnalisée2</formula>
    </cfRule>
    <cfRule type="expression" dxfId="18108" priority="1785" stopIfTrue="1">
      <formula>AM55=CléPersonnalisée1</formula>
    </cfRule>
    <cfRule type="expression" dxfId="18107" priority="1786" stopIfTrue="1">
      <formula>AM55=CléMaladie</formula>
    </cfRule>
    <cfRule type="expression" dxfId="18106" priority="1787" stopIfTrue="1">
      <formula>AM55=CléPersonnelle</formula>
    </cfRule>
    <cfRule type="expression" dxfId="18105" priority="1788" stopIfTrue="1">
      <formula>AM55=CléCongés</formula>
    </cfRule>
  </conditionalFormatting>
  <conditionalFormatting sqref="D61:AG62">
    <cfRule type="expression" priority="1777" stopIfTrue="1">
      <formula>D61=""</formula>
    </cfRule>
    <cfRule type="expression" dxfId="18104" priority="1778" stopIfTrue="1">
      <formula>D61=CléPersonnalisée2</formula>
    </cfRule>
    <cfRule type="expression" dxfId="18103" priority="1779" stopIfTrue="1">
      <formula>D61=CléPersonnalisée1</formula>
    </cfRule>
    <cfRule type="expression" dxfId="18102" priority="1780" stopIfTrue="1">
      <formula>D61=CléMaladie</formula>
    </cfRule>
    <cfRule type="expression" dxfId="18101" priority="1781" stopIfTrue="1">
      <formula>D61=CléPersonnelle</formula>
    </cfRule>
    <cfRule type="expression" dxfId="18100" priority="1782" stopIfTrue="1">
      <formula>D61=CléCongés</formula>
    </cfRule>
  </conditionalFormatting>
  <conditionalFormatting sqref="AI63:AL63 AJ61:AL62">
    <cfRule type="expression" priority="1771" stopIfTrue="1">
      <formula>AI61=""</formula>
    </cfRule>
    <cfRule type="expression" dxfId="18099" priority="1772" stopIfTrue="1">
      <formula>AI61=CléPersonnalisée2</formula>
    </cfRule>
    <cfRule type="expression" dxfId="18098" priority="1773" stopIfTrue="1">
      <formula>AI61=CléPersonnalisée1</formula>
    </cfRule>
    <cfRule type="expression" dxfId="18097" priority="1774" stopIfTrue="1">
      <formula>AI61=CléMaladie</formula>
    </cfRule>
    <cfRule type="expression" dxfId="18096" priority="1775" stopIfTrue="1">
      <formula>AI61=CléPersonnelle</formula>
    </cfRule>
    <cfRule type="expression" dxfId="18095" priority="1776" stopIfTrue="1">
      <formula>AI61=CléCongés</formula>
    </cfRule>
  </conditionalFormatting>
  <conditionalFormatting sqref="AM61:AP62">
    <cfRule type="expression" priority="1765" stopIfTrue="1">
      <formula>AM61=""</formula>
    </cfRule>
    <cfRule type="expression" dxfId="18094" priority="1766" stopIfTrue="1">
      <formula>AM61=CléPersonnalisée2</formula>
    </cfRule>
    <cfRule type="expression" dxfId="18093" priority="1767" stopIfTrue="1">
      <formula>AM61=CléPersonnalisée1</formula>
    </cfRule>
    <cfRule type="expression" dxfId="18092" priority="1768" stopIfTrue="1">
      <formula>AM61=CléMaladie</formula>
    </cfRule>
    <cfRule type="expression" dxfId="18091" priority="1769" stopIfTrue="1">
      <formula>AM61=CléPersonnelle</formula>
    </cfRule>
    <cfRule type="expression" dxfId="18090" priority="1770" stopIfTrue="1">
      <formula>AM61=CléCongés</formula>
    </cfRule>
  </conditionalFormatting>
  <conditionalFormatting sqref="AQ61:AR62">
    <cfRule type="expression" priority="1759" stopIfTrue="1">
      <formula>AQ61=""</formula>
    </cfRule>
    <cfRule type="expression" dxfId="18089" priority="1760" stopIfTrue="1">
      <formula>AQ61=CléPersonnalisée2</formula>
    </cfRule>
    <cfRule type="expression" dxfId="18088" priority="1761" stopIfTrue="1">
      <formula>AQ61=CléPersonnalisée1</formula>
    </cfRule>
    <cfRule type="expression" dxfId="18087" priority="1762" stopIfTrue="1">
      <formula>AQ61=CléMaladie</formula>
    </cfRule>
    <cfRule type="expression" dxfId="18086" priority="1763" stopIfTrue="1">
      <formula>AQ61=CléPersonnelle</formula>
    </cfRule>
    <cfRule type="expression" dxfId="18085" priority="1764" stopIfTrue="1">
      <formula>AQ61=CléCongés</formula>
    </cfRule>
  </conditionalFormatting>
  <conditionalFormatting sqref="AM63 AP63">
    <cfRule type="expression" priority="1753" stopIfTrue="1">
      <formula>AM63=""</formula>
    </cfRule>
    <cfRule type="expression" dxfId="18084" priority="1754" stopIfTrue="1">
      <formula>AM63=CléPersonnalisée2</formula>
    </cfRule>
    <cfRule type="expression" dxfId="18083" priority="1755" stopIfTrue="1">
      <formula>AM63=CléPersonnalisée1</formula>
    </cfRule>
    <cfRule type="expression" dxfId="18082" priority="1756" stopIfTrue="1">
      <formula>AM63=CléMaladie</formula>
    </cfRule>
    <cfRule type="expression" dxfId="18081" priority="1757" stopIfTrue="1">
      <formula>AM63=CléPersonnelle</formula>
    </cfRule>
    <cfRule type="expression" dxfId="18080" priority="1758" stopIfTrue="1">
      <formula>AM63=CléCongés</formula>
    </cfRule>
  </conditionalFormatting>
  <conditionalFormatting sqref="AO39">
    <cfRule type="expression" priority="1621" stopIfTrue="1">
      <formula>AO39=""</formula>
    </cfRule>
    <cfRule type="expression" dxfId="18079" priority="1622" stopIfTrue="1">
      <formula>AO39=CléPersonnalisée2</formula>
    </cfRule>
    <cfRule type="expression" dxfId="18078" priority="1623" stopIfTrue="1">
      <formula>AO39=CléPersonnalisée1</formula>
    </cfRule>
    <cfRule type="expression" dxfId="18077" priority="1624" stopIfTrue="1">
      <formula>AO39=CléMaladie</formula>
    </cfRule>
    <cfRule type="expression" dxfId="18076" priority="1625" stopIfTrue="1">
      <formula>AO39=CléPersonnelle</formula>
    </cfRule>
    <cfRule type="expression" dxfId="18075" priority="1626" stopIfTrue="1">
      <formula>AO39=CléCongés</formula>
    </cfRule>
  </conditionalFormatting>
  <conditionalFormatting sqref="D69:AG70">
    <cfRule type="expression" priority="1747" stopIfTrue="1">
      <formula>D69=""</formula>
    </cfRule>
    <cfRule type="expression" dxfId="18074" priority="1748" stopIfTrue="1">
      <formula>D69=CléPersonnalisée2</formula>
    </cfRule>
    <cfRule type="expression" dxfId="18073" priority="1749" stopIfTrue="1">
      <formula>D69=CléPersonnalisée1</formula>
    </cfRule>
    <cfRule type="expression" dxfId="18072" priority="1750" stopIfTrue="1">
      <formula>D69=CléMaladie</formula>
    </cfRule>
    <cfRule type="expression" dxfId="18071" priority="1751" stopIfTrue="1">
      <formula>D69=CléPersonnelle</formula>
    </cfRule>
    <cfRule type="expression" dxfId="18070" priority="1752" stopIfTrue="1">
      <formula>D69=CléCongés</formula>
    </cfRule>
  </conditionalFormatting>
  <conditionalFormatting sqref="AI71:AL71 AJ69:AL70">
    <cfRule type="expression" priority="1741" stopIfTrue="1">
      <formula>AI69=""</formula>
    </cfRule>
    <cfRule type="expression" dxfId="18069" priority="1742" stopIfTrue="1">
      <formula>AI69=CléPersonnalisée2</formula>
    </cfRule>
    <cfRule type="expression" dxfId="18068" priority="1743" stopIfTrue="1">
      <formula>AI69=CléPersonnalisée1</formula>
    </cfRule>
    <cfRule type="expression" dxfId="18067" priority="1744" stopIfTrue="1">
      <formula>AI69=CléMaladie</formula>
    </cfRule>
    <cfRule type="expression" dxfId="18066" priority="1745" stopIfTrue="1">
      <formula>AI69=CléPersonnelle</formula>
    </cfRule>
    <cfRule type="expression" dxfId="18065" priority="1746" stopIfTrue="1">
      <formula>AI69=CléCongés</formula>
    </cfRule>
  </conditionalFormatting>
  <conditionalFormatting sqref="AM69:AP70">
    <cfRule type="expression" priority="1735" stopIfTrue="1">
      <formula>AM69=""</formula>
    </cfRule>
    <cfRule type="expression" dxfId="18064" priority="1736" stopIfTrue="1">
      <formula>AM69=CléPersonnalisée2</formula>
    </cfRule>
    <cfRule type="expression" dxfId="18063" priority="1737" stopIfTrue="1">
      <formula>AM69=CléPersonnalisée1</formula>
    </cfRule>
    <cfRule type="expression" dxfId="18062" priority="1738" stopIfTrue="1">
      <formula>AM69=CléMaladie</formula>
    </cfRule>
    <cfRule type="expression" dxfId="18061" priority="1739" stopIfTrue="1">
      <formula>AM69=CléPersonnelle</formula>
    </cfRule>
    <cfRule type="expression" dxfId="18060" priority="1740" stopIfTrue="1">
      <formula>AM69=CléCongés</formula>
    </cfRule>
  </conditionalFormatting>
  <conditionalFormatting sqref="AQ69:AR70">
    <cfRule type="expression" priority="1729" stopIfTrue="1">
      <formula>AQ69=""</formula>
    </cfRule>
    <cfRule type="expression" dxfId="18059" priority="1730" stopIfTrue="1">
      <formula>AQ69=CléPersonnalisée2</formula>
    </cfRule>
    <cfRule type="expression" dxfId="18058" priority="1731" stopIfTrue="1">
      <formula>AQ69=CléPersonnalisée1</formula>
    </cfRule>
    <cfRule type="expression" dxfId="18057" priority="1732" stopIfTrue="1">
      <formula>AQ69=CléMaladie</formula>
    </cfRule>
    <cfRule type="expression" dxfId="18056" priority="1733" stopIfTrue="1">
      <formula>AQ69=CléPersonnelle</formula>
    </cfRule>
    <cfRule type="expression" dxfId="18055" priority="1734" stopIfTrue="1">
      <formula>AQ69=CléCongés</formula>
    </cfRule>
  </conditionalFormatting>
  <conditionalFormatting sqref="AM71 AP71">
    <cfRule type="expression" priority="1723" stopIfTrue="1">
      <formula>AM71=""</formula>
    </cfRule>
    <cfRule type="expression" dxfId="18054" priority="1724" stopIfTrue="1">
      <formula>AM71=CléPersonnalisée2</formula>
    </cfRule>
    <cfRule type="expression" dxfId="18053" priority="1725" stopIfTrue="1">
      <formula>AM71=CléPersonnalisée1</formula>
    </cfRule>
    <cfRule type="expression" dxfId="18052" priority="1726" stopIfTrue="1">
      <formula>AM71=CléMaladie</formula>
    </cfRule>
    <cfRule type="expression" dxfId="18051" priority="1727" stopIfTrue="1">
      <formula>AM71=CléPersonnelle</formula>
    </cfRule>
    <cfRule type="expression" dxfId="18050" priority="1728" stopIfTrue="1">
      <formula>AM71=CléCongés</formula>
    </cfRule>
  </conditionalFormatting>
  <conditionalFormatting sqref="AI23">
    <cfRule type="expression" priority="1711" stopIfTrue="1">
      <formula>AI23=""</formula>
    </cfRule>
    <cfRule type="expression" dxfId="18049" priority="1712" stopIfTrue="1">
      <formula>AI23=CléPersonnalisée2</formula>
    </cfRule>
    <cfRule type="expression" dxfId="18048" priority="1713" stopIfTrue="1">
      <formula>AI23=CléPersonnalisée1</formula>
    </cfRule>
    <cfRule type="expression" dxfId="18047" priority="1714" stopIfTrue="1">
      <formula>AI23=CléMaladie</formula>
    </cfRule>
    <cfRule type="expression" dxfId="18046" priority="1715" stopIfTrue="1">
      <formula>AI23=CléPersonnelle</formula>
    </cfRule>
    <cfRule type="expression" dxfId="18045" priority="1716" stopIfTrue="1">
      <formula>AI23=CléCongés</formula>
    </cfRule>
  </conditionalFormatting>
  <conditionalFormatting sqref="AI19">
    <cfRule type="expression" priority="1717" stopIfTrue="1">
      <formula>AI19=""</formula>
    </cfRule>
    <cfRule type="expression" dxfId="18044" priority="1718" stopIfTrue="1">
      <formula>AI19=CléPersonnalisée2</formula>
    </cfRule>
    <cfRule type="expression" dxfId="18043" priority="1719" stopIfTrue="1">
      <formula>AI19=CléPersonnalisée1</formula>
    </cfRule>
    <cfRule type="expression" dxfId="18042" priority="1720" stopIfTrue="1">
      <formula>AI19=CléMaladie</formula>
    </cfRule>
    <cfRule type="expression" dxfId="18041" priority="1721" stopIfTrue="1">
      <formula>AI19=CléPersonnelle</formula>
    </cfRule>
    <cfRule type="expression" dxfId="18040" priority="1722" stopIfTrue="1">
      <formula>AI19=CléCongés</formula>
    </cfRule>
  </conditionalFormatting>
  <conditionalFormatting sqref="AI25:AI26">
    <cfRule type="expression" priority="1567" stopIfTrue="1">
      <formula>AI25=""</formula>
    </cfRule>
    <cfRule type="expression" dxfId="18039" priority="1568" stopIfTrue="1">
      <formula>AI25=CléPersonnalisée2</formula>
    </cfRule>
    <cfRule type="expression" dxfId="18038" priority="1569" stopIfTrue="1">
      <formula>AI25=CléPersonnalisée1</formula>
    </cfRule>
    <cfRule type="expression" dxfId="18037" priority="1570" stopIfTrue="1">
      <formula>AI25=CléMaladie</formula>
    </cfRule>
    <cfRule type="expression" dxfId="18036" priority="1571" stopIfTrue="1">
      <formula>AI25=CléPersonnelle</formula>
    </cfRule>
    <cfRule type="expression" dxfId="18035" priority="1572" stopIfTrue="1">
      <formula>AI25=CléCongés</formula>
    </cfRule>
  </conditionalFormatting>
  <conditionalFormatting sqref="AM17:AP18">
    <cfRule type="expression" priority="1705" stopIfTrue="1">
      <formula>AM17=""</formula>
    </cfRule>
    <cfRule type="expression" dxfId="18034" priority="1706" stopIfTrue="1">
      <formula>AM17=CléPersonnalisée2</formula>
    </cfRule>
    <cfRule type="expression" dxfId="18033" priority="1707" stopIfTrue="1">
      <formula>AM17=CléPersonnalisée1</formula>
    </cfRule>
    <cfRule type="expression" dxfId="18032" priority="1708" stopIfTrue="1">
      <formula>AM17=CléMaladie</formula>
    </cfRule>
    <cfRule type="expression" dxfId="18031" priority="1709" stopIfTrue="1">
      <formula>AM17=CléPersonnelle</formula>
    </cfRule>
    <cfRule type="expression" dxfId="18030" priority="1710" stopIfTrue="1">
      <formula>AM17=CléCongés</formula>
    </cfRule>
  </conditionalFormatting>
  <conditionalFormatting sqref="AQ17:AR18">
    <cfRule type="expression" priority="1699" stopIfTrue="1">
      <formula>AQ17=""</formula>
    </cfRule>
    <cfRule type="expression" dxfId="18029" priority="1700" stopIfTrue="1">
      <formula>AQ17=CléPersonnalisée2</formula>
    </cfRule>
    <cfRule type="expression" dxfId="18028" priority="1701" stopIfTrue="1">
      <formula>AQ17=CléPersonnalisée1</formula>
    </cfRule>
    <cfRule type="expression" dxfId="18027" priority="1702" stopIfTrue="1">
      <formula>AQ17=CléMaladie</formula>
    </cfRule>
    <cfRule type="expression" dxfId="18026" priority="1703" stopIfTrue="1">
      <formula>AQ17=CléPersonnelle</formula>
    </cfRule>
    <cfRule type="expression" dxfId="18025" priority="1704" stopIfTrue="1">
      <formula>AQ17=CléCongés</formula>
    </cfRule>
  </conditionalFormatting>
  <conditionalFormatting sqref="AM19 AP19">
    <cfRule type="expression" priority="1693" stopIfTrue="1">
      <formula>AM19=""</formula>
    </cfRule>
    <cfRule type="expression" dxfId="18024" priority="1694" stopIfTrue="1">
      <formula>AM19=CléPersonnalisée2</formula>
    </cfRule>
    <cfRule type="expression" dxfId="18023" priority="1695" stopIfTrue="1">
      <formula>AM19=CléPersonnalisée1</formula>
    </cfRule>
    <cfRule type="expression" dxfId="18022" priority="1696" stopIfTrue="1">
      <formula>AM19=CléMaladie</formula>
    </cfRule>
    <cfRule type="expression" dxfId="18021" priority="1697" stopIfTrue="1">
      <formula>AM19=CléPersonnelle</formula>
    </cfRule>
    <cfRule type="expression" dxfId="18020" priority="1698" stopIfTrue="1">
      <formula>AM19=CléCongés</formula>
    </cfRule>
  </conditionalFormatting>
  <conditionalFormatting sqref="AO31">
    <cfRule type="expression" priority="1633" stopIfTrue="1">
      <formula>AO31=""</formula>
    </cfRule>
    <cfRule type="expression" dxfId="18019" priority="1634" stopIfTrue="1">
      <formula>AO31=CléPersonnalisée2</formula>
    </cfRule>
    <cfRule type="expression" dxfId="18018" priority="1635" stopIfTrue="1">
      <formula>AO31=CléPersonnalisée1</formula>
    </cfRule>
    <cfRule type="expression" dxfId="18017" priority="1636" stopIfTrue="1">
      <formula>AO31=CléMaladie</formula>
    </cfRule>
    <cfRule type="expression" dxfId="18016" priority="1637" stopIfTrue="1">
      <formula>AO31=CléPersonnelle</formula>
    </cfRule>
    <cfRule type="expression" dxfId="18015" priority="1638" stopIfTrue="1">
      <formula>AO31=CléCongés</formula>
    </cfRule>
  </conditionalFormatting>
  <conditionalFormatting sqref="AM21:AP22">
    <cfRule type="expression" priority="1687" stopIfTrue="1">
      <formula>AM21=""</formula>
    </cfRule>
    <cfRule type="expression" dxfId="18014" priority="1688" stopIfTrue="1">
      <formula>AM21=CléPersonnalisée2</formula>
    </cfRule>
    <cfRule type="expression" dxfId="18013" priority="1689" stopIfTrue="1">
      <formula>AM21=CléPersonnalisée1</formula>
    </cfRule>
    <cfRule type="expression" dxfId="18012" priority="1690" stopIfTrue="1">
      <formula>AM21=CléMaladie</formula>
    </cfRule>
    <cfRule type="expression" dxfId="18011" priority="1691" stopIfTrue="1">
      <formula>AM21=CléPersonnelle</formula>
    </cfRule>
    <cfRule type="expression" dxfId="18010" priority="1692" stopIfTrue="1">
      <formula>AM21=CléCongés</formula>
    </cfRule>
  </conditionalFormatting>
  <conditionalFormatting sqref="AQ21:AR22">
    <cfRule type="expression" priority="1681" stopIfTrue="1">
      <formula>AQ21=""</formula>
    </cfRule>
    <cfRule type="expression" dxfId="18009" priority="1682" stopIfTrue="1">
      <formula>AQ21=CléPersonnalisée2</formula>
    </cfRule>
    <cfRule type="expression" dxfId="18008" priority="1683" stopIfTrue="1">
      <formula>AQ21=CléPersonnalisée1</formula>
    </cfRule>
    <cfRule type="expression" dxfId="18007" priority="1684" stopIfTrue="1">
      <formula>AQ21=CléMaladie</formula>
    </cfRule>
    <cfRule type="expression" dxfId="18006" priority="1685" stopIfTrue="1">
      <formula>AQ21=CléPersonnelle</formula>
    </cfRule>
    <cfRule type="expression" dxfId="18005" priority="1686" stopIfTrue="1">
      <formula>AQ21=CléCongés</formula>
    </cfRule>
  </conditionalFormatting>
  <conditionalFormatting sqref="AM23 AP23">
    <cfRule type="expression" priority="1675" stopIfTrue="1">
      <formula>AM23=""</formula>
    </cfRule>
    <cfRule type="expression" dxfId="18004" priority="1676" stopIfTrue="1">
      <formula>AM23=CléPersonnalisée2</formula>
    </cfRule>
    <cfRule type="expression" dxfId="18003" priority="1677" stopIfTrue="1">
      <formula>AM23=CléPersonnalisée1</formula>
    </cfRule>
    <cfRule type="expression" dxfId="18002" priority="1678" stopIfTrue="1">
      <formula>AM23=CléMaladie</formula>
    </cfRule>
    <cfRule type="expression" dxfId="18001" priority="1679" stopIfTrue="1">
      <formula>AM23=CléPersonnelle</formula>
    </cfRule>
    <cfRule type="expression" dxfId="18000" priority="1680" stopIfTrue="1">
      <formula>AM23=CléCongés</formula>
    </cfRule>
  </conditionalFormatting>
  <conditionalFormatting sqref="AH17:AH18">
    <cfRule type="dataBar" priority="1674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{4B48ADB2-3781-46B8-8578-4B0F9A059A1A}</x14:id>
        </ext>
      </extLst>
    </cfRule>
  </conditionalFormatting>
  <conditionalFormatting sqref="AH21:AH22">
    <cfRule type="dataBar" priority="1673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{1F95E40C-E2D4-408A-B811-46739EF38BF8}</x14:id>
        </ext>
      </extLst>
    </cfRule>
  </conditionalFormatting>
  <conditionalFormatting sqref="AH25:AH26">
    <cfRule type="dataBar" priority="1672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{162A37A0-B5A4-4173-91E9-30CF59960914}</x14:id>
        </ext>
      </extLst>
    </cfRule>
  </conditionalFormatting>
  <conditionalFormatting sqref="AH29:AH30">
    <cfRule type="dataBar" priority="1671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{4C439843-93DC-44F5-BCE4-507B837F0078}</x14:id>
        </ext>
      </extLst>
    </cfRule>
  </conditionalFormatting>
  <conditionalFormatting sqref="AH33:AH34">
    <cfRule type="dataBar" priority="1670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{5F2CF957-5D0B-430A-8917-10E2D316E5D8}</x14:id>
        </ext>
      </extLst>
    </cfRule>
  </conditionalFormatting>
  <conditionalFormatting sqref="AH37:AH38">
    <cfRule type="dataBar" priority="1669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{CDAA53C6-9BD8-46EE-8171-FF201D963EF1}</x14:id>
        </ext>
      </extLst>
    </cfRule>
  </conditionalFormatting>
  <conditionalFormatting sqref="AH41:AH42">
    <cfRule type="dataBar" priority="1668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{ADA94FE0-F08C-4AAA-93C1-E8C824903EA4}</x14:id>
        </ext>
      </extLst>
    </cfRule>
  </conditionalFormatting>
  <conditionalFormatting sqref="AH45:AH46">
    <cfRule type="dataBar" priority="1667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{278EEC83-8B7E-4833-A709-640BE8B04AAE}</x14:id>
        </ext>
      </extLst>
    </cfRule>
  </conditionalFormatting>
  <conditionalFormatting sqref="AH49:AH50">
    <cfRule type="dataBar" priority="1666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{A358C80D-C132-4232-B0EC-69775F3BA2EF}</x14:id>
        </ext>
      </extLst>
    </cfRule>
  </conditionalFormatting>
  <conditionalFormatting sqref="AH53:AH54">
    <cfRule type="dataBar" priority="1665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{E745CED1-63F5-470A-AA20-8FA5DF45EDF6}</x14:id>
        </ext>
      </extLst>
    </cfRule>
  </conditionalFormatting>
  <conditionalFormatting sqref="AH61:AH62">
    <cfRule type="dataBar" priority="1664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{473A1FE3-35BD-4D8C-9A8D-458CE4FE8695}</x14:id>
        </ext>
      </extLst>
    </cfRule>
  </conditionalFormatting>
  <conditionalFormatting sqref="AH69:AH70">
    <cfRule type="dataBar" priority="1663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{5A42A7FA-83D0-4810-AB3A-EDC57DA854CE}</x14:id>
        </ext>
      </extLst>
    </cfRule>
  </conditionalFormatting>
  <conditionalFormatting sqref="AO11">
    <cfRule type="expression" priority="1657" stopIfTrue="1">
      <formula>AO11=""</formula>
    </cfRule>
    <cfRule type="expression" dxfId="17999" priority="1658" stopIfTrue="1">
      <formula>AO11=CléPersonnalisée2</formula>
    </cfRule>
    <cfRule type="expression" dxfId="17998" priority="1659" stopIfTrue="1">
      <formula>AO11=CléPersonnalisée1</formula>
    </cfRule>
    <cfRule type="expression" dxfId="17997" priority="1660" stopIfTrue="1">
      <formula>AO11=CléMaladie</formula>
    </cfRule>
    <cfRule type="expression" dxfId="17996" priority="1661" stopIfTrue="1">
      <formula>AO11=CléPersonnelle</formula>
    </cfRule>
    <cfRule type="expression" dxfId="17995" priority="1662" stopIfTrue="1">
      <formula>AO11=CléCongés</formula>
    </cfRule>
  </conditionalFormatting>
  <conditionalFormatting sqref="AO19">
    <cfRule type="expression" priority="1651" stopIfTrue="1">
      <formula>AO19=""</formula>
    </cfRule>
    <cfRule type="expression" dxfId="17994" priority="1652" stopIfTrue="1">
      <formula>AO19=CléPersonnalisée2</formula>
    </cfRule>
    <cfRule type="expression" dxfId="17993" priority="1653" stopIfTrue="1">
      <formula>AO19=CléPersonnalisée1</formula>
    </cfRule>
    <cfRule type="expression" dxfId="17992" priority="1654" stopIfTrue="1">
      <formula>AO19=CléMaladie</formula>
    </cfRule>
    <cfRule type="expression" dxfId="17991" priority="1655" stopIfTrue="1">
      <formula>AO19=CléPersonnelle</formula>
    </cfRule>
    <cfRule type="expression" dxfId="17990" priority="1656" stopIfTrue="1">
      <formula>AO19=CléCongés</formula>
    </cfRule>
  </conditionalFormatting>
  <conditionalFormatting sqref="AO23">
    <cfRule type="expression" priority="1645" stopIfTrue="1">
      <formula>AO23=""</formula>
    </cfRule>
    <cfRule type="expression" dxfId="17989" priority="1646" stopIfTrue="1">
      <formula>AO23=CléPersonnalisée2</formula>
    </cfRule>
    <cfRule type="expression" dxfId="17988" priority="1647" stopIfTrue="1">
      <formula>AO23=CléPersonnalisée1</formula>
    </cfRule>
    <cfRule type="expression" dxfId="17987" priority="1648" stopIfTrue="1">
      <formula>AO23=CléMaladie</formula>
    </cfRule>
    <cfRule type="expression" dxfId="17986" priority="1649" stopIfTrue="1">
      <formula>AO23=CléPersonnelle</formula>
    </cfRule>
    <cfRule type="expression" dxfId="17985" priority="1650" stopIfTrue="1">
      <formula>AO23=CléCongés</formula>
    </cfRule>
  </conditionalFormatting>
  <conditionalFormatting sqref="AO27">
    <cfRule type="expression" priority="1639" stopIfTrue="1">
      <formula>AO27=""</formula>
    </cfRule>
    <cfRule type="expression" dxfId="17984" priority="1640" stopIfTrue="1">
      <formula>AO27=CléPersonnalisée2</formula>
    </cfRule>
    <cfRule type="expression" dxfId="17983" priority="1641" stopIfTrue="1">
      <formula>AO27=CléPersonnalisée1</formula>
    </cfRule>
    <cfRule type="expression" dxfId="17982" priority="1642" stopIfTrue="1">
      <formula>AO27=CléMaladie</formula>
    </cfRule>
    <cfRule type="expression" dxfId="17981" priority="1643" stopIfTrue="1">
      <formula>AO27=CléPersonnelle</formula>
    </cfRule>
    <cfRule type="expression" dxfId="17980" priority="1644" stopIfTrue="1">
      <formula>AO27=CléCongés</formula>
    </cfRule>
  </conditionalFormatting>
  <conditionalFormatting sqref="AM65:AP66">
    <cfRule type="expression" priority="1387" stopIfTrue="1">
      <formula>AM65=""</formula>
    </cfRule>
    <cfRule type="expression" dxfId="17979" priority="1388" stopIfTrue="1">
      <formula>AM65=CléPersonnalisée2</formula>
    </cfRule>
    <cfRule type="expression" dxfId="17978" priority="1389" stopIfTrue="1">
      <formula>AM65=CléPersonnalisée1</formula>
    </cfRule>
    <cfRule type="expression" dxfId="17977" priority="1390" stopIfTrue="1">
      <formula>AM65=CléMaladie</formula>
    </cfRule>
    <cfRule type="expression" dxfId="17976" priority="1391" stopIfTrue="1">
      <formula>AM65=CléPersonnelle</formula>
    </cfRule>
    <cfRule type="expression" dxfId="17975" priority="1392" stopIfTrue="1">
      <formula>AM65=CléCongés</formula>
    </cfRule>
  </conditionalFormatting>
  <conditionalFormatting sqref="AO35">
    <cfRule type="expression" priority="1627" stopIfTrue="1">
      <formula>AO35=""</formula>
    </cfRule>
    <cfRule type="expression" dxfId="17974" priority="1628" stopIfTrue="1">
      <formula>AO35=CléPersonnalisée2</formula>
    </cfRule>
    <cfRule type="expression" dxfId="17973" priority="1629" stopIfTrue="1">
      <formula>AO35=CléPersonnalisée1</formula>
    </cfRule>
    <cfRule type="expression" dxfId="17972" priority="1630" stopIfTrue="1">
      <formula>AO35=CléMaladie</formula>
    </cfRule>
    <cfRule type="expression" dxfId="17971" priority="1631" stopIfTrue="1">
      <formula>AO35=CléPersonnelle</formula>
    </cfRule>
    <cfRule type="expression" dxfId="17970" priority="1632" stopIfTrue="1">
      <formula>AO35=CléCongés</formula>
    </cfRule>
  </conditionalFormatting>
  <conditionalFormatting sqref="AM67 AP67">
    <cfRule type="expression" priority="1375" stopIfTrue="1">
      <formula>AM67=""</formula>
    </cfRule>
    <cfRule type="expression" dxfId="17969" priority="1376" stopIfTrue="1">
      <formula>AM67=CléPersonnalisée2</formula>
    </cfRule>
    <cfRule type="expression" dxfId="17968" priority="1377" stopIfTrue="1">
      <formula>AM67=CléPersonnalisée1</formula>
    </cfRule>
    <cfRule type="expression" dxfId="17967" priority="1378" stopIfTrue="1">
      <formula>AM67=CléMaladie</formula>
    </cfRule>
    <cfRule type="expression" dxfId="17966" priority="1379" stopIfTrue="1">
      <formula>AM67=CléPersonnelle</formula>
    </cfRule>
    <cfRule type="expression" dxfId="17965" priority="1380" stopIfTrue="1">
      <formula>AM67=CléCongés</formula>
    </cfRule>
  </conditionalFormatting>
  <conditionalFormatting sqref="AO43">
    <cfRule type="expression" priority="1615" stopIfTrue="1">
      <formula>AO43=""</formula>
    </cfRule>
    <cfRule type="expression" dxfId="17964" priority="1616" stopIfTrue="1">
      <formula>AO43=CléPersonnalisée2</formula>
    </cfRule>
    <cfRule type="expression" dxfId="17963" priority="1617" stopIfTrue="1">
      <formula>AO43=CléPersonnalisée1</formula>
    </cfRule>
    <cfRule type="expression" dxfId="17962" priority="1618" stopIfTrue="1">
      <formula>AO43=CléMaladie</formula>
    </cfRule>
    <cfRule type="expression" dxfId="17961" priority="1619" stopIfTrue="1">
      <formula>AO43=CléPersonnelle</formula>
    </cfRule>
    <cfRule type="expression" dxfId="17960" priority="1620" stopIfTrue="1">
      <formula>AO43=CléCongés</formula>
    </cfRule>
  </conditionalFormatting>
  <conditionalFormatting sqref="AO47">
    <cfRule type="expression" priority="1609" stopIfTrue="1">
      <formula>AO47=""</formula>
    </cfRule>
    <cfRule type="expression" dxfId="17959" priority="1610" stopIfTrue="1">
      <formula>AO47=CléPersonnalisée2</formula>
    </cfRule>
    <cfRule type="expression" dxfId="17958" priority="1611" stopIfTrue="1">
      <formula>AO47=CléPersonnalisée1</formula>
    </cfRule>
    <cfRule type="expression" dxfId="17957" priority="1612" stopIfTrue="1">
      <formula>AO47=CléMaladie</formula>
    </cfRule>
    <cfRule type="expression" dxfId="17956" priority="1613" stopIfTrue="1">
      <formula>AO47=CléPersonnelle</formula>
    </cfRule>
    <cfRule type="expression" dxfId="17955" priority="1614" stopIfTrue="1">
      <formula>AO47=CléCongés</formula>
    </cfRule>
  </conditionalFormatting>
  <conditionalFormatting sqref="AO51">
    <cfRule type="expression" priority="1603" stopIfTrue="1">
      <formula>AO51=""</formula>
    </cfRule>
    <cfRule type="expression" dxfId="17954" priority="1604" stopIfTrue="1">
      <formula>AO51=CléPersonnalisée2</formula>
    </cfRule>
    <cfRule type="expression" dxfId="17953" priority="1605" stopIfTrue="1">
      <formula>AO51=CléPersonnalisée1</formula>
    </cfRule>
    <cfRule type="expression" dxfId="17952" priority="1606" stopIfTrue="1">
      <formula>AO51=CléMaladie</formula>
    </cfRule>
    <cfRule type="expression" dxfId="17951" priority="1607" stopIfTrue="1">
      <formula>AO51=CléPersonnelle</formula>
    </cfRule>
    <cfRule type="expression" dxfId="17950" priority="1608" stopIfTrue="1">
      <formula>AO51=CléCongés</formula>
    </cfRule>
  </conditionalFormatting>
  <conditionalFormatting sqref="AO55">
    <cfRule type="expression" priority="1597" stopIfTrue="1">
      <formula>AO55=""</formula>
    </cfRule>
    <cfRule type="expression" dxfId="17949" priority="1598" stopIfTrue="1">
      <formula>AO55=CléPersonnalisée2</formula>
    </cfRule>
    <cfRule type="expression" dxfId="17948" priority="1599" stopIfTrue="1">
      <formula>AO55=CléPersonnalisée1</formula>
    </cfRule>
    <cfRule type="expression" dxfId="17947" priority="1600" stopIfTrue="1">
      <formula>AO55=CléMaladie</formula>
    </cfRule>
    <cfRule type="expression" dxfId="17946" priority="1601" stopIfTrue="1">
      <formula>AO55=CléPersonnelle</formula>
    </cfRule>
    <cfRule type="expression" dxfId="17945" priority="1602" stopIfTrue="1">
      <formula>AO55=CléCongés</formula>
    </cfRule>
  </conditionalFormatting>
  <conditionalFormatting sqref="AO63">
    <cfRule type="expression" priority="1591" stopIfTrue="1">
      <formula>AO63=""</formula>
    </cfRule>
    <cfRule type="expression" dxfId="17944" priority="1592" stopIfTrue="1">
      <formula>AO63=CléPersonnalisée2</formula>
    </cfRule>
    <cfRule type="expression" dxfId="17943" priority="1593" stopIfTrue="1">
      <formula>AO63=CléPersonnalisée1</formula>
    </cfRule>
    <cfRule type="expression" dxfId="17942" priority="1594" stopIfTrue="1">
      <formula>AO63=CléMaladie</formula>
    </cfRule>
    <cfRule type="expression" dxfId="17941" priority="1595" stopIfTrue="1">
      <formula>AO63=CléPersonnelle</formula>
    </cfRule>
    <cfRule type="expression" dxfId="17940" priority="1596" stopIfTrue="1">
      <formula>AO63=CléCongés</formula>
    </cfRule>
  </conditionalFormatting>
  <conditionalFormatting sqref="AO71">
    <cfRule type="expression" priority="1585" stopIfTrue="1">
      <formula>AO71=""</formula>
    </cfRule>
    <cfRule type="expression" dxfId="17939" priority="1586" stopIfTrue="1">
      <formula>AO71=CléPersonnalisée2</formula>
    </cfRule>
    <cfRule type="expression" dxfId="17938" priority="1587" stopIfTrue="1">
      <formula>AO71=CléPersonnalisée1</formula>
    </cfRule>
    <cfRule type="expression" dxfId="17937" priority="1588" stopIfTrue="1">
      <formula>AO71=CléMaladie</formula>
    </cfRule>
    <cfRule type="expression" dxfId="17936" priority="1589" stopIfTrue="1">
      <formula>AO71=CléPersonnelle</formula>
    </cfRule>
    <cfRule type="expression" dxfId="17935" priority="1590" stopIfTrue="1">
      <formula>AO71=CléCongés</formula>
    </cfRule>
  </conditionalFormatting>
  <conditionalFormatting sqref="AI17:AI18">
    <cfRule type="expression" priority="1579" stopIfTrue="1">
      <formula>AI17=""</formula>
    </cfRule>
    <cfRule type="expression" dxfId="17934" priority="1580" stopIfTrue="1">
      <formula>AI17=CléPersonnalisée2</formula>
    </cfRule>
    <cfRule type="expression" dxfId="17933" priority="1581" stopIfTrue="1">
      <formula>AI17=CléPersonnalisée1</formula>
    </cfRule>
    <cfRule type="expression" dxfId="17932" priority="1582" stopIfTrue="1">
      <formula>AI17=CléMaladie</formula>
    </cfRule>
    <cfRule type="expression" dxfId="17931" priority="1583" stopIfTrue="1">
      <formula>AI17=CléPersonnelle</formula>
    </cfRule>
    <cfRule type="expression" dxfId="17930" priority="1584" stopIfTrue="1">
      <formula>AI17=CléCongés</formula>
    </cfRule>
  </conditionalFormatting>
  <conditionalFormatting sqref="AI21:AI22">
    <cfRule type="expression" priority="1573" stopIfTrue="1">
      <formula>AI21=""</formula>
    </cfRule>
    <cfRule type="expression" dxfId="17929" priority="1574" stopIfTrue="1">
      <formula>AI21=CléPersonnalisée2</formula>
    </cfRule>
    <cfRule type="expression" dxfId="17928" priority="1575" stopIfTrue="1">
      <formula>AI21=CléPersonnalisée1</formula>
    </cfRule>
    <cfRule type="expression" dxfId="17927" priority="1576" stopIfTrue="1">
      <formula>AI21=CléMaladie</formula>
    </cfRule>
    <cfRule type="expression" dxfId="17926" priority="1577" stopIfTrue="1">
      <formula>AI21=CléPersonnelle</formula>
    </cfRule>
    <cfRule type="expression" dxfId="17925" priority="1578" stopIfTrue="1">
      <formula>AI21=CléCongés</formula>
    </cfRule>
  </conditionalFormatting>
  <conditionalFormatting sqref="AI29:AI30">
    <cfRule type="expression" priority="1561" stopIfTrue="1">
      <formula>AI29=""</formula>
    </cfRule>
    <cfRule type="expression" dxfId="17924" priority="1562" stopIfTrue="1">
      <formula>AI29=CléPersonnalisée2</formula>
    </cfRule>
    <cfRule type="expression" dxfId="17923" priority="1563" stopIfTrue="1">
      <formula>AI29=CléPersonnalisée1</formula>
    </cfRule>
    <cfRule type="expression" dxfId="17922" priority="1564" stopIfTrue="1">
      <formula>AI29=CléMaladie</formula>
    </cfRule>
    <cfRule type="expression" dxfId="17921" priority="1565" stopIfTrue="1">
      <formula>AI29=CléPersonnelle</formula>
    </cfRule>
    <cfRule type="expression" dxfId="17920" priority="1566" stopIfTrue="1">
      <formula>AI29=CléCongés</formula>
    </cfRule>
  </conditionalFormatting>
  <conditionalFormatting sqref="AI33:AI34">
    <cfRule type="expression" priority="1555" stopIfTrue="1">
      <formula>AI33=""</formula>
    </cfRule>
    <cfRule type="expression" dxfId="17919" priority="1556" stopIfTrue="1">
      <formula>AI33=CléPersonnalisée2</formula>
    </cfRule>
    <cfRule type="expression" dxfId="17918" priority="1557" stopIfTrue="1">
      <formula>AI33=CléPersonnalisée1</formula>
    </cfRule>
    <cfRule type="expression" dxfId="17917" priority="1558" stopIfTrue="1">
      <formula>AI33=CléMaladie</formula>
    </cfRule>
    <cfRule type="expression" dxfId="17916" priority="1559" stopIfTrue="1">
      <formula>AI33=CléPersonnelle</formula>
    </cfRule>
    <cfRule type="expression" dxfId="17915" priority="1560" stopIfTrue="1">
      <formula>AI33=CléCongés</formula>
    </cfRule>
  </conditionalFormatting>
  <conditionalFormatting sqref="AI37:AI38">
    <cfRule type="expression" priority="1549" stopIfTrue="1">
      <formula>AI37=""</formula>
    </cfRule>
    <cfRule type="expression" dxfId="17914" priority="1550" stopIfTrue="1">
      <formula>AI37=CléPersonnalisée2</formula>
    </cfRule>
    <cfRule type="expression" dxfId="17913" priority="1551" stopIfTrue="1">
      <formula>AI37=CléPersonnalisée1</formula>
    </cfRule>
    <cfRule type="expression" dxfId="17912" priority="1552" stopIfTrue="1">
      <formula>AI37=CléMaladie</formula>
    </cfRule>
    <cfRule type="expression" dxfId="17911" priority="1553" stopIfTrue="1">
      <formula>AI37=CléPersonnelle</formula>
    </cfRule>
    <cfRule type="expression" dxfId="17910" priority="1554" stopIfTrue="1">
      <formula>AI37=CléCongés</formula>
    </cfRule>
  </conditionalFormatting>
  <conditionalFormatting sqref="AI41:AI42">
    <cfRule type="expression" priority="1543" stopIfTrue="1">
      <formula>AI41=""</formula>
    </cfRule>
    <cfRule type="expression" dxfId="17909" priority="1544" stopIfTrue="1">
      <formula>AI41=CléPersonnalisée2</formula>
    </cfRule>
    <cfRule type="expression" dxfId="17908" priority="1545" stopIfTrue="1">
      <formula>AI41=CléPersonnalisée1</formula>
    </cfRule>
    <cfRule type="expression" dxfId="17907" priority="1546" stopIfTrue="1">
      <formula>AI41=CléMaladie</formula>
    </cfRule>
    <cfRule type="expression" dxfId="17906" priority="1547" stopIfTrue="1">
      <formula>AI41=CléPersonnelle</formula>
    </cfRule>
    <cfRule type="expression" dxfId="17905" priority="1548" stopIfTrue="1">
      <formula>AI41=CléCongés</formula>
    </cfRule>
  </conditionalFormatting>
  <conditionalFormatting sqref="AI45:AI46">
    <cfRule type="expression" priority="1537" stopIfTrue="1">
      <formula>AI45=""</formula>
    </cfRule>
    <cfRule type="expression" dxfId="17904" priority="1538" stopIfTrue="1">
      <formula>AI45=CléPersonnalisée2</formula>
    </cfRule>
    <cfRule type="expression" dxfId="17903" priority="1539" stopIfTrue="1">
      <formula>AI45=CléPersonnalisée1</formula>
    </cfRule>
    <cfRule type="expression" dxfId="17902" priority="1540" stopIfTrue="1">
      <formula>AI45=CléMaladie</formula>
    </cfRule>
    <cfRule type="expression" dxfId="17901" priority="1541" stopIfTrue="1">
      <formula>AI45=CléPersonnelle</formula>
    </cfRule>
    <cfRule type="expression" dxfId="17900" priority="1542" stopIfTrue="1">
      <formula>AI45=CléCongés</formula>
    </cfRule>
  </conditionalFormatting>
  <conditionalFormatting sqref="AI49:AI50">
    <cfRule type="expression" priority="1531" stopIfTrue="1">
      <formula>AI49=""</formula>
    </cfRule>
    <cfRule type="expression" dxfId="17899" priority="1532" stopIfTrue="1">
      <formula>AI49=CléPersonnalisée2</formula>
    </cfRule>
    <cfRule type="expression" dxfId="17898" priority="1533" stopIfTrue="1">
      <formula>AI49=CléPersonnalisée1</formula>
    </cfRule>
    <cfRule type="expression" dxfId="17897" priority="1534" stopIfTrue="1">
      <formula>AI49=CléMaladie</formula>
    </cfRule>
    <cfRule type="expression" dxfId="17896" priority="1535" stopIfTrue="1">
      <formula>AI49=CléPersonnelle</formula>
    </cfRule>
    <cfRule type="expression" dxfId="17895" priority="1536" stopIfTrue="1">
      <formula>AI49=CléCongés</formula>
    </cfRule>
  </conditionalFormatting>
  <conditionalFormatting sqref="AI53:AI54">
    <cfRule type="expression" priority="1525" stopIfTrue="1">
      <formula>AI53=""</formula>
    </cfRule>
    <cfRule type="expression" dxfId="17894" priority="1526" stopIfTrue="1">
      <formula>AI53=CléPersonnalisée2</formula>
    </cfRule>
    <cfRule type="expression" dxfId="17893" priority="1527" stopIfTrue="1">
      <formula>AI53=CléPersonnalisée1</formula>
    </cfRule>
    <cfRule type="expression" dxfId="17892" priority="1528" stopIfTrue="1">
      <formula>AI53=CléMaladie</formula>
    </cfRule>
    <cfRule type="expression" dxfId="17891" priority="1529" stopIfTrue="1">
      <formula>AI53=CléPersonnelle</formula>
    </cfRule>
    <cfRule type="expression" dxfId="17890" priority="1530" stopIfTrue="1">
      <formula>AI53=CléCongés</formula>
    </cfRule>
  </conditionalFormatting>
  <conditionalFormatting sqref="AI61:AI62">
    <cfRule type="expression" priority="1519" stopIfTrue="1">
      <formula>AI61=""</formula>
    </cfRule>
    <cfRule type="expression" dxfId="17889" priority="1520" stopIfTrue="1">
      <formula>AI61=CléPersonnalisée2</formula>
    </cfRule>
    <cfRule type="expression" dxfId="17888" priority="1521" stopIfTrue="1">
      <formula>AI61=CléPersonnalisée1</formula>
    </cfRule>
    <cfRule type="expression" dxfId="17887" priority="1522" stopIfTrue="1">
      <formula>AI61=CléMaladie</formula>
    </cfRule>
    <cfRule type="expression" dxfId="17886" priority="1523" stopIfTrue="1">
      <formula>AI61=CléPersonnelle</formula>
    </cfRule>
    <cfRule type="expression" dxfId="17885" priority="1524" stopIfTrue="1">
      <formula>AI61=CléCongés</formula>
    </cfRule>
  </conditionalFormatting>
  <conditionalFormatting sqref="AI69:AI70">
    <cfRule type="expression" priority="1513" stopIfTrue="1">
      <formula>AI69=""</formula>
    </cfRule>
    <cfRule type="expression" dxfId="17884" priority="1514" stopIfTrue="1">
      <formula>AI69=CléPersonnalisée2</formula>
    </cfRule>
    <cfRule type="expression" dxfId="17883" priority="1515" stopIfTrue="1">
      <formula>AI69=CléPersonnalisée1</formula>
    </cfRule>
    <cfRule type="expression" dxfId="17882" priority="1516" stopIfTrue="1">
      <formula>AI69=CléMaladie</formula>
    </cfRule>
    <cfRule type="expression" dxfId="17881" priority="1517" stopIfTrue="1">
      <formula>AI69=CléPersonnelle</formula>
    </cfRule>
    <cfRule type="expression" dxfId="17880" priority="1518" stopIfTrue="1">
      <formula>AI69=CléCongés</formula>
    </cfRule>
  </conditionalFormatting>
  <conditionalFormatting sqref="AN11">
    <cfRule type="expression" priority="1507" stopIfTrue="1">
      <formula>AN11=""</formula>
    </cfRule>
    <cfRule type="expression" dxfId="17879" priority="1508" stopIfTrue="1">
      <formula>AN11=CléPersonnalisée2</formula>
    </cfRule>
    <cfRule type="expression" dxfId="17878" priority="1509" stopIfTrue="1">
      <formula>AN11=CléPersonnalisée1</formula>
    </cfRule>
    <cfRule type="expression" dxfId="17877" priority="1510" stopIfTrue="1">
      <formula>AN11=CléMaladie</formula>
    </cfRule>
    <cfRule type="expression" dxfId="17876" priority="1511" stopIfTrue="1">
      <formula>AN11=CléPersonnelle</formula>
    </cfRule>
    <cfRule type="expression" dxfId="17875" priority="1512" stopIfTrue="1">
      <formula>AN11=CléCongés</formula>
    </cfRule>
  </conditionalFormatting>
  <conditionalFormatting sqref="AN19">
    <cfRule type="expression" priority="1501" stopIfTrue="1">
      <formula>AN19=""</formula>
    </cfRule>
    <cfRule type="expression" dxfId="17874" priority="1502" stopIfTrue="1">
      <formula>AN19=CléPersonnalisée2</formula>
    </cfRule>
    <cfRule type="expression" dxfId="17873" priority="1503" stopIfTrue="1">
      <formula>AN19=CléPersonnalisée1</formula>
    </cfRule>
    <cfRule type="expression" dxfId="17872" priority="1504" stopIfTrue="1">
      <formula>AN19=CléMaladie</formula>
    </cfRule>
    <cfRule type="expression" dxfId="17871" priority="1505" stopIfTrue="1">
      <formula>AN19=CléPersonnelle</formula>
    </cfRule>
    <cfRule type="expression" dxfId="17870" priority="1506" stopIfTrue="1">
      <formula>AN19=CléCongés</formula>
    </cfRule>
  </conditionalFormatting>
  <conditionalFormatting sqref="AN23">
    <cfRule type="expression" priority="1495" stopIfTrue="1">
      <formula>AN23=""</formula>
    </cfRule>
    <cfRule type="expression" dxfId="17869" priority="1496" stopIfTrue="1">
      <formula>AN23=CléPersonnalisée2</formula>
    </cfRule>
    <cfRule type="expression" dxfId="17868" priority="1497" stopIfTrue="1">
      <formula>AN23=CléPersonnalisée1</formula>
    </cfRule>
    <cfRule type="expression" dxfId="17867" priority="1498" stopIfTrue="1">
      <formula>AN23=CléMaladie</formula>
    </cfRule>
    <cfRule type="expression" dxfId="17866" priority="1499" stopIfTrue="1">
      <formula>AN23=CléPersonnelle</formula>
    </cfRule>
    <cfRule type="expression" dxfId="17865" priority="1500" stopIfTrue="1">
      <formula>AN23=CléCongés</formula>
    </cfRule>
  </conditionalFormatting>
  <conditionalFormatting sqref="AN27">
    <cfRule type="expression" priority="1489" stopIfTrue="1">
      <formula>AN27=""</formula>
    </cfRule>
    <cfRule type="expression" dxfId="17864" priority="1490" stopIfTrue="1">
      <formula>AN27=CléPersonnalisée2</formula>
    </cfRule>
    <cfRule type="expression" dxfId="17863" priority="1491" stopIfTrue="1">
      <formula>AN27=CléPersonnalisée1</formula>
    </cfRule>
    <cfRule type="expression" dxfId="17862" priority="1492" stopIfTrue="1">
      <formula>AN27=CléMaladie</formula>
    </cfRule>
    <cfRule type="expression" dxfId="17861" priority="1493" stopIfTrue="1">
      <formula>AN27=CléPersonnelle</formula>
    </cfRule>
    <cfRule type="expression" dxfId="17860" priority="1494" stopIfTrue="1">
      <formula>AN27=CléCongés</formula>
    </cfRule>
  </conditionalFormatting>
  <conditionalFormatting sqref="AN31">
    <cfRule type="expression" priority="1483" stopIfTrue="1">
      <formula>AN31=""</formula>
    </cfRule>
    <cfRule type="expression" dxfId="17859" priority="1484" stopIfTrue="1">
      <formula>AN31=CléPersonnalisée2</formula>
    </cfRule>
    <cfRule type="expression" dxfId="17858" priority="1485" stopIfTrue="1">
      <formula>AN31=CléPersonnalisée1</formula>
    </cfRule>
    <cfRule type="expression" dxfId="17857" priority="1486" stopIfTrue="1">
      <formula>AN31=CléMaladie</formula>
    </cfRule>
    <cfRule type="expression" dxfId="17856" priority="1487" stopIfTrue="1">
      <formula>AN31=CléPersonnelle</formula>
    </cfRule>
    <cfRule type="expression" dxfId="17855" priority="1488" stopIfTrue="1">
      <formula>AN31=CléCongés</formula>
    </cfRule>
  </conditionalFormatting>
  <conditionalFormatting sqref="AN35">
    <cfRule type="expression" priority="1477" stopIfTrue="1">
      <formula>AN35=""</formula>
    </cfRule>
    <cfRule type="expression" dxfId="17854" priority="1478" stopIfTrue="1">
      <formula>AN35=CléPersonnalisée2</formula>
    </cfRule>
    <cfRule type="expression" dxfId="17853" priority="1479" stopIfTrue="1">
      <formula>AN35=CléPersonnalisée1</formula>
    </cfRule>
    <cfRule type="expression" dxfId="17852" priority="1480" stopIfTrue="1">
      <formula>AN35=CléMaladie</formula>
    </cfRule>
    <cfRule type="expression" dxfId="17851" priority="1481" stopIfTrue="1">
      <formula>AN35=CléPersonnelle</formula>
    </cfRule>
    <cfRule type="expression" dxfId="17850" priority="1482" stopIfTrue="1">
      <formula>AN35=CléCongés</formula>
    </cfRule>
  </conditionalFormatting>
  <conditionalFormatting sqref="AN39">
    <cfRule type="expression" priority="1471" stopIfTrue="1">
      <formula>AN39=""</formula>
    </cfRule>
    <cfRule type="expression" dxfId="17849" priority="1472" stopIfTrue="1">
      <formula>AN39=CléPersonnalisée2</formula>
    </cfRule>
    <cfRule type="expression" dxfId="17848" priority="1473" stopIfTrue="1">
      <formula>AN39=CléPersonnalisée1</formula>
    </cfRule>
    <cfRule type="expression" dxfId="17847" priority="1474" stopIfTrue="1">
      <formula>AN39=CléMaladie</formula>
    </cfRule>
    <cfRule type="expression" dxfId="17846" priority="1475" stopIfTrue="1">
      <formula>AN39=CléPersonnelle</formula>
    </cfRule>
    <cfRule type="expression" dxfId="17845" priority="1476" stopIfTrue="1">
      <formula>AN39=CléCongés</formula>
    </cfRule>
  </conditionalFormatting>
  <conditionalFormatting sqref="AN43">
    <cfRule type="expression" priority="1465" stopIfTrue="1">
      <formula>AN43=""</formula>
    </cfRule>
    <cfRule type="expression" dxfId="17844" priority="1466" stopIfTrue="1">
      <formula>AN43=CléPersonnalisée2</formula>
    </cfRule>
    <cfRule type="expression" dxfId="17843" priority="1467" stopIfTrue="1">
      <formula>AN43=CléPersonnalisée1</formula>
    </cfRule>
    <cfRule type="expression" dxfId="17842" priority="1468" stopIfTrue="1">
      <formula>AN43=CléMaladie</formula>
    </cfRule>
    <cfRule type="expression" dxfId="17841" priority="1469" stopIfTrue="1">
      <formula>AN43=CléPersonnelle</formula>
    </cfRule>
    <cfRule type="expression" dxfId="17840" priority="1470" stopIfTrue="1">
      <formula>AN43=CléCongés</formula>
    </cfRule>
  </conditionalFormatting>
  <conditionalFormatting sqref="AN47">
    <cfRule type="expression" priority="1459" stopIfTrue="1">
      <formula>AN47=""</formula>
    </cfRule>
    <cfRule type="expression" dxfId="17839" priority="1460" stopIfTrue="1">
      <formula>AN47=CléPersonnalisée2</formula>
    </cfRule>
    <cfRule type="expression" dxfId="17838" priority="1461" stopIfTrue="1">
      <formula>AN47=CléPersonnalisée1</formula>
    </cfRule>
    <cfRule type="expression" dxfId="17837" priority="1462" stopIfTrue="1">
      <formula>AN47=CléMaladie</formula>
    </cfRule>
    <cfRule type="expression" dxfId="17836" priority="1463" stopIfTrue="1">
      <formula>AN47=CléPersonnelle</formula>
    </cfRule>
    <cfRule type="expression" dxfId="17835" priority="1464" stopIfTrue="1">
      <formula>AN47=CléCongés</formula>
    </cfRule>
  </conditionalFormatting>
  <conditionalFormatting sqref="AN51">
    <cfRule type="expression" priority="1453" stopIfTrue="1">
      <formula>AN51=""</formula>
    </cfRule>
    <cfRule type="expression" dxfId="17834" priority="1454" stopIfTrue="1">
      <formula>AN51=CléPersonnalisée2</formula>
    </cfRule>
    <cfRule type="expression" dxfId="17833" priority="1455" stopIfTrue="1">
      <formula>AN51=CléPersonnalisée1</formula>
    </cfRule>
    <cfRule type="expression" dxfId="17832" priority="1456" stopIfTrue="1">
      <formula>AN51=CléMaladie</formula>
    </cfRule>
    <cfRule type="expression" dxfId="17831" priority="1457" stopIfTrue="1">
      <formula>AN51=CléPersonnelle</formula>
    </cfRule>
    <cfRule type="expression" dxfId="17830" priority="1458" stopIfTrue="1">
      <formula>AN51=CléCongés</formula>
    </cfRule>
  </conditionalFormatting>
  <conditionalFormatting sqref="AN55">
    <cfRule type="expression" priority="1447" stopIfTrue="1">
      <formula>AN55=""</formula>
    </cfRule>
    <cfRule type="expression" dxfId="17829" priority="1448" stopIfTrue="1">
      <formula>AN55=CléPersonnalisée2</formula>
    </cfRule>
    <cfRule type="expression" dxfId="17828" priority="1449" stopIfTrue="1">
      <formula>AN55=CléPersonnalisée1</formula>
    </cfRule>
    <cfRule type="expression" dxfId="17827" priority="1450" stopIfTrue="1">
      <formula>AN55=CléMaladie</formula>
    </cfRule>
    <cfRule type="expression" dxfId="17826" priority="1451" stopIfTrue="1">
      <formula>AN55=CléPersonnelle</formula>
    </cfRule>
    <cfRule type="expression" dxfId="17825" priority="1452" stopIfTrue="1">
      <formula>AN55=CléCongés</formula>
    </cfRule>
  </conditionalFormatting>
  <conditionalFormatting sqref="AN63">
    <cfRule type="expression" priority="1441" stopIfTrue="1">
      <formula>AN63=""</formula>
    </cfRule>
    <cfRule type="expression" dxfId="17824" priority="1442" stopIfTrue="1">
      <formula>AN63=CléPersonnalisée2</formula>
    </cfRule>
    <cfRule type="expression" dxfId="17823" priority="1443" stopIfTrue="1">
      <formula>AN63=CléPersonnalisée1</formula>
    </cfRule>
    <cfRule type="expression" dxfId="17822" priority="1444" stopIfTrue="1">
      <formula>AN63=CléMaladie</formula>
    </cfRule>
    <cfRule type="expression" dxfId="17821" priority="1445" stopIfTrue="1">
      <formula>AN63=CléPersonnelle</formula>
    </cfRule>
    <cfRule type="expression" dxfId="17820" priority="1446" stopIfTrue="1">
      <formula>AN63=CléCongés</formula>
    </cfRule>
  </conditionalFormatting>
  <conditionalFormatting sqref="AN71">
    <cfRule type="expression" priority="1435" stopIfTrue="1">
      <formula>AN71=""</formula>
    </cfRule>
    <cfRule type="expression" dxfId="17819" priority="1436" stopIfTrue="1">
      <formula>AN71=CléPersonnalisée2</formula>
    </cfRule>
    <cfRule type="expression" dxfId="17818" priority="1437" stopIfTrue="1">
      <formula>AN71=CléPersonnalisée1</formula>
    </cfRule>
    <cfRule type="expression" dxfId="17817" priority="1438" stopIfTrue="1">
      <formula>AN71=CléMaladie</formula>
    </cfRule>
    <cfRule type="expression" dxfId="17816" priority="1439" stopIfTrue="1">
      <formula>AN71=CléPersonnelle</formula>
    </cfRule>
    <cfRule type="expression" dxfId="17815" priority="1440" stopIfTrue="1">
      <formula>AN71=CléCongés</formula>
    </cfRule>
  </conditionalFormatting>
  <conditionalFormatting sqref="AI7:AL7">
    <cfRule type="expression" priority="1429" stopIfTrue="1">
      <formula>AI7=""</formula>
    </cfRule>
    <cfRule type="expression" dxfId="17814" priority="1430" stopIfTrue="1">
      <formula>AI7=CléPersonnalisée2</formula>
    </cfRule>
    <cfRule type="expression" dxfId="17813" priority="1431" stopIfTrue="1">
      <formula>AI7=CléPersonnalisée1</formula>
    </cfRule>
    <cfRule type="expression" dxfId="17812" priority="1432" stopIfTrue="1">
      <formula>AI7=CléMaladie</formula>
    </cfRule>
    <cfRule type="expression" dxfId="17811" priority="1433" stopIfTrue="1">
      <formula>AI7=CléPersonnelle</formula>
    </cfRule>
    <cfRule type="expression" dxfId="17810" priority="1434" stopIfTrue="1">
      <formula>AI7=CléCongés</formula>
    </cfRule>
  </conditionalFormatting>
  <conditionalFormatting sqref="AM7">
    <cfRule type="expression" priority="1423" stopIfTrue="1">
      <formula>AM7=""</formula>
    </cfRule>
    <cfRule type="expression" dxfId="17809" priority="1424" stopIfTrue="1">
      <formula>AM7=CléPersonnalisée2</formula>
    </cfRule>
    <cfRule type="expression" dxfId="17808" priority="1425" stopIfTrue="1">
      <formula>AM7=CléPersonnalisée1</formula>
    </cfRule>
    <cfRule type="expression" dxfId="17807" priority="1426" stopIfTrue="1">
      <formula>AM7=CléMaladie</formula>
    </cfRule>
    <cfRule type="expression" dxfId="17806" priority="1427" stopIfTrue="1">
      <formula>AM7=CléPersonnelle</formula>
    </cfRule>
    <cfRule type="expression" dxfId="17805" priority="1428" stopIfTrue="1">
      <formula>AM7=CléCongés</formula>
    </cfRule>
  </conditionalFormatting>
  <conditionalFormatting sqref="AO7">
    <cfRule type="expression" priority="1417" stopIfTrue="1">
      <formula>AO7=""</formula>
    </cfRule>
    <cfRule type="expression" dxfId="17804" priority="1418" stopIfTrue="1">
      <formula>AO7=CléPersonnalisée2</formula>
    </cfRule>
    <cfRule type="expression" dxfId="17803" priority="1419" stopIfTrue="1">
      <formula>AO7=CléPersonnalisée1</formula>
    </cfRule>
    <cfRule type="expression" dxfId="17802" priority="1420" stopIfTrue="1">
      <formula>AO7=CléMaladie</formula>
    </cfRule>
    <cfRule type="expression" dxfId="17801" priority="1421" stopIfTrue="1">
      <formula>AO7=CléPersonnelle</formula>
    </cfRule>
    <cfRule type="expression" dxfId="17800" priority="1422" stopIfTrue="1">
      <formula>AO7=CléCongés</formula>
    </cfRule>
  </conditionalFormatting>
  <conditionalFormatting sqref="AN7">
    <cfRule type="expression" priority="1411" stopIfTrue="1">
      <formula>AN7=""</formula>
    </cfRule>
    <cfRule type="expression" dxfId="17799" priority="1412" stopIfTrue="1">
      <formula>AN7=CléPersonnalisée2</formula>
    </cfRule>
    <cfRule type="expression" dxfId="17798" priority="1413" stopIfTrue="1">
      <formula>AN7=CléPersonnalisée1</formula>
    </cfRule>
    <cfRule type="expression" dxfId="17797" priority="1414" stopIfTrue="1">
      <formula>AN7=CléMaladie</formula>
    </cfRule>
    <cfRule type="expression" dxfId="17796" priority="1415" stopIfTrue="1">
      <formula>AN7=CléPersonnelle</formula>
    </cfRule>
    <cfRule type="expression" dxfId="17795" priority="1416" stopIfTrue="1">
      <formula>AN7=CléCongés</formula>
    </cfRule>
  </conditionalFormatting>
  <conditionalFormatting sqref="AQ7">
    <cfRule type="expression" priority="1405" stopIfTrue="1">
      <formula>AQ7=""</formula>
    </cfRule>
    <cfRule type="expression" dxfId="17794" priority="1406" stopIfTrue="1">
      <formula>AQ7=CléPersonnalisée2</formula>
    </cfRule>
    <cfRule type="expression" dxfId="17793" priority="1407" stopIfTrue="1">
      <formula>AQ7=CléPersonnalisée1</formula>
    </cfRule>
    <cfRule type="expression" dxfId="17792" priority="1408" stopIfTrue="1">
      <formula>AQ7=CléMaladie</formula>
    </cfRule>
    <cfRule type="expression" dxfId="17791" priority="1409" stopIfTrue="1">
      <formula>AQ7=CléPersonnelle</formula>
    </cfRule>
    <cfRule type="expression" dxfId="17790" priority="1410" stopIfTrue="1">
      <formula>AQ7=CléCongés</formula>
    </cfRule>
  </conditionalFormatting>
  <conditionalFormatting sqref="AQ71">
    <cfRule type="expression" priority="1188" stopIfTrue="1">
      <formula>AQ71=""</formula>
    </cfRule>
    <cfRule type="expression" dxfId="17789" priority="1189" stopIfTrue="1">
      <formula>AQ71=CléPersonnalisée2</formula>
    </cfRule>
    <cfRule type="expression" dxfId="17788" priority="1190" stopIfTrue="1">
      <formula>AQ71=CléPersonnalisée1</formula>
    </cfRule>
    <cfRule type="expression" dxfId="17787" priority="1191" stopIfTrue="1">
      <formula>AQ71=CléMaladie</formula>
    </cfRule>
    <cfRule type="expression" dxfId="17786" priority="1192" stopIfTrue="1">
      <formula>AQ71=CléPersonnelle</formula>
    </cfRule>
    <cfRule type="expression" dxfId="17785" priority="1193" stopIfTrue="1">
      <formula>AQ71=CléCongés</formula>
    </cfRule>
  </conditionalFormatting>
  <conditionalFormatting sqref="AQ75">
    <cfRule type="expression" priority="1139" stopIfTrue="1">
      <formula>AQ75=""</formula>
    </cfRule>
    <cfRule type="expression" dxfId="17784" priority="1140" stopIfTrue="1">
      <formula>AQ75=CléPersonnalisée2</formula>
    </cfRule>
    <cfRule type="expression" dxfId="17783" priority="1141" stopIfTrue="1">
      <formula>AQ75=CléPersonnalisée1</formula>
    </cfRule>
    <cfRule type="expression" dxfId="17782" priority="1142" stopIfTrue="1">
      <formula>AQ75=CléMaladie</formula>
    </cfRule>
    <cfRule type="expression" dxfId="17781" priority="1143" stopIfTrue="1">
      <formula>AQ75=CléPersonnelle</formula>
    </cfRule>
    <cfRule type="expression" dxfId="17780" priority="1144" stopIfTrue="1">
      <formula>AQ75=CléCongés</formula>
    </cfRule>
  </conditionalFormatting>
  <conditionalFormatting sqref="AQ83">
    <cfRule type="expression" priority="1078" stopIfTrue="1">
      <formula>AQ83=""</formula>
    </cfRule>
    <cfRule type="expression" dxfId="17779" priority="1079" stopIfTrue="1">
      <formula>AQ83=CléPersonnalisée2</formula>
    </cfRule>
    <cfRule type="expression" dxfId="17778" priority="1080" stopIfTrue="1">
      <formula>AQ83=CléPersonnalisée1</formula>
    </cfRule>
    <cfRule type="expression" dxfId="17777" priority="1081" stopIfTrue="1">
      <formula>AQ83=CléMaladie</formula>
    </cfRule>
    <cfRule type="expression" dxfId="17776" priority="1082" stopIfTrue="1">
      <formula>AQ83=CléPersonnelle</formula>
    </cfRule>
    <cfRule type="expression" dxfId="17775" priority="1083" stopIfTrue="1">
      <formula>AQ83=CléCongés</formula>
    </cfRule>
  </conditionalFormatting>
  <conditionalFormatting sqref="AQ91">
    <cfRule type="expression" priority="968" stopIfTrue="1">
      <formula>AQ91=""</formula>
    </cfRule>
    <cfRule type="expression" dxfId="17774" priority="969" stopIfTrue="1">
      <formula>AQ91=CléPersonnalisée2</formula>
    </cfRule>
    <cfRule type="expression" dxfId="17773" priority="970" stopIfTrue="1">
      <formula>AQ91=CléPersonnalisée1</formula>
    </cfRule>
    <cfRule type="expression" dxfId="17772" priority="971" stopIfTrue="1">
      <formula>AQ91=CléMaladie</formula>
    </cfRule>
    <cfRule type="expression" dxfId="17771" priority="972" stopIfTrue="1">
      <formula>AQ91=CléPersonnelle</formula>
    </cfRule>
    <cfRule type="expression" dxfId="17770" priority="973" stopIfTrue="1">
      <formula>AQ91=CléCongés</formula>
    </cfRule>
  </conditionalFormatting>
  <conditionalFormatting sqref="D66:AG66">
    <cfRule type="expression" priority="1399" stopIfTrue="1">
      <formula>D66=""</formula>
    </cfRule>
    <cfRule type="expression" dxfId="17769" priority="1400" stopIfTrue="1">
      <formula>D66=CléPersonnalisée2</formula>
    </cfRule>
    <cfRule type="expression" dxfId="17768" priority="1401" stopIfTrue="1">
      <formula>D66=CléPersonnalisée1</formula>
    </cfRule>
    <cfRule type="expression" dxfId="17767" priority="1402" stopIfTrue="1">
      <formula>D66=CléMaladie</formula>
    </cfRule>
    <cfRule type="expression" dxfId="17766" priority="1403" stopIfTrue="1">
      <formula>D66=CléPersonnelle</formula>
    </cfRule>
    <cfRule type="expression" dxfId="17765" priority="1404" stopIfTrue="1">
      <formula>D66=CléCongés</formula>
    </cfRule>
  </conditionalFormatting>
  <conditionalFormatting sqref="AI67:AL67 AJ65:AL66">
    <cfRule type="expression" priority="1393" stopIfTrue="1">
      <formula>AI65=""</formula>
    </cfRule>
    <cfRule type="expression" dxfId="17764" priority="1394" stopIfTrue="1">
      <formula>AI65=CléPersonnalisée2</formula>
    </cfRule>
    <cfRule type="expression" dxfId="17763" priority="1395" stopIfTrue="1">
      <formula>AI65=CléPersonnalisée1</formula>
    </cfRule>
    <cfRule type="expression" dxfId="17762" priority="1396" stopIfTrue="1">
      <formula>AI65=CléMaladie</formula>
    </cfRule>
    <cfRule type="expression" dxfId="17761" priority="1397" stopIfTrue="1">
      <formula>AI65=CléPersonnelle</formula>
    </cfRule>
    <cfRule type="expression" dxfId="17760" priority="1398" stopIfTrue="1">
      <formula>AI65=CléCongés</formula>
    </cfRule>
  </conditionalFormatting>
  <conditionalFormatting sqref="AQ65:AR66">
    <cfRule type="expression" priority="1381" stopIfTrue="1">
      <formula>AQ65=""</formula>
    </cfRule>
    <cfRule type="expression" dxfId="17759" priority="1382" stopIfTrue="1">
      <formula>AQ65=CléPersonnalisée2</formula>
    </cfRule>
    <cfRule type="expression" dxfId="17758" priority="1383" stopIfTrue="1">
      <formula>AQ65=CléPersonnalisée1</formula>
    </cfRule>
    <cfRule type="expression" dxfId="17757" priority="1384" stopIfTrue="1">
      <formula>AQ65=CléMaladie</formula>
    </cfRule>
    <cfRule type="expression" dxfId="17756" priority="1385" stopIfTrue="1">
      <formula>AQ65=CléPersonnelle</formula>
    </cfRule>
    <cfRule type="expression" dxfId="17755" priority="1386" stopIfTrue="1">
      <formula>AQ65=CléCongés</formula>
    </cfRule>
  </conditionalFormatting>
  <conditionalFormatting sqref="AH65:AH66">
    <cfRule type="dataBar" priority="1374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{B79D08A5-4E50-4CF3-944A-31C0DA536BCE}</x14:id>
        </ext>
      </extLst>
    </cfRule>
  </conditionalFormatting>
  <conditionalFormatting sqref="AO67">
    <cfRule type="expression" priority="1368" stopIfTrue="1">
      <formula>AO67=""</formula>
    </cfRule>
    <cfRule type="expression" dxfId="17754" priority="1369" stopIfTrue="1">
      <formula>AO67=CléPersonnalisée2</formula>
    </cfRule>
    <cfRule type="expression" dxfId="17753" priority="1370" stopIfTrue="1">
      <formula>AO67=CléPersonnalisée1</formula>
    </cfRule>
    <cfRule type="expression" dxfId="17752" priority="1371" stopIfTrue="1">
      <formula>AO67=CléMaladie</formula>
    </cfRule>
    <cfRule type="expression" dxfId="17751" priority="1372" stopIfTrue="1">
      <formula>AO67=CléPersonnelle</formula>
    </cfRule>
    <cfRule type="expression" dxfId="17750" priority="1373" stopIfTrue="1">
      <formula>AO67=CléCongés</formula>
    </cfRule>
  </conditionalFormatting>
  <conditionalFormatting sqref="AI65:AI66">
    <cfRule type="expression" priority="1362" stopIfTrue="1">
      <formula>AI65=""</formula>
    </cfRule>
    <cfRule type="expression" dxfId="17749" priority="1363" stopIfTrue="1">
      <formula>AI65=CléPersonnalisée2</formula>
    </cfRule>
    <cfRule type="expression" dxfId="17748" priority="1364" stopIfTrue="1">
      <formula>AI65=CléPersonnalisée1</formula>
    </cfRule>
    <cfRule type="expression" dxfId="17747" priority="1365" stopIfTrue="1">
      <formula>AI65=CléMaladie</formula>
    </cfRule>
    <cfRule type="expression" dxfId="17746" priority="1366" stopIfTrue="1">
      <formula>AI65=CléPersonnelle</formula>
    </cfRule>
    <cfRule type="expression" dxfId="17745" priority="1367" stopIfTrue="1">
      <formula>AI65=CléCongés</formula>
    </cfRule>
  </conditionalFormatting>
  <conditionalFormatting sqref="AN67">
    <cfRule type="expression" priority="1356" stopIfTrue="1">
      <formula>AN67=""</formula>
    </cfRule>
    <cfRule type="expression" dxfId="17744" priority="1357" stopIfTrue="1">
      <formula>AN67=CléPersonnalisée2</formula>
    </cfRule>
    <cfRule type="expression" dxfId="17743" priority="1358" stopIfTrue="1">
      <formula>AN67=CléPersonnalisée1</formula>
    </cfRule>
    <cfRule type="expression" dxfId="17742" priority="1359" stopIfTrue="1">
      <formula>AN67=CléMaladie</formula>
    </cfRule>
    <cfRule type="expression" dxfId="17741" priority="1360" stopIfTrue="1">
      <formula>AN67=CléPersonnelle</formula>
    </cfRule>
    <cfRule type="expression" dxfId="17740" priority="1361" stopIfTrue="1">
      <formula>AN67=CléCongés</formula>
    </cfRule>
  </conditionalFormatting>
  <conditionalFormatting sqref="AR11">
    <cfRule type="expression" priority="1350" stopIfTrue="1">
      <formula>AR11=""</formula>
    </cfRule>
    <cfRule type="expression" dxfId="17739" priority="1351" stopIfTrue="1">
      <formula>AR11=CléPersonnalisée2</formula>
    </cfRule>
    <cfRule type="expression" dxfId="17738" priority="1352" stopIfTrue="1">
      <formula>AR11=CléPersonnalisée1</formula>
    </cfRule>
    <cfRule type="expression" dxfId="17737" priority="1353" stopIfTrue="1">
      <formula>AR11=CléMaladie</formula>
    </cfRule>
    <cfRule type="expression" dxfId="17736" priority="1354" stopIfTrue="1">
      <formula>AR11=CléPersonnelle</formula>
    </cfRule>
    <cfRule type="expression" dxfId="17735" priority="1355" stopIfTrue="1">
      <formula>AR11=CléCongés</formula>
    </cfRule>
  </conditionalFormatting>
  <conditionalFormatting sqref="AQ11">
    <cfRule type="expression" priority="1344" stopIfTrue="1">
      <formula>AQ11=""</formula>
    </cfRule>
    <cfRule type="expression" dxfId="17734" priority="1345" stopIfTrue="1">
      <formula>AQ11=CléPersonnalisée2</formula>
    </cfRule>
    <cfRule type="expression" dxfId="17733" priority="1346" stopIfTrue="1">
      <formula>AQ11=CléPersonnalisée1</formula>
    </cfRule>
    <cfRule type="expression" dxfId="17732" priority="1347" stopIfTrue="1">
      <formula>AQ11=CléMaladie</formula>
    </cfRule>
    <cfRule type="expression" dxfId="17731" priority="1348" stopIfTrue="1">
      <formula>AQ11=CléPersonnelle</formula>
    </cfRule>
    <cfRule type="expression" dxfId="17730" priority="1349" stopIfTrue="1">
      <formula>AQ11=CléCongés</formula>
    </cfRule>
  </conditionalFormatting>
  <conditionalFormatting sqref="AR19">
    <cfRule type="expression" priority="1338" stopIfTrue="1">
      <formula>AR19=""</formula>
    </cfRule>
    <cfRule type="expression" dxfId="17729" priority="1339" stopIfTrue="1">
      <formula>AR19=CléPersonnalisée2</formula>
    </cfRule>
    <cfRule type="expression" dxfId="17728" priority="1340" stopIfTrue="1">
      <formula>AR19=CléPersonnalisée1</formula>
    </cfRule>
    <cfRule type="expression" dxfId="17727" priority="1341" stopIfTrue="1">
      <formula>AR19=CléMaladie</formula>
    </cfRule>
    <cfRule type="expression" dxfId="17726" priority="1342" stopIfTrue="1">
      <formula>AR19=CléPersonnelle</formula>
    </cfRule>
    <cfRule type="expression" dxfId="17725" priority="1343" stopIfTrue="1">
      <formula>AR19=CléCongés</formula>
    </cfRule>
  </conditionalFormatting>
  <conditionalFormatting sqref="AQ19">
    <cfRule type="expression" priority="1332" stopIfTrue="1">
      <formula>AQ19=""</formula>
    </cfRule>
    <cfRule type="expression" dxfId="17724" priority="1333" stopIfTrue="1">
      <formula>AQ19=CléPersonnalisée2</formula>
    </cfRule>
    <cfRule type="expression" dxfId="17723" priority="1334" stopIfTrue="1">
      <formula>AQ19=CléPersonnalisée1</formula>
    </cfRule>
    <cfRule type="expression" dxfId="17722" priority="1335" stopIfTrue="1">
      <formula>AQ19=CléMaladie</formula>
    </cfRule>
    <cfRule type="expression" dxfId="17721" priority="1336" stopIfTrue="1">
      <formula>AQ19=CléPersonnelle</formula>
    </cfRule>
    <cfRule type="expression" dxfId="17720" priority="1337" stopIfTrue="1">
      <formula>AQ19=CléCongés</formula>
    </cfRule>
  </conditionalFormatting>
  <conditionalFormatting sqref="AR23">
    <cfRule type="expression" priority="1326" stopIfTrue="1">
      <formula>AR23=""</formula>
    </cfRule>
    <cfRule type="expression" dxfId="17719" priority="1327" stopIfTrue="1">
      <formula>AR23=CléPersonnalisée2</formula>
    </cfRule>
    <cfRule type="expression" dxfId="17718" priority="1328" stopIfTrue="1">
      <formula>AR23=CléPersonnalisée1</formula>
    </cfRule>
    <cfRule type="expression" dxfId="17717" priority="1329" stopIfTrue="1">
      <formula>AR23=CléMaladie</formula>
    </cfRule>
    <cfRule type="expression" dxfId="17716" priority="1330" stopIfTrue="1">
      <formula>AR23=CléPersonnelle</formula>
    </cfRule>
    <cfRule type="expression" dxfId="17715" priority="1331" stopIfTrue="1">
      <formula>AR23=CléCongés</formula>
    </cfRule>
  </conditionalFormatting>
  <conditionalFormatting sqref="AQ23">
    <cfRule type="expression" priority="1320" stopIfTrue="1">
      <formula>AQ23=""</formula>
    </cfRule>
    <cfRule type="expression" dxfId="17714" priority="1321" stopIfTrue="1">
      <formula>AQ23=CléPersonnalisée2</formula>
    </cfRule>
    <cfRule type="expression" dxfId="17713" priority="1322" stopIfTrue="1">
      <formula>AQ23=CléPersonnalisée1</formula>
    </cfRule>
    <cfRule type="expression" dxfId="17712" priority="1323" stopIfTrue="1">
      <formula>AQ23=CléMaladie</formula>
    </cfRule>
    <cfRule type="expression" dxfId="17711" priority="1324" stopIfTrue="1">
      <formula>AQ23=CléPersonnelle</formula>
    </cfRule>
    <cfRule type="expression" dxfId="17710" priority="1325" stopIfTrue="1">
      <formula>AQ23=CléCongés</formula>
    </cfRule>
  </conditionalFormatting>
  <conditionalFormatting sqref="AR27">
    <cfRule type="expression" priority="1314" stopIfTrue="1">
      <formula>AR27=""</formula>
    </cfRule>
    <cfRule type="expression" dxfId="17709" priority="1315" stopIfTrue="1">
      <formula>AR27=CléPersonnalisée2</formula>
    </cfRule>
    <cfRule type="expression" dxfId="17708" priority="1316" stopIfTrue="1">
      <formula>AR27=CléPersonnalisée1</formula>
    </cfRule>
    <cfRule type="expression" dxfId="17707" priority="1317" stopIfTrue="1">
      <formula>AR27=CléMaladie</formula>
    </cfRule>
    <cfRule type="expression" dxfId="17706" priority="1318" stopIfTrue="1">
      <formula>AR27=CléPersonnelle</formula>
    </cfRule>
    <cfRule type="expression" dxfId="17705" priority="1319" stopIfTrue="1">
      <formula>AR27=CléCongés</formula>
    </cfRule>
  </conditionalFormatting>
  <conditionalFormatting sqref="AQ27">
    <cfRule type="expression" priority="1308" stopIfTrue="1">
      <formula>AQ27=""</formula>
    </cfRule>
    <cfRule type="expression" dxfId="17704" priority="1309" stopIfTrue="1">
      <formula>AQ27=CléPersonnalisée2</formula>
    </cfRule>
    <cfRule type="expression" dxfId="17703" priority="1310" stopIfTrue="1">
      <formula>AQ27=CléPersonnalisée1</formula>
    </cfRule>
    <cfRule type="expression" dxfId="17702" priority="1311" stopIfTrue="1">
      <formula>AQ27=CléMaladie</formula>
    </cfRule>
    <cfRule type="expression" dxfId="17701" priority="1312" stopIfTrue="1">
      <formula>AQ27=CléPersonnelle</formula>
    </cfRule>
    <cfRule type="expression" dxfId="17700" priority="1313" stopIfTrue="1">
      <formula>AQ27=CléCongés</formula>
    </cfRule>
  </conditionalFormatting>
  <conditionalFormatting sqref="AR31">
    <cfRule type="expression" priority="1302" stopIfTrue="1">
      <formula>AR31=""</formula>
    </cfRule>
    <cfRule type="expression" dxfId="17699" priority="1303" stopIfTrue="1">
      <formula>AR31=CléPersonnalisée2</formula>
    </cfRule>
    <cfRule type="expression" dxfId="17698" priority="1304" stopIfTrue="1">
      <formula>AR31=CléPersonnalisée1</formula>
    </cfRule>
    <cfRule type="expression" dxfId="17697" priority="1305" stopIfTrue="1">
      <formula>AR31=CléMaladie</formula>
    </cfRule>
    <cfRule type="expression" dxfId="17696" priority="1306" stopIfTrue="1">
      <formula>AR31=CléPersonnelle</formula>
    </cfRule>
    <cfRule type="expression" dxfId="17695" priority="1307" stopIfTrue="1">
      <formula>AR31=CléCongés</formula>
    </cfRule>
  </conditionalFormatting>
  <conditionalFormatting sqref="AQ31">
    <cfRule type="expression" priority="1296" stopIfTrue="1">
      <formula>AQ31=""</formula>
    </cfRule>
    <cfRule type="expression" dxfId="17694" priority="1297" stopIfTrue="1">
      <formula>AQ31=CléPersonnalisée2</formula>
    </cfRule>
    <cfRule type="expression" dxfId="17693" priority="1298" stopIfTrue="1">
      <formula>AQ31=CléPersonnalisée1</formula>
    </cfRule>
    <cfRule type="expression" dxfId="17692" priority="1299" stopIfTrue="1">
      <formula>AQ31=CléMaladie</formula>
    </cfRule>
    <cfRule type="expression" dxfId="17691" priority="1300" stopIfTrue="1">
      <formula>AQ31=CléPersonnelle</formula>
    </cfRule>
    <cfRule type="expression" dxfId="17690" priority="1301" stopIfTrue="1">
      <formula>AQ31=CléCongés</formula>
    </cfRule>
  </conditionalFormatting>
  <conditionalFormatting sqref="AR35">
    <cfRule type="expression" priority="1290" stopIfTrue="1">
      <formula>AR35=""</formula>
    </cfRule>
    <cfRule type="expression" dxfId="17689" priority="1291" stopIfTrue="1">
      <formula>AR35=CléPersonnalisée2</formula>
    </cfRule>
    <cfRule type="expression" dxfId="17688" priority="1292" stopIfTrue="1">
      <formula>AR35=CléPersonnalisée1</formula>
    </cfRule>
    <cfRule type="expression" dxfId="17687" priority="1293" stopIfTrue="1">
      <formula>AR35=CléMaladie</formula>
    </cfRule>
    <cfRule type="expression" dxfId="17686" priority="1294" stopIfTrue="1">
      <formula>AR35=CléPersonnelle</formula>
    </cfRule>
    <cfRule type="expression" dxfId="17685" priority="1295" stopIfTrue="1">
      <formula>AR35=CléCongés</formula>
    </cfRule>
  </conditionalFormatting>
  <conditionalFormatting sqref="AQ35">
    <cfRule type="expression" priority="1284" stopIfTrue="1">
      <formula>AQ35=""</formula>
    </cfRule>
    <cfRule type="expression" dxfId="17684" priority="1285" stopIfTrue="1">
      <formula>AQ35=CléPersonnalisée2</formula>
    </cfRule>
    <cfRule type="expression" dxfId="17683" priority="1286" stopIfTrue="1">
      <formula>AQ35=CléPersonnalisée1</formula>
    </cfRule>
    <cfRule type="expression" dxfId="17682" priority="1287" stopIfTrue="1">
      <formula>AQ35=CléMaladie</formula>
    </cfRule>
    <cfRule type="expression" dxfId="17681" priority="1288" stopIfTrue="1">
      <formula>AQ35=CléPersonnelle</formula>
    </cfRule>
    <cfRule type="expression" dxfId="17680" priority="1289" stopIfTrue="1">
      <formula>AQ35=CléCongés</formula>
    </cfRule>
  </conditionalFormatting>
  <conditionalFormatting sqref="AR39">
    <cfRule type="expression" priority="1278" stopIfTrue="1">
      <formula>AR39=""</formula>
    </cfRule>
    <cfRule type="expression" dxfId="17679" priority="1279" stopIfTrue="1">
      <formula>AR39=CléPersonnalisée2</formula>
    </cfRule>
    <cfRule type="expression" dxfId="17678" priority="1280" stopIfTrue="1">
      <formula>AR39=CléPersonnalisée1</formula>
    </cfRule>
    <cfRule type="expression" dxfId="17677" priority="1281" stopIfTrue="1">
      <formula>AR39=CléMaladie</formula>
    </cfRule>
    <cfRule type="expression" dxfId="17676" priority="1282" stopIfTrue="1">
      <formula>AR39=CléPersonnelle</formula>
    </cfRule>
    <cfRule type="expression" dxfId="17675" priority="1283" stopIfTrue="1">
      <formula>AR39=CléCongés</formula>
    </cfRule>
  </conditionalFormatting>
  <conditionalFormatting sqref="AQ39">
    <cfRule type="expression" priority="1272" stopIfTrue="1">
      <formula>AQ39=""</formula>
    </cfRule>
    <cfRule type="expression" dxfId="17674" priority="1273" stopIfTrue="1">
      <formula>AQ39=CléPersonnalisée2</formula>
    </cfRule>
    <cfRule type="expression" dxfId="17673" priority="1274" stopIfTrue="1">
      <formula>AQ39=CléPersonnalisée1</formula>
    </cfRule>
    <cfRule type="expression" dxfId="17672" priority="1275" stopIfTrue="1">
      <formula>AQ39=CléMaladie</formula>
    </cfRule>
    <cfRule type="expression" dxfId="17671" priority="1276" stopIfTrue="1">
      <formula>AQ39=CléPersonnelle</formula>
    </cfRule>
    <cfRule type="expression" dxfId="17670" priority="1277" stopIfTrue="1">
      <formula>AQ39=CléCongés</formula>
    </cfRule>
  </conditionalFormatting>
  <conditionalFormatting sqref="AR43">
    <cfRule type="expression" priority="1266" stopIfTrue="1">
      <formula>AR43=""</formula>
    </cfRule>
    <cfRule type="expression" dxfId="17669" priority="1267" stopIfTrue="1">
      <formula>AR43=CléPersonnalisée2</formula>
    </cfRule>
    <cfRule type="expression" dxfId="17668" priority="1268" stopIfTrue="1">
      <formula>AR43=CléPersonnalisée1</formula>
    </cfRule>
    <cfRule type="expression" dxfId="17667" priority="1269" stopIfTrue="1">
      <formula>AR43=CléMaladie</formula>
    </cfRule>
    <cfRule type="expression" dxfId="17666" priority="1270" stopIfTrue="1">
      <formula>AR43=CléPersonnelle</formula>
    </cfRule>
    <cfRule type="expression" dxfId="17665" priority="1271" stopIfTrue="1">
      <formula>AR43=CléCongés</formula>
    </cfRule>
  </conditionalFormatting>
  <conditionalFormatting sqref="AQ43">
    <cfRule type="expression" priority="1260" stopIfTrue="1">
      <formula>AQ43=""</formula>
    </cfRule>
    <cfRule type="expression" dxfId="17664" priority="1261" stopIfTrue="1">
      <formula>AQ43=CléPersonnalisée2</formula>
    </cfRule>
    <cfRule type="expression" dxfId="17663" priority="1262" stopIfTrue="1">
      <formula>AQ43=CléPersonnalisée1</formula>
    </cfRule>
    <cfRule type="expression" dxfId="17662" priority="1263" stopIfTrue="1">
      <formula>AQ43=CléMaladie</formula>
    </cfRule>
    <cfRule type="expression" dxfId="17661" priority="1264" stopIfTrue="1">
      <formula>AQ43=CléPersonnelle</formula>
    </cfRule>
    <cfRule type="expression" dxfId="17660" priority="1265" stopIfTrue="1">
      <formula>AQ43=CléCongés</formula>
    </cfRule>
  </conditionalFormatting>
  <conditionalFormatting sqref="AR47">
    <cfRule type="expression" priority="1254" stopIfTrue="1">
      <formula>AR47=""</formula>
    </cfRule>
    <cfRule type="expression" dxfId="17659" priority="1255" stopIfTrue="1">
      <formula>AR47=CléPersonnalisée2</formula>
    </cfRule>
    <cfRule type="expression" dxfId="17658" priority="1256" stopIfTrue="1">
      <formula>AR47=CléPersonnalisée1</formula>
    </cfRule>
    <cfRule type="expression" dxfId="17657" priority="1257" stopIfTrue="1">
      <formula>AR47=CléMaladie</formula>
    </cfRule>
    <cfRule type="expression" dxfId="17656" priority="1258" stopIfTrue="1">
      <formula>AR47=CléPersonnelle</formula>
    </cfRule>
    <cfRule type="expression" dxfId="17655" priority="1259" stopIfTrue="1">
      <formula>AR47=CléCongés</formula>
    </cfRule>
  </conditionalFormatting>
  <conditionalFormatting sqref="AQ47">
    <cfRule type="expression" priority="1248" stopIfTrue="1">
      <formula>AQ47=""</formula>
    </cfRule>
    <cfRule type="expression" dxfId="17654" priority="1249" stopIfTrue="1">
      <formula>AQ47=CléPersonnalisée2</formula>
    </cfRule>
    <cfRule type="expression" dxfId="17653" priority="1250" stopIfTrue="1">
      <formula>AQ47=CléPersonnalisée1</formula>
    </cfRule>
    <cfRule type="expression" dxfId="17652" priority="1251" stopIfTrue="1">
      <formula>AQ47=CléMaladie</formula>
    </cfRule>
    <cfRule type="expression" dxfId="17651" priority="1252" stopIfTrue="1">
      <formula>AQ47=CléPersonnelle</formula>
    </cfRule>
    <cfRule type="expression" dxfId="17650" priority="1253" stopIfTrue="1">
      <formula>AQ47=CléCongés</formula>
    </cfRule>
  </conditionalFormatting>
  <conditionalFormatting sqref="AR51">
    <cfRule type="expression" priority="1242" stopIfTrue="1">
      <formula>AR51=""</formula>
    </cfRule>
    <cfRule type="expression" dxfId="17649" priority="1243" stopIfTrue="1">
      <formula>AR51=CléPersonnalisée2</formula>
    </cfRule>
    <cfRule type="expression" dxfId="17648" priority="1244" stopIfTrue="1">
      <formula>AR51=CléPersonnalisée1</formula>
    </cfRule>
    <cfRule type="expression" dxfId="17647" priority="1245" stopIfTrue="1">
      <formula>AR51=CléMaladie</formula>
    </cfRule>
    <cfRule type="expression" dxfId="17646" priority="1246" stopIfTrue="1">
      <formula>AR51=CléPersonnelle</formula>
    </cfRule>
    <cfRule type="expression" dxfId="17645" priority="1247" stopIfTrue="1">
      <formula>AR51=CléCongés</formula>
    </cfRule>
  </conditionalFormatting>
  <conditionalFormatting sqref="AQ51">
    <cfRule type="expression" priority="1236" stopIfTrue="1">
      <formula>AQ51=""</formula>
    </cfRule>
    <cfRule type="expression" dxfId="17644" priority="1237" stopIfTrue="1">
      <formula>AQ51=CléPersonnalisée2</formula>
    </cfRule>
    <cfRule type="expression" dxfId="17643" priority="1238" stopIfTrue="1">
      <formula>AQ51=CléPersonnalisée1</formula>
    </cfRule>
    <cfRule type="expression" dxfId="17642" priority="1239" stopIfTrue="1">
      <formula>AQ51=CléMaladie</formula>
    </cfRule>
    <cfRule type="expression" dxfId="17641" priority="1240" stopIfTrue="1">
      <formula>AQ51=CléPersonnelle</formula>
    </cfRule>
    <cfRule type="expression" dxfId="17640" priority="1241" stopIfTrue="1">
      <formula>AQ51=CléCongés</formula>
    </cfRule>
  </conditionalFormatting>
  <conditionalFormatting sqref="AR55">
    <cfRule type="expression" priority="1230" stopIfTrue="1">
      <formula>AR55=""</formula>
    </cfRule>
    <cfRule type="expression" dxfId="17639" priority="1231" stopIfTrue="1">
      <formula>AR55=CléPersonnalisée2</formula>
    </cfRule>
    <cfRule type="expression" dxfId="17638" priority="1232" stopIfTrue="1">
      <formula>AR55=CléPersonnalisée1</formula>
    </cfRule>
    <cfRule type="expression" dxfId="17637" priority="1233" stopIfTrue="1">
      <formula>AR55=CléMaladie</formula>
    </cfRule>
    <cfRule type="expression" dxfId="17636" priority="1234" stopIfTrue="1">
      <formula>AR55=CléPersonnelle</formula>
    </cfRule>
    <cfRule type="expression" dxfId="17635" priority="1235" stopIfTrue="1">
      <formula>AR55=CléCongés</formula>
    </cfRule>
  </conditionalFormatting>
  <conditionalFormatting sqref="AQ55">
    <cfRule type="expression" priority="1224" stopIfTrue="1">
      <formula>AQ55=""</formula>
    </cfRule>
    <cfRule type="expression" dxfId="17634" priority="1225" stopIfTrue="1">
      <formula>AQ55=CléPersonnalisée2</formula>
    </cfRule>
    <cfRule type="expression" dxfId="17633" priority="1226" stopIfTrue="1">
      <formula>AQ55=CléPersonnalisée1</formula>
    </cfRule>
    <cfRule type="expression" dxfId="17632" priority="1227" stopIfTrue="1">
      <formula>AQ55=CléMaladie</formula>
    </cfRule>
    <cfRule type="expression" dxfId="17631" priority="1228" stopIfTrue="1">
      <formula>AQ55=CléPersonnelle</formula>
    </cfRule>
    <cfRule type="expression" dxfId="17630" priority="1229" stopIfTrue="1">
      <formula>AQ55=CléCongés</formula>
    </cfRule>
  </conditionalFormatting>
  <conditionalFormatting sqref="AR63">
    <cfRule type="expression" priority="1218" stopIfTrue="1">
      <formula>AR63=""</formula>
    </cfRule>
    <cfRule type="expression" dxfId="17629" priority="1219" stopIfTrue="1">
      <formula>AR63=CléPersonnalisée2</formula>
    </cfRule>
    <cfRule type="expression" dxfId="17628" priority="1220" stopIfTrue="1">
      <formula>AR63=CléPersonnalisée1</formula>
    </cfRule>
    <cfRule type="expression" dxfId="17627" priority="1221" stopIfTrue="1">
      <formula>AR63=CléMaladie</formula>
    </cfRule>
    <cfRule type="expression" dxfId="17626" priority="1222" stopIfTrue="1">
      <formula>AR63=CléPersonnelle</formula>
    </cfRule>
    <cfRule type="expression" dxfId="17625" priority="1223" stopIfTrue="1">
      <formula>AR63=CléCongés</formula>
    </cfRule>
  </conditionalFormatting>
  <conditionalFormatting sqref="AQ63">
    <cfRule type="expression" priority="1212" stopIfTrue="1">
      <formula>AQ63=""</formula>
    </cfRule>
    <cfRule type="expression" dxfId="17624" priority="1213" stopIfTrue="1">
      <formula>AQ63=CléPersonnalisée2</formula>
    </cfRule>
    <cfRule type="expression" dxfId="17623" priority="1214" stopIfTrue="1">
      <formula>AQ63=CléPersonnalisée1</formula>
    </cfRule>
    <cfRule type="expression" dxfId="17622" priority="1215" stopIfTrue="1">
      <formula>AQ63=CléMaladie</formula>
    </cfRule>
    <cfRule type="expression" dxfId="17621" priority="1216" stopIfTrue="1">
      <formula>AQ63=CléPersonnelle</formula>
    </cfRule>
    <cfRule type="expression" dxfId="17620" priority="1217" stopIfTrue="1">
      <formula>AQ63=CléCongés</formula>
    </cfRule>
  </conditionalFormatting>
  <conditionalFormatting sqref="AR67">
    <cfRule type="expression" priority="1206" stopIfTrue="1">
      <formula>AR67=""</formula>
    </cfRule>
    <cfRule type="expression" dxfId="17619" priority="1207" stopIfTrue="1">
      <formula>AR67=CléPersonnalisée2</formula>
    </cfRule>
    <cfRule type="expression" dxfId="17618" priority="1208" stopIfTrue="1">
      <formula>AR67=CléPersonnalisée1</formula>
    </cfRule>
    <cfRule type="expression" dxfId="17617" priority="1209" stopIfTrue="1">
      <formula>AR67=CléMaladie</formula>
    </cfRule>
    <cfRule type="expression" dxfId="17616" priority="1210" stopIfTrue="1">
      <formula>AR67=CléPersonnelle</formula>
    </cfRule>
    <cfRule type="expression" dxfId="17615" priority="1211" stopIfTrue="1">
      <formula>AR67=CléCongés</formula>
    </cfRule>
  </conditionalFormatting>
  <conditionalFormatting sqref="AQ67">
    <cfRule type="expression" priority="1200" stopIfTrue="1">
      <formula>AQ67=""</formula>
    </cfRule>
    <cfRule type="expression" dxfId="17614" priority="1201" stopIfTrue="1">
      <formula>AQ67=CléPersonnalisée2</formula>
    </cfRule>
    <cfRule type="expression" dxfId="17613" priority="1202" stopIfTrue="1">
      <formula>AQ67=CléPersonnalisée1</formula>
    </cfRule>
    <cfRule type="expression" dxfId="17612" priority="1203" stopIfTrue="1">
      <formula>AQ67=CléMaladie</formula>
    </cfRule>
    <cfRule type="expression" dxfId="17611" priority="1204" stopIfTrue="1">
      <formula>AQ67=CléPersonnelle</formula>
    </cfRule>
    <cfRule type="expression" dxfId="17610" priority="1205" stopIfTrue="1">
      <formula>AQ67=CléCongés</formula>
    </cfRule>
  </conditionalFormatting>
  <conditionalFormatting sqref="AR71">
    <cfRule type="expression" priority="1194" stopIfTrue="1">
      <formula>AR71=""</formula>
    </cfRule>
    <cfRule type="expression" dxfId="17609" priority="1195" stopIfTrue="1">
      <formula>AR71=CléPersonnalisée2</formula>
    </cfRule>
    <cfRule type="expression" dxfId="17608" priority="1196" stopIfTrue="1">
      <formula>AR71=CléPersonnalisée1</formula>
    </cfRule>
    <cfRule type="expression" dxfId="17607" priority="1197" stopIfTrue="1">
      <formula>AR71=CléMaladie</formula>
    </cfRule>
    <cfRule type="expression" dxfId="17606" priority="1198" stopIfTrue="1">
      <formula>AR71=CléPersonnelle</formula>
    </cfRule>
    <cfRule type="expression" dxfId="17605" priority="1199" stopIfTrue="1">
      <formula>AR71=CléCongés</formula>
    </cfRule>
  </conditionalFormatting>
  <conditionalFormatting sqref="D73:AG74">
    <cfRule type="expression" priority="1182" stopIfTrue="1">
      <formula>D73=""</formula>
    </cfRule>
    <cfRule type="expression" dxfId="17604" priority="1183" stopIfTrue="1">
      <formula>D73=CléPersonnalisée2</formula>
    </cfRule>
    <cfRule type="expression" dxfId="17603" priority="1184" stopIfTrue="1">
      <formula>D73=CléPersonnalisée1</formula>
    </cfRule>
    <cfRule type="expression" dxfId="17602" priority="1185" stopIfTrue="1">
      <formula>D73=CléMaladie</formula>
    </cfRule>
    <cfRule type="expression" dxfId="17601" priority="1186" stopIfTrue="1">
      <formula>D73=CléPersonnelle</formula>
    </cfRule>
    <cfRule type="expression" dxfId="17600" priority="1187" stopIfTrue="1">
      <formula>D73=CléCongés</formula>
    </cfRule>
  </conditionalFormatting>
  <conditionalFormatting sqref="AI75:AL75 AJ73:AL74">
    <cfRule type="expression" priority="1176" stopIfTrue="1">
      <formula>AI73=""</formula>
    </cfRule>
    <cfRule type="expression" dxfId="17599" priority="1177" stopIfTrue="1">
      <formula>AI73=CléPersonnalisée2</formula>
    </cfRule>
    <cfRule type="expression" dxfId="17598" priority="1178" stopIfTrue="1">
      <formula>AI73=CléPersonnalisée1</formula>
    </cfRule>
    <cfRule type="expression" dxfId="17597" priority="1179" stopIfTrue="1">
      <formula>AI73=CléMaladie</formula>
    </cfRule>
    <cfRule type="expression" dxfId="17596" priority="1180" stopIfTrue="1">
      <formula>AI73=CléPersonnelle</formula>
    </cfRule>
    <cfRule type="expression" dxfId="17595" priority="1181" stopIfTrue="1">
      <formula>AI73=CléCongés</formula>
    </cfRule>
  </conditionalFormatting>
  <conditionalFormatting sqref="AM73:AP74">
    <cfRule type="expression" priority="1170" stopIfTrue="1">
      <formula>AM73=""</formula>
    </cfRule>
    <cfRule type="expression" dxfId="17594" priority="1171" stopIfTrue="1">
      <formula>AM73=CléPersonnalisée2</formula>
    </cfRule>
    <cfRule type="expression" dxfId="17593" priority="1172" stopIfTrue="1">
      <formula>AM73=CléPersonnalisée1</formula>
    </cfRule>
    <cfRule type="expression" dxfId="17592" priority="1173" stopIfTrue="1">
      <formula>AM73=CléMaladie</formula>
    </cfRule>
    <cfRule type="expression" dxfId="17591" priority="1174" stopIfTrue="1">
      <formula>AM73=CléPersonnelle</formula>
    </cfRule>
    <cfRule type="expression" dxfId="17590" priority="1175" stopIfTrue="1">
      <formula>AM73=CléCongés</formula>
    </cfRule>
  </conditionalFormatting>
  <conditionalFormatting sqref="AQ73:AR74">
    <cfRule type="expression" priority="1164" stopIfTrue="1">
      <formula>AQ73=""</formula>
    </cfRule>
    <cfRule type="expression" dxfId="17589" priority="1165" stopIfTrue="1">
      <formula>AQ73=CléPersonnalisée2</formula>
    </cfRule>
    <cfRule type="expression" dxfId="17588" priority="1166" stopIfTrue="1">
      <formula>AQ73=CléPersonnalisée1</formula>
    </cfRule>
    <cfRule type="expression" dxfId="17587" priority="1167" stopIfTrue="1">
      <formula>AQ73=CléMaladie</formula>
    </cfRule>
    <cfRule type="expression" dxfId="17586" priority="1168" stopIfTrue="1">
      <formula>AQ73=CléPersonnelle</formula>
    </cfRule>
    <cfRule type="expression" dxfId="17585" priority="1169" stopIfTrue="1">
      <formula>AQ73=CléCongés</formula>
    </cfRule>
  </conditionalFormatting>
  <conditionalFormatting sqref="AM75 AP75">
    <cfRule type="expression" priority="1158" stopIfTrue="1">
      <formula>AM75=""</formula>
    </cfRule>
    <cfRule type="expression" dxfId="17584" priority="1159" stopIfTrue="1">
      <formula>AM75=CléPersonnalisée2</formula>
    </cfRule>
    <cfRule type="expression" dxfId="17583" priority="1160" stopIfTrue="1">
      <formula>AM75=CléPersonnalisée1</formula>
    </cfRule>
    <cfRule type="expression" dxfId="17582" priority="1161" stopIfTrue="1">
      <formula>AM75=CléMaladie</formula>
    </cfRule>
    <cfRule type="expression" dxfId="17581" priority="1162" stopIfTrue="1">
      <formula>AM75=CléPersonnelle</formula>
    </cfRule>
    <cfRule type="expression" dxfId="17580" priority="1163" stopIfTrue="1">
      <formula>AM75=CléCongés</formula>
    </cfRule>
  </conditionalFormatting>
  <conditionalFormatting sqref="AH73:AH74">
    <cfRule type="dataBar" priority="1157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{7EBE9502-A6F2-4C1F-894E-99D6203B51F3}</x14:id>
        </ext>
      </extLst>
    </cfRule>
  </conditionalFormatting>
  <conditionalFormatting sqref="AI73:AI74">
    <cfRule type="expression" priority="1151" stopIfTrue="1">
      <formula>AI73=""</formula>
    </cfRule>
    <cfRule type="expression" dxfId="17579" priority="1152" stopIfTrue="1">
      <formula>AI73=CléPersonnalisée2</formula>
    </cfRule>
    <cfRule type="expression" dxfId="17578" priority="1153" stopIfTrue="1">
      <formula>AI73=CléPersonnalisée1</formula>
    </cfRule>
    <cfRule type="expression" dxfId="17577" priority="1154" stopIfTrue="1">
      <formula>AI73=CléMaladie</formula>
    </cfRule>
    <cfRule type="expression" dxfId="17576" priority="1155" stopIfTrue="1">
      <formula>AI73=CléPersonnelle</formula>
    </cfRule>
    <cfRule type="expression" dxfId="17575" priority="1156" stopIfTrue="1">
      <formula>AI73=CléCongés</formula>
    </cfRule>
  </conditionalFormatting>
  <conditionalFormatting sqref="AR75">
    <cfRule type="expression" priority="1145" stopIfTrue="1">
      <formula>AR75=""</formula>
    </cfRule>
    <cfRule type="expression" dxfId="17574" priority="1146" stopIfTrue="1">
      <formula>AR75=CléPersonnalisée2</formula>
    </cfRule>
    <cfRule type="expression" dxfId="17573" priority="1147" stopIfTrue="1">
      <formula>AR75=CléPersonnalisée1</formula>
    </cfRule>
    <cfRule type="expression" dxfId="17572" priority="1148" stopIfTrue="1">
      <formula>AR75=CléMaladie</formula>
    </cfRule>
    <cfRule type="expression" dxfId="17571" priority="1149" stopIfTrue="1">
      <formula>AR75=CléPersonnelle</formula>
    </cfRule>
    <cfRule type="expression" dxfId="17570" priority="1150" stopIfTrue="1">
      <formula>AR75=CléCongés</formula>
    </cfRule>
  </conditionalFormatting>
  <conditionalFormatting sqref="D81:AG82">
    <cfRule type="expression" priority="1133" stopIfTrue="1">
      <formula>D81=""</formula>
    </cfRule>
    <cfRule type="expression" dxfId="17569" priority="1134" stopIfTrue="1">
      <formula>D81=CléPersonnalisée2</formula>
    </cfRule>
    <cfRule type="expression" dxfId="17568" priority="1135" stopIfTrue="1">
      <formula>D81=CléPersonnalisée1</formula>
    </cfRule>
    <cfRule type="expression" dxfId="17567" priority="1136" stopIfTrue="1">
      <formula>D81=CléMaladie</formula>
    </cfRule>
    <cfRule type="expression" dxfId="17566" priority="1137" stopIfTrue="1">
      <formula>D81=CléPersonnelle</formula>
    </cfRule>
    <cfRule type="expression" dxfId="17565" priority="1138" stopIfTrue="1">
      <formula>D81=CléCongés</formula>
    </cfRule>
  </conditionalFormatting>
  <conditionalFormatting sqref="AI83:AL83 AJ81:AL82">
    <cfRule type="expression" priority="1127" stopIfTrue="1">
      <formula>AI81=""</formula>
    </cfRule>
    <cfRule type="expression" dxfId="17564" priority="1128" stopIfTrue="1">
      <formula>AI81=CléPersonnalisée2</formula>
    </cfRule>
    <cfRule type="expression" dxfId="17563" priority="1129" stopIfTrue="1">
      <formula>AI81=CléPersonnalisée1</formula>
    </cfRule>
    <cfRule type="expression" dxfId="17562" priority="1130" stopIfTrue="1">
      <formula>AI81=CléMaladie</formula>
    </cfRule>
    <cfRule type="expression" dxfId="17561" priority="1131" stopIfTrue="1">
      <formula>AI81=CléPersonnelle</formula>
    </cfRule>
    <cfRule type="expression" dxfId="17560" priority="1132" stopIfTrue="1">
      <formula>AI81=CléCongés</formula>
    </cfRule>
  </conditionalFormatting>
  <conditionalFormatting sqref="AM81:AP82">
    <cfRule type="expression" priority="1121" stopIfTrue="1">
      <formula>AM81=""</formula>
    </cfRule>
    <cfRule type="expression" dxfId="17559" priority="1122" stopIfTrue="1">
      <formula>AM81=CléPersonnalisée2</formula>
    </cfRule>
    <cfRule type="expression" dxfId="17558" priority="1123" stopIfTrue="1">
      <formula>AM81=CléPersonnalisée1</formula>
    </cfRule>
    <cfRule type="expression" dxfId="17557" priority="1124" stopIfTrue="1">
      <formula>AM81=CléMaladie</formula>
    </cfRule>
    <cfRule type="expression" dxfId="17556" priority="1125" stopIfTrue="1">
      <formula>AM81=CléPersonnelle</formula>
    </cfRule>
    <cfRule type="expression" dxfId="17555" priority="1126" stopIfTrue="1">
      <formula>AM81=CléCongés</formula>
    </cfRule>
  </conditionalFormatting>
  <conditionalFormatting sqref="AQ81:AR82">
    <cfRule type="expression" priority="1115" stopIfTrue="1">
      <formula>AQ81=""</formula>
    </cfRule>
    <cfRule type="expression" dxfId="17554" priority="1116" stopIfTrue="1">
      <formula>AQ81=CléPersonnalisée2</formula>
    </cfRule>
    <cfRule type="expression" dxfId="17553" priority="1117" stopIfTrue="1">
      <formula>AQ81=CléPersonnalisée1</formula>
    </cfRule>
    <cfRule type="expression" dxfId="17552" priority="1118" stopIfTrue="1">
      <formula>AQ81=CléMaladie</formula>
    </cfRule>
    <cfRule type="expression" dxfId="17551" priority="1119" stopIfTrue="1">
      <formula>AQ81=CléPersonnelle</formula>
    </cfRule>
    <cfRule type="expression" dxfId="17550" priority="1120" stopIfTrue="1">
      <formula>AQ81=CléCongés</formula>
    </cfRule>
  </conditionalFormatting>
  <conditionalFormatting sqref="AM83 AP83">
    <cfRule type="expression" priority="1109" stopIfTrue="1">
      <formula>AM83=""</formula>
    </cfRule>
    <cfRule type="expression" dxfId="17549" priority="1110" stopIfTrue="1">
      <formula>AM83=CléPersonnalisée2</formula>
    </cfRule>
    <cfRule type="expression" dxfId="17548" priority="1111" stopIfTrue="1">
      <formula>AM83=CléPersonnalisée1</formula>
    </cfRule>
    <cfRule type="expression" dxfId="17547" priority="1112" stopIfTrue="1">
      <formula>AM83=CléMaladie</formula>
    </cfRule>
    <cfRule type="expression" dxfId="17546" priority="1113" stopIfTrue="1">
      <formula>AM83=CléPersonnelle</formula>
    </cfRule>
    <cfRule type="expression" dxfId="17545" priority="1114" stopIfTrue="1">
      <formula>AM83=CléCongés</formula>
    </cfRule>
  </conditionalFormatting>
  <conditionalFormatting sqref="AH81:AH82">
    <cfRule type="dataBar" priority="1108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{D85CC8A4-4B98-4E5C-AFE6-612A89BC15CD}</x14:id>
        </ext>
      </extLst>
    </cfRule>
  </conditionalFormatting>
  <conditionalFormatting sqref="AO83">
    <cfRule type="expression" priority="1102" stopIfTrue="1">
      <formula>AO83=""</formula>
    </cfRule>
    <cfRule type="expression" dxfId="17544" priority="1103" stopIfTrue="1">
      <formula>AO83=CléPersonnalisée2</formula>
    </cfRule>
    <cfRule type="expression" dxfId="17543" priority="1104" stopIfTrue="1">
      <formula>AO83=CléPersonnalisée1</formula>
    </cfRule>
    <cfRule type="expression" dxfId="17542" priority="1105" stopIfTrue="1">
      <formula>AO83=CléMaladie</formula>
    </cfRule>
    <cfRule type="expression" dxfId="17541" priority="1106" stopIfTrue="1">
      <formula>AO83=CléPersonnelle</formula>
    </cfRule>
    <cfRule type="expression" dxfId="17540" priority="1107" stopIfTrue="1">
      <formula>AO83=CléCongés</formula>
    </cfRule>
  </conditionalFormatting>
  <conditionalFormatting sqref="AI81:AI82">
    <cfRule type="expression" priority="1096" stopIfTrue="1">
      <formula>AI81=""</formula>
    </cfRule>
    <cfRule type="expression" dxfId="17539" priority="1097" stopIfTrue="1">
      <formula>AI81=CléPersonnalisée2</formula>
    </cfRule>
    <cfRule type="expression" dxfId="17538" priority="1098" stopIfTrue="1">
      <formula>AI81=CléPersonnalisée1</formula>
    </cfRule>
    <cfRule type="expression" dxfId="17537" priority="1099" stopIfTrue="1">
      <formula>AI81=CléMaladie</formula>
    </cfRule>
    <cfRule type="expression" dxfId="17536" priority="1100" stopIfTrue="1">
      <formula>AI81=CléPersonnelle</formula>
    </cfRule>
    <cfRule type="expression" dxfId="17535" priority="1101" stopIfTrue="1">
      <formula>AI81=CléCongés</formula>
    </cfRule>
  </conditionalFormatting>
  <conditionalFormatting sqref="AN83">
    <cfRule type="expression" priority="1090" stopIfTrue="1">
      <formula>AN83=""</formula>
    </cfRule>
    <cfRule type="expression" dxfId="17534" priority="1091" stopIfTrue="1">
      <formula>AN83=CléPersonnalisée2</formula>
    </cfRule>
    <cfRule type="expression" dxfId="17533" priority="1092" stopIfTrue="1">
      <formula>AN83=CléPersonnalisée1</formula>
    </cfRule>
    <cfRule type="expression" dxfId="17532" priority="1093" stopIfTrue="1">
      <formula>AN83=CléMaladie</formula>
    </cfRule>
    <cfRule type="expression" dxfId="17531" priority="1094" stopIfTrue="1">
      <formula>AN83=CléPersonnelle</formula>
    </cfRule>
    <cfRule type="expression" dxfId="17530" priority="1095" stopIfTrue="1">
      <formula>AN83=CléCongés</formula>
    </cfRule>
  </conditionalFormatting>
  <conditionalFormatting sqref="AR83">
    <cfRule type="expression" priority="1084" stopIfTrue="1">
      <formula>AR83=""</formula>
    </cfRule>
    <cfRule type="expression" dxfId="17529" priority="1085" stopIfTrue="1">
      <formula>AR83=CléPersonnalisée2</formula>
    </cfRule>
    <cfRule type="expression" dxfId="17528" priority="1086" stopIfTrue="1">
      <formula>AR83=CléPersonnalisée1</formula>
    </cfRule>
    <cfRule type="expression" dxfId="17527" priority="1087" stopIfTrue="1">
      <formula>AR83=CléMaladie</formula>
    </cfRule>
    <cfRule type="expression" dxfId="17526" priority="1088" stopIfTrue="1">
      <formula>AR83=CléPersonnelle</formula>
    </cfRule>
    <cfRule type="expression" dxfId="17525" priority="1089" stopIfTrue="1">
      <formula>AR83=CléCongés</formula>
    </cfRule>
  </conditionalFormatting>
  <conditionalFormatting sqref="AQ87">
    <cfRule type="expression" priority="1023" stopIfTrue="1">
      <formula>AQ87=""</formula>
    </cfRule>
    <cfRule type="expression" dxfId="17524" priority="1024" stopIfTrue="1">
      <formula>AQ87=CléPersonnalisée2</formula>
    </cfRule>
    <cfRule type="expression" dxfId="17523" priority="1025" stopIfTrue="1">
      <formula>AQ87=CléPersonnalisée1</formula>
    </cfRule>
    <cfRule type="expression" dxfId="17522" priority="1026" stopIfTrue="1">
      <formula>AQ87=CléMaladie</formula>
    </cfRule>
    <cfRule type="expression" dxfId="17521" priority="1027" stopIfTrue="1">
      <formula>AQ87=CléPersonnelle</formula>
    </cfRule>
    <cfRule type="expression" dxfId="17520" priority="1028" stopIfTrue="1">
      <formula>AQ87=CléCongés</formula>
    </cfRule>
  </conditionalFormatting>
  <conditionalFormatting sqref="D85:AG86">
    <cfRule type="expression" priority="1072" stopIfTrue="1">
      <formula>D85=""</formula>
    </cfRule>
    <cfRule type="expression" dxfId="17519" priority="1073" stopIfTrue="1">
      <formula>D85=CléPersonnalisée2</formula>
    </cfRule>
    <cfRule type="expression" dxfId="17518" priority="1074" stopIfTrue="1">
      <formula>D85=CléPersonnalisée1</formula>
    </cfRule>
    <cfRule type="expression" dxfId="17517" priority="1075" stopIfTrue="1">
      <formula>D85=CléMaladie</formula>
    </cfRule>
    <cfRule type="expression" dxfId="17516" priority="1076" stopIfTrue="1">
      <formula>D85=CléPersonnelle</formula>
    </cfRule>
    <cfRule type="expression" dxfId="17515" priority="1077" stopIfTrue="1">
      <formula>D85=CléCongés</formula>
    </cfRule>
  </conditionalFormatting>
  <conditionalFormatting sqref="AI87:AL87 AJ85:AL86">
    <cfRule type="expression" priority="1066" stopIfTrue="1">
      <formula>AI85=""</formula>
    </cfRule>
    <cfRule type="expression" dxfId="17514" priority="1067" stopIfTrue="1">
      <formula>AI85=CléPersonnalisée2</formula>
    </cfRule>
    <cfRule type="expression" dxfId="17513" priority="1068" stopIfTrue="1">
      <formula>AI85=CléPersonnalisée1</formula>
    </cfRule>
    <cfRule type="expression" dxfId="17512" priority="1069" stopIfTrue="1">
      <formula>AI85=CléMaladie</formula>
    </cfRule>
    <cfRule type="expression" dxfId="17511" priority="1070" stopIfTrue="1">
      <formula>AI85=CléPersonnelle</formula>
    </cfRule>
    <cfRule type="expression" dxfId="17510" priority="1071" stopIfTrue="1">
      <formula>AI85=CléCongés</formula>
    </cfRule>
  </conditionalFormatting>
  <conditionalFormatting sqref="AM85:AP86">
    <cfRule type="expression" priority="1060" stopIfTrue="1">
      <formula>AM85=""</formula>
    </cfRule>
    <cfRule type="expression" dxfId="17509" priority="1061" stopIfTrue="1">
      <formula>AM85=CléPersonnalisée2</formula>
    </cfRule>
    <cfRule type="expression" dxfId="17508" priority="1062" stopIfTrue="1">
      <formula>AM85=CléPersonnalisée1</formula>
    </cfRule>
    <cfRule type="expression" dxfId="17507" priority="1063" stopIfTrue="1">
      <formula>AM85=CléMaladie</formula>
    </cfRule>
    <cfRule type="expression" dxfId="17506" priority="1064" stopIfTrue="1">
      <formula>AM85=CléPersonnelle</formula>
    </cfRule>
    <cfRule type="expression" dxfId="17505" priority="1065" stopIfTrue="1">
      <formula>AM85=CléCongés</formula>
    </cfRule>
  </conditionalFormatting>
  <conditionalFormatting sqref="AQ85:AR86">
    <cfRule type="expression" priority="1054" stopIfTrue="1">
      <formula>AQ85=""</formula>
    </cfRule>
    <cfRule type="expression" dxfId="17504" priority="1055" stopIfTrue="1">
      <formula>AQ85=CléPersonnalisée2</formula>
    </cfRule>
    <cfRule type="expression" dxfId="17503" priority="1056" stopIfTrue="1">
      <formula>AQ85=CléPersonnalisée1</formula>
    </cfRule>
    <cfRule type="expression" dxfId="17502" priority="1057" stopIfTrue="1">
      <formula>AQ85=CléMaladie</formula>
    </cfRule>
    <cfRule type="expression" dxfId="17501" priority="1058" stopIfTrue="1">
      <formula>AQ85=CléPersonnelle</formula>
    </cfRule>
    <cfRule type="expression" dxfId="17500" priority="1059" stopIfTrue="1">
      <formula>AQ85=CléCongés</formula>
    </cfRule>
  </conditionalFormatting>
  <conditionalFormatting sqref="AM87 AP87">
    <cfRule type="expression" priority="1048" stopIfTrue="1">
      <formula>AM87=""</formula>
    </cfRule>
    <cfRule type="expression" dxfId="17499" priority="1049" stopIfTrue="1">
      <formula>AM87=CléPersonnalisée2</formula>
    </cfRule>
    <cfRule type="expression" dxfId="17498" priority="1050" stopIfTrue="1">
      <formula>AM87=CléPersonnalisée1</formula>
    </cfRule>
    <cfRule type="expression" dxfId="17497" priority="1051" stopIfTrue="1">
      <formula>AM87=CléMaladie</formula>
    </cfRule>
    <cfRule type="expression" dxfId="17496" priority="1052" stopIfTrue="1">
      <formula>AM87=CléPersonnelle</formula>
    </cfRule>
    <cfRule type="expression" dxfId="17495" priority="1053" stopIfTrue="1">
      <formula>AM87=CléCongés</formula>
    </cfRule>
  </conditionalFormatting>
  <conditionalFormatting sqref="AH85:AH86">
    <cfRule type="dataBar" priority="1047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{974F3085-9366-4ECD-A49D-2F257A64DDA5}</x14:id>
        </ext>
      </extLst>
    </cfRule>
  </conditionalFormatting>
  <conditionalFormatting sqref="AO87">
    <cfRule type="expression" priority="1041" stopIfTrue="1">
      <formula>AO87=""</formula>
    </cfRule>
    <cfRule type="expression" dxfId="17494" priority="1042" stopIfTrue="1">
      <formula>AO87=CléPersonnalisée2</formula>
    </cfRule>
    <cfRule type="expression" dxfId="17493" priority="1043" stopIfTrue="1">
      <formula>AO87=CléPersonnalisée1</formula>
    </cfRule>
    <cfRule type="expression" dxfId="17492" priority="1044" stopIfTrue="1">
      <formula>AO87=CléMaladie</formula>
    </cfRule>
    <cfRule type="expression" dxfId="17491" priority="1045" stopIfTrue="1">
      <formula>AO87=CléPersonnelle</formula>
    </cfRule>
    <cfRule type="expression" dxfId="17490" priority="1046" stopIfTrue="1">
      <formula>AO87=CléCongés</formula>
    </cfRule>
  </conditionalFormatting>
  <conditionalFormatting sqref="AI85:AI86">
    <cfRule type="expression" priority="1035" stopIfTrue="1">
      <formula>AI85=""</formula>
    </cfRule>
    <cfRule type="expression" dxfId="17489" priority="1036" stopIfTrue="1">
      <formula>AI85=CléPersonnalisée2</formula>
    </cfRule>
    <cfRule type="expression" dxfId="17488" priority="1037" stopIfTrue="1">
      <formula>AI85=CléPersonnalisée1</formula>
    </cfRule>
    <cfRule type="expression" dxfId="17487" priority="1038" stopIfTrue="1">
      <formula>AI85=CléMaladie</formula>
    </cfRule>
    <cfRule type="expression" dxfId="17486" priority="1039" stopIfTrue="1">
      <formula>AI85=CléPersonnelle</formula>
    </cfRule>
    <cfRule type="expression" dxfId="17485" priority="1040" stopIfTrue="1">
      <formula>AI85=CléCongés</formula>
    </cfRule>
  </conditionalFormatting>
  <conditionalFormatting sqref="AR87">
    <cfRule type="expression" priority="1029" stopIfTrue="1">
      <formula>AR87=""</formula>
    </cfRule>
    <cfRule type="expression" dxfId="17484" priority="1030" stopIfTrue="1">
      <formula>AR87=CléPersonnalisée2</formula>
    </cfRule>
    <cfRule type="expression" dxfId="17483" priority="1031" stopIfTrue="1">
      <formula>AR87=CléPersonnalisée1</formula>
    </cfRule>
    <cfRule type="expression" dxfId="17482" priority="1032" stopIfTrue="1">
      <formula>AR87=CléMaladie</formula>
    </cfRule>
    <cfRule type="expression" dxfId="17481" priority="1033" stopIfTrue="1">
      <formula>AR87=CléPersonnelle</formula>
    </cfRule>
    <cfRule type="expression" dxfId="17480" priority="1034" stopIfTrue="1">
      <formula>AR87=CléCongés</formula>
    </cfRule>
  </conditionalFormatting>
  <conditionalFormatting sqref="D89:AG90">
    <cfRule type="expression" priority="1017" stopIfTrue="1">
      <formula>D89=""</formula>
    </cfRule>
    <cfRule type="expression" dxfId="17479" priority="1018" stopIfTrue="1">
      <formula>D89=CléPersonnalisée2</formula>
    </cfRule>
    <cfRule type="expression" dxfId="17478" priority="1019" stopIfTrue="1">
      <formula>D89=CléPersonnalisée1</formula>
    </cfRule>
    <cfRule type="expression" dxfId="17477" priority="1020" stopIfTrue="1">
      <formula>D89=CléMaladie</formula>
    </cfRule>
    <cfRule type="expression" dxfId="17476" priority="1021" stopIfTrue="1">
      <formula>D89=CléPersonnelle</formula>
    </cfRule>
    <cfRule type="expression" dxfId="17475" priority="1022" stopIfTrue="1">
      <formula>D89=CléCongés</formula>
    </cfRule>
  </conditionalFormatting>
  <conditionalFormatting sqref="AI91:AL91 AJ89:AL90">
    <cfRule type="expression" priority="1011" stopIfTrue="1">
      <formula>AI89=""</formula>
    </cfRule>
    <cfRule type="expression" dxfId="17474" priority="1012" stopIfTrue="1">
      <formula>AI89=CléPersonnalisée2</formula>
    </cfRule>
    <cfRule type="expression" dxfId="17473" priority="1013" stopIfTrue="1">
      <formula>AI89=CléPersonnalisée1</formula>
    </cfRule>
    <cfRule type="expression" dxfId="17472" priority="1014" stopIfTrue="1">
      <formula>AI89=CléMaladie</formula>
    </cfRule>
    <cfRule type="expression" dxfId="17471" priority="1015" stopIfTrue="1">
      <formula>AI89=CléPersonnelle</formula>
    </cfRule>
    <cfRule type="expression" dxfId="17470" priority="1016" stopIfTrue="1">
      <formula>AI89=CléCongés</formula>
    </cfRule>
  </conditionalFormatting>
  <conditionalFormatting sqref="AM89:AP90">
    <cfRule type="expression" priority="1005" stopIfTrue="1">
      <formula>AM89=""</formula>
    </cfRule>
    <cfRule type="expression" dxfId="17469" priority="1006" stopIfTrue="1">
      <formula>AM89=CléPersonnalisée2</formula>
    </cfRule>
    <cfRule type="expression" dxfId="17468" priority="1007" stopIfTrue="1">
      <formula>AM89=CléPersonnalisée1</formula>
    </cfRule>
    <cfRule type="expression" dxfId="17467" priority="1008" stopIfTrue="1">
      <formula>AM89=CléMaladie</formula>
    </cfRule>
    <cfRule type="expression" dxfId="17466" priority="1009" stopIfTrue="1">
      <formula>AM89=CléPersonnelle</formula>
    </cfRule>
    <cfRule type="expression" dxfId="17465" priority="1010" stopIfTrue="1">
      <formula>AM89=CléCongés</formula>
    </cfRule>
  </conditionalFormatting>
  <conditionalFormatting sqref="AQ89:AR90">
    <cfRule type="expression" priority="999" stopIfTrue="1">
      <formula>AQ89=""</formula>
    </cfRule>
    <cfRule type="expression" dxfId="17464" priority="1000" stopIfTrue="1">
      <formula>AQ89=CléPersonnalisée2</formula>
    </cfRule>
    <cfRule type="expression" dxfId="17463" priority="1001" stopIfTrue="1">
      <formula>AQ89=CléPersonnalisée1</formula>
    </cfRule>
    <cfRule type="expression" dxfId="17462" priority="1002" stopIfTrue="1">
      <formula>AQ89=CléMaladie</formula>
    </cfRule>
    <cfRule type="expression" dxfId="17461" priority="1003" stopIfTrue="1">
      <formula>AQ89=CléPersonnelle</formula>
    </cfRule>
    <cfRule type="expression" dxfId="17460" priority="1004" stopIfTrue="1">
      <formula>AQ89=CléCongés</formula>
    </cfRule>
  </conditionalFormatting>
  <conditionalFormatting sqref="AM91 AP91">
    <cfRule type="expression" priority="993" stopIfTrue="1">
      <formula>AM91=""</formula>
    </cfRule>
    <cfRule type="expression" dxfId="17459" priority="994" stopIfTrue="1">
      <formula>AM91=CléPersonnalisée2</formula>
    </cfRule>
    <cfRule type="expression" dxfId="17458" priority="995" stopIfTrue="1">
      <formula>AM91=CléPersonnalisée1</formula>
    </cfRule>
    <cfRule type="expression" dxfId="17457" priority="996" stopIfTrue="1">
      <formula>AM91=CléMaladie</formula>
    </cfRule>
    <cfRule type="expression" dxfId="17456" priority="997" stopIfTrue="1">
      <formula>AM91=CléPersonnelle</formula>
    </cfRule>
    <cfRule type="expression" dxfId="17455" priority="998" stopIfTrue="1">
      <formula>AM91=CléCongés</formula>
    </cfRule>
  </conditionalFormatting>
  <conditionalFormatting sqref="AH89:AH90">
    <cfRule type="dataBar" priority="992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{0FDD1678-E959-4EB1-8FC9-262E7D17DAB1}</x14:id>
        </ext>
      </extLst>
    </cfRule>
  </conditionalFormatting>
  <conditionalFormatting sqref="AO91">
    <cfRule type="expression" priority="986" stopIfTrue="1">
      <formula>AO91=""</formula>
    </cfRule>
    <cfRule type="expression" dxfId="17454" priority="987" stopIfTrue="1">
      <formula>AO91=CléPersonnalisée2</formula>
    </cfRule>
    <cfRule type="expression" dxfId="17453" priority="988" stopIfTrue="1">
      <formula>AO91=CléPersonnalisée1</formula>
    </cfRule>
    <cfRule type="expression" dxfId="17452" priority="989" stopIfTrue="1">
      <formula>AO91=CléMaladie</formula>
    </cfRule>
    <cfRule type="expression" dxfId="17451" priority="990" stopIfTrue="1">
      <formula>AO91=CléPersonnelle</formula>
    </cfRule>
    <cfRule type="expression" dxfId="17450" priority="991" stopIfTrue="1">
      <formula>AO91=CléCongés</formula>
    </cfRule>
  </conditionalFormatting>
  <conditionalFormatting sqref="AI89:AI90">
    <cfRule type="expression" priority="980" stopIfTrue="1">
      <formula>AI89=""</formula>
    </cfRule>
    <cfRule type="expression" dxfId="17449" priority="981" stopIfTrue="1">
      <formula>AI89=CléPersonnalisée2</formula>
    </cfRule>
    <cfRule type="expression" dxfId="17448" priority="982" stopIfTrue="1">
      <formula>AI89=CléPersonnalisée1</formula>
    </cfRule>
    <cfRule type="expression" dxfId="17447" priority="983" stopIfTrue="1">
      <formula>AI89=CléMaladie</formula>
    </cfRule>
    <cfRule type="expression" dxfId="17446" priority="984" stopIfTrue="1">
      <formula>AI89=CléPersonnelle</formula>
    </cfRule>
    <cfRule type="expression" dxfId="17445" priority="985" stopIfTrue="1">
      <formula>AI89=CléCongés</formula>
    </cfRule>
  </conditionalFormatting>
  <conditionalFormatting sqref="AR91">
    <cfRule type="expression" priority="974" stopIfTrue="1">
      <formula>AR91=""</formula>
    </cfRule>
    <cfRule type="expression" dxfId="17444" priority="975" stopIfTrue="1">
      <formula>AR91=CléPersonnalisée2</formula>
    </cfRule>
    <cfRule type="expression" dxfId="17443" priority="976" stopIfTrue="1">
      <formula>AR91=CléPersonnalisée1</formula>
    </cfRule>
    <cfRule type="expression" dxfId="17442" priority="977" stopIfTrue="1">
      <formula>AR91=CléMaladie</formula>
    </cfRule>
    <cfRule type="expression" dxfId="17441" priority="978" stopIfTrue="1">
      <formula>AR91=CléPersonnelle</formula>
    </cfRule>
    <cfRule type="expression" dxfId="17440" priority="979" stopIfTrue="1">
      <formula>AR91=CléCongés</formula>
    </cfRule>
  </conditionalFormatting>
  <conditionalFormatting sqref="AO75">
    <cfRule type="expression" priority="962" stopIfTrue="1">
      <formula>AO75=""</formula>
    </cfRule>
    <cfRule type="expression" dxfId="17439" priority="963" stopIfTrue="1">
      <formula>AO75=CléPersonnalisée2</formula>
    </cfRule>
    <cfRule type="expression" dxfId="17438" priority="964" stopIfTrue="1">
      <formula>AO75=CléPersonnalisée1</formula>
    </cfRule>
    <cfRule type="expression" dxfId="17437" priority="965" stopIfTrue="1">
      <formula>AO75=CléMaladie</formula>
    </cfRule>
    <cfRule type="expression" dxfId="17436" priority="966" stopIfTrue="1">
      <formula>AO75=CléPersonnelle</formula>
    </cfRule>
    <cfRule type="expression" dxfId="17435" priority="967" stopIfTrue="1">
      <formula>AO75=CléCongés</formula>
    </cfRule>
  </conditionalFormatting>
  <conditionalFormatting sqref="AN75">
    <cfRule type="expression" priority="956" stopIfTrue="1">
      <formula>AN75=""</formula>
    </cfRule>
    <cfRule type="expression" dxfId="17434" priority="957" stopIfTrue="1">
      <formula>AN75=CléPersonnalisée2</formula>
    </cfRule>
    <cfRule type="expression" dxfId="17433" priority="958" stopIfTrue="1">
      <formula>AN75=CléPersonnalisée1</formula>
    </cfRule>
    <cfRule type="expression" dxfId="17432" priority="959" stopIfTrue="1">
      <formula>AN75=CléMaladie</formula>
    </cfRule>
    <cfRule type="expression" dxfId="17431" priority="960" stopIfTrue="1">
      <formula>AN75=CléPersonnelle</formula>
    </cfRule>
    <cfRule type="expression" dxfId="17430" priority="961" stopIfTrue="1">
      <formula>AN75=CléCongés</formula>
    </cfRule>
  </conditionalFormatting>
  <conditionalFormatting sqref="AQ123">
    <cfRule type="expression" priority="779" stopIfTrue="1">
      <formula>AQ123=""</formula>
    </cfRule>
    <cfRule type="expression" dxfId="17429" priority="780" stopIfTrue="1">
      <formula>AQ123=CléPersonnalisée2</formula>
    </cfRule>
    <cfRule type="expression" dxfId="17428" priority="781" stopIfTrue="1">
      <formula>AQ123=CléPersonnalisée1</formula>
    </cfRule>
    <cfRule type="expression" dxfId="17427" priority="782" stopIfTrue="1">
      <formula>AQ123=CléMaladie</formula>
    </cfRule>
    <cfRule type="expression" dxfId="17426" priority="783" stopIfTrue="1">
      <formula>AQ123=CléPersonnelle</formula>
    </cfRule>
    <cfRule type="expression" dxfId="17425" priority="784" stopIfTrue="1">
      <formula>AQ123=CléCongés</formula>
    </cfRule>
  </conditionalFormatting>
  <conditionalFormatting sqref="AQ104:AR104 AQ112:AR112 AQ116:AR116">
    <cfRule type="expression" priority="950" stopIfTrue="1">
      <formula>AQ104=""</formula>
    </cfRule>
    <cfRule type="expression" dxfId="17424" priority="951" stopIfTrue="1">
      <formula>AQ104=CléPersonnalisée2</formula>
    </cfRule>
    <cfRule type="expression" dxfId="17423" priority="952" stopIfTrue="1">
      <formula>AQ104=CléPersonnalisée1</formula>
    </cfRule>
    <cfRule type="expression" dxfId="17422" priority="953" stopIfTrue="1">
      <formula>AQ104=CléMaladie</formula>
    </cfRule>
    <cfRule type="expression" dxfId="17421" priority="954" stopIfTrue="1">
      <formula>AQ104=CléPersonnelle</formula>
    </cfRule>
    <cfRule type="expression" dxfId="17420" priority="955" stopIfTrue="1">
      <formula>AQ104=CléCongés</formula>
    </cfRule>
  </conditionalFormatting>
  <conditionalFormatting sqref="AQ95 AQ103 AQ99">
    <cfRule type="expression" priority="895" stopIfTrue="1">
      <formula>AQ95=""</formula>
    </cfRule>
    <cfRule type="expression" dxfId="17419" priority="896" stopIfTrue="1">
      <formula>AQ95=CléPersonnalisée2</formula>
    </cfRule>
    <cfRule type="expression" dxfId="17418" priority="897" stopIfTrue="1">
      <formula>AQ95=CléPersonnalisée1</formula>
    </cfRule>
    <cfRule type="expression" dxfId="17417" priority="898" stopIfTrue="1">
      <formula>AQ95=CléMaladie</formula>
    </cfRule>
    <cfRule type="expression" dxfId="17416" priority="899" stopIfTrue="1">
      <formula>AQ95=CléPersonnelle</formula>
    </cfRule>
    <cfRule type="expression" dxfId="17415" priority="900" stopIfTrue="1">
      <formula>AQ95=CléCongés</formula>
    </cfRule>
  </conditionalFormatting>
  <conditionalFormatting sqref="D93:AG94">
    <cfRule type="expression" priority="944" stopIfTrue="1">
      <formula>D93=""</formula>
    </cfRule>
    <cfRule type="expression" dxfId="17414" priority="945" stopIfTrue="1">
      <formula>D93=CléPersonnalisée2</formula>
    </cfRule>
    <cfRule type="expression" dxfId="17413" priority="946" stopIfTrue="1">
      <formula>D93=CléPersonnalisée1</formula>
    </cfRule>
    <cfRule type="expression" dxfId="17412" priority="947" stopIfTrue="1">
      <formula>D93=CléMaladie</formula>
    </cfRule>
    <cfRule type="expression" dxfId="17411" priority="948" stopIfTrue="1">
      <formula>D93=CléPersonnelle</formula>
    </cfRule>
    <cfRule type="expression" dxfId="17410" priority="949" stopIfTrue="1">
      <formula>D93=CléCongés</formula>
    </cfRule>
  </conditionalFormatting>
  <conditionalFormatting sqref="AI95:AL95 AJ93:AL94 AI101:AL103 AI97:AL99">
    <cfRule type="expression" priority="938" stopIfTrue="1">
      <formula>AI93=""</formula>
    </cfRule>
    <cfRule type="expression" dxfId="17409" priority="939" stopIfTrue="1">
      <formula>AI93=CléPersonnalisée2</formula>
    </cfRule>
    <cfRule type="expression" dxfId="17408" priority="940" stopIfTrue="1">
      <formula>AI93=CléPersonnalisée1</formula>
    </cfRule>
    <cfRule type="expression" dxfId="17407" priority="941" stopIfTrue="1">
      <formula>AI93=CléMaladie</formula>
    </cfRule>
    <cfRule type="expression" dxfId="17406" priority="942" stopIfTrue="1">
      <formula>AI93=CléPersonnelle</formula>
    </cfRule>
    <cfRule type="expression" dxfId="17405" priority="943" stopIfTrue="1">
      <formula>AI93=CléCongés</formula>
    </cfRule>
  </conditionalFormatting>
  <conditionalFormatting sqref="AM93:AP94">
    <cfRule type="expression" priority="932" stopIfTrue="1">
      <formula>AM93=""</formula>
    </cfRule>
    <cfRule type="expression" dxfId="17404" priority="933" stopIfTrue="1">
      <formula>AM93=CléPersonnalisée2</formula>
    </cfRule>
    <cfRule type="expression" dxfId="17403" priority="934" stopIfTrue="1">
      <formula>AM93=CléPersonnalisée1</formula>
    </cfRule>
    <cfRule type="expression" dxfId="17402" priority="935" stopIfTrue="1">
      <formula>AM93=CléMaladie</formula>
    </cfRule>
    <cfRule type="expression" dxfId="17401" priority="936" stopIfTrue="1">
      <formula>AM93=CléPersonnelle</formula>
    </cfRule>
    <cfRule type="expression" dxfId="17400" priority="937" stopIfTrue="1">
      <formula>AM93=CléCongés</formula>
    </cfRule>
  </conditionalFormatting>
  <conditionalFormatting sqref="AQ93:AR94">
    <cfRule type="expression" priority="926" stopIfTrue="1">
      <formula>AQ93=""</formula>
    </cfRule>
    <cfRule type="expression" dxfId="17399" priority="927" stopIfTrue="1">
      <formula>AQ93=CléPersonnalisée2</formula>
    </cfRule>
    <cfRule type="expression" dxfId="17398" priority="928" stopIfTrue="1">
      <formula>AQ93=CléPersonnalisée1</formula>
    </cfRule>
    <cfRule type="expression" dxfId="17397" priority="929" stopIfTrue="1">
      <formula>AQ93=CléMaladie</formula>
    </cfRule>
    <cfRule type="expression" dxfId="17396" priority="930" stopIfTrue="1">
      <formula>AQ93=CléPersonnelle</formula>
    </cfRule>
    <cfRule type="expression" dxfId="17395" priority="931" stopIfTrue="1">
      <formula>AQ93=CléCongés</formula>
    </cfRule>
  </conditionalFormatting>
  <conditionalFormatting sqref="AM95 AP95 AP103 AM103 AP99 AM99">
    <cfRule type="expression" priority="920" stopIfTrue="1">
      <formula>AM95=""</formula>
    </cfRule>
    <cfRule type="expression" dxfId="17394" priority="921" stopIfTrue="1">
      <formula>AM95=CléPersonnalisée2</formula>
    </cfRule>
    <cfRule type="expression" dxfId="17393" priority="922" stopIfTrue="1">
      <formula>AM95=CléPersonnalisée1</formula>
    </cfRule>
    <cfRule type="expression" dxfId="17392" priority="923" stopIfTrue="1">
      <formula>AM95=CléMaladie</formula>
    </cfRule>
    <cfRule type="expression" dxfId="17391" priority="924" stopIfTrue="1">
      <formula>AM95=CléPersonnelle</formula>
    </cfRule>
    <cfRule type="expression" dxfId="17390" priority="925" stopIfTrue="1">
      <formula>AM95=CléCongés</formula>
    </cfRule>
  </conditionalFormatting>
  <conditionalFormatting sqref="AH93:AH94">
    <cfRule type="dataBar" priority="919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{DE5B5E39-2492-4C86-BF54-DCA6B8C2B464}</x14:id>
        </ext>
      </extLst>
    </cfRule>
  </conditionalFormatting>
  <conditionalFormatting sqref="AO95 AO103 AO99">
    <cfRule type="expression" priority="913" stopIfTrue="1">
      <formula>AO95=""</formula>
    </cfRule>
    <cfRule type="expression" dxfId="17389" priority="914" stopIfTrue="1">
      <formula>AO95=CléPersonnalisée2</formula>
    </cfRule>
    <cfRule type="expression" dxfId="17388" priority="915" stopIfTrue="1">
      <formula>AO95=CléPersonnalisée1</formula>
    </cfRule>
    <cfRule type="expression" dxfId="17387" priority="916" stopIfTrue="1">
      <formula>AO95=CléMaladie</formula>
    </cfRule>
    <cfRule type="expression" dxfId="17386" priority="917" stopIfTrue="1">
      <formula>AO95=CléPersonnelle</formula>
    </cfRule>
    <cfRule type="expression" dxfId="17385" priority="918" stopIfTrue="1">
      <formula>AO95=CléCongés</formula>
    </cfRule>
  </conditionalFormatting>
  <conditionalFormatting sqref="AI93:AI94">
    <cfRule type="expression" priority="907" stopIfTrue="1">
      <formula>AI93=""</formula>
    </cfRule>
    <cfRule type="expression" dxfId="17384" priority="908" stopIfTrue="1">
      <formula>AI93=CléPersonnalisée2</formula>
    </cfRule>
    <cfRule type="expression" dxfId="17383" priority="909" stopIfTrue="1">
      <formula>AI93=CléPersonnalisée1</formula>
    </cfRule>
    <cfRule type="expression" dxfId="17382" priority="910" stopIfTrue="1">
      <formula>AI93=CléMaladie</formula>
    </cfRule>
    <cfRule type="expression" dxfId="17381" priority="911" stopIfTrue="1">
      <formula>AI93=CléPersonnelle</formula>
    </cfRule>
    <cfRule type="expression" dxfId="17380" priority="912" stopIfTrue="1">
      <formula>AI93=CléCongés</formula>
    </cfRule>
  </conditionalFormatting>
  <conditionalFormatting sqref="AR95 AR103 AR99">
    <cfRule type="expression" priority="901" stopIfTrue="1">
      <formula>AR95=""</formula>
    </cfRule>
    <cfRule type="expression" dxfId="17379" priority="902" stopIfTrue="1">
      <formula>AR95=CléPersonnalisée2</formula>
    </cfRule>
    <cfRule type="expression" dxfId="17378" priority="903" stopIfTrue="1">
      <formula>AR95=CléPersonnalisée1</formula>
    </cfRule>
    <cfRule type="expression" dxfId="17377" priority="904" stopIfTrue="1">
      <formula>AR95=CléMaladie</formula>
    </cfRule>
    <cfRule type="expression" dxfId="17376" priority="905" stopIfTrue="1">
      <formula>AR95=CléPersonnelle</formula>
    </cfRule>
    <cfRule type="expression" dxfId="17375" priority="906" stopIfTrue="1">
      <formula>AR95=CléCongés</formula>
    </cfRule>
  </conditionalFormatting>
  <conditionalFormatting sqref="AQ111">
    <cfRule type="expression" priority="834" stopIfTrue="1">
      <formula>AQ111=""</formula>
    </cfRule>
    <cfRule type="expression" dxfId="17374" priority="835" stopIfTrue="1">
      <formula>AQ111=CléPersonnalisée2</formula>
    </cfRule>
    <cfRule type="expression" dxfId="17373" priority="836" stopIfTrue="1">
      <formula>AQ111=CléPersonnalisée1</formula>
    </cfRule>
    <cfRule type="expression" dxfId="17372" priority="837" stopIfTrue="1">
      <formula>AQ111=CléMaladie</formula>
    </cfRule>
    <cfRule type="expression" dxfId="17371" priority="838" stopIfTrue="1">
      <formula>AQ111=CléPersonnelle</formula>
    </cfRule>
    <cfRule type="expression" dxfId="17370" priority="839" stopIfTrue="1">
      <formula>AQ111=CléCongés</formula>
    </cfRule>
  </conditionalFormatting>
  <conditionalFormatting sqref="D109:AG110">
    <cfRule type="expression" priority="889" stopIfTrue="1">
      <formula>D109=""</formula>
    </cfRule>
    <cfRule type="expression" dxfId="17369" priority="890" stopIfTrue="1">
      <formula>D109=CléPersonnalisée2</formula>
    </cfRule>
    <cfRule type="expression" dxfId="17368" priority="891" stopIfTrue="1">
      <formula>D109=CléPersonnalisée1</formula>
    </cfRule>
    <cfRule type="expression" dxfId="17367" priority="892" stopIfTrue="1">
      <formula>D109=CléMaladie</formula>
    </cfRule>
    <cfRule type="expression" dxfId="17366" priority="893" stopIfTrue="1">
      <formula>D109=CléPersonnelle</formula>
    </cfRule>
    <cfRule type="expression" dxfId="17365" priority="894" stopIfTrue="1">
      <formula>D109=CléCongés</formula>
    </cfRule>
  </conditionalFormatting>
  <conditionalFormatting sqref="AI111:AL111 AJ109:AL110">
    <cfRule type="expression" priority="883" stopIfTrue="1">
      <formula>AI109=""</formula>
    </cfRule>
    <cfRule type="expression" dxfId="17364" priority="884" stopIfTrue="1">
      <formula>AI109=CléPersonnalisée2</formula>
    </cfRule>
    <cfRule type="expression" dxfId="17363" priority="885" stopIfTrue="1">
      <formula>AI109=CléPersonnalisée1</formula>
    </cfRule>
    <cfRule type="expression" dxfId="17362" priority="886" stopIfTrue="1">
      <formula>AI109=CléMaladie</formula>
    </cfRule>
    <cfRule type="expression" dxfId="17361" priority="887" stopIfTrue="1">
      <formula>AI109=CléPersonnelle</formula>
    </cfRule>
    <cfRule type="expression" dxfId="17360" priority="888" stopIfTrue="1">
      <formula>AI109=CléCongés</formula>
    </cfRule>
  </conditionalFormatting>
  <conditionalFormatting sqref="AM109:AP110">
    <cfRule type="expression" priority="877" stopIfTrue="1">
      <formula>AM109=""</formula>
    </cfRule>
    <cfRule type="expression" dxfId="17359" priority="878" stopIfTrue="1">
      <formula>AM109=CléPersonnalisée2</formula>
    </cfRule>
    <cfRule type="expression" dxfId="17358" priority="879" stopIfTrue="1">
      <formula>AM109=CléPersonnalisée1</formula>
    </cfRule>
    <cfRule type="expression" dxfId="17357" priority="880" stopIfTrue="1">
      <formula>AM109=CléMaladie</formula>
    </cfRule>
    <cfRule type="expression" dxfId="17356" priority="881" stopIfTrue="1">
      <formula>AM109=CléPersonnelle</formula>
    </cfRule>
    <cfRule type="expression" dxfId="17355" priority="882" stopIfTrue="1">
      <formula>AM109=CléCongés</formula>
    </cfRule>
  </conditionalFormatting>
  <conditionalFormatting sqref="AQ109:AR110">
    <cfRule type="expression" priority="871" stopIfTrue="1">
      <formula>AQ109=""</formula>
    </cfRule>
    <cfRule type="expression" dxfId="17354" priority="872" stopIfTrue="1">
      <formula>AQ109=CléPersonnalisée2</formula>
    </cfRule>
    <cfRule type="expression" dxfId="17353" priority="873" stopIfTrue="1">
      <formula>AQ109=CléPersonnalisée1</formula>
    </cfRule>
    <cfRule type="expression" dxfId="17352" priority="874" stopIfTrue="1">
      <formula>AQ109=CléMaladie</formula>
    </cfRule>
    <cfRule type="expression" dxfId="17351" priority="875" stopIfTrue="1">
      <formula>AQ109=CléPersonnelle</formula>
    </cfRule>
    <cfRule type="expression" dxfId="17350" priority="876" stopIfTrue="1">
      <formula>AQ109=CléCongés</formula>
    </cfRule>
  </conditionalFormatting>
  <conditionalFormatting sqref="AM111 AP111">
    <cfRule type="expression" priority="865" stopIfTrue="1">
      <formula>AM111=""</formula>
    </cfRule>
    <cfRule type="expression" dxfId="17349" priority="866" stopIfTrue="1">
      <formula>AM111=CléPersonnalisée2</formula>
    </cfRule>
    <cfRule type="expression" dxfId="17348" priority="867" stopIfTrue="1">
      <formula>AM111=CléPersonnalisée1</formula>
    </cfRule>
    <cfRule type="expression" dxfId="17347" priority="868" stopIfTrue="1">
      <formula>AM111=CléMaladie</formula>
    </cfRule>
    <cfRule type="expression" dxfId="17346" priority="869" stopIfTrue="1">
      <formula>AM111=CléPersonnelle</formula>
    </cfRule>
    <cfRule type="expression" dxfId="17345" priority="870" stopIfTrue="1">
      <formula>AM111=CléCongés</formula>
    </cfRule>
  </conditionalFormatting>
  <conditionalFormatting sqref="AH109:AH110">
    <cfRule type="dataBar" priority="864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{0791F30D-C221-40C8-B51C-7DF534A57E10}</x14:id>
        </ext>
      </extLst>
    </cfRule>
  </conditionalFormatting>
  <conditionalFormatting sqref="AO111">
    <cfRule type="expression" priority="858" stopIfTrue="1">
      <formula>AO111=""</formula>
    </cfRule>
    <cfRule type="expression" dxfId="17344" priority="859" stopIfTrue="1">
      <formula>AO111=CléPersonnalisée2</formula>
    </cfRule>
    <cfRule type="expression" dxfId="17343" priority="860" stopIfTrue="1">
      <formula>AO111=CléPersonnalisée1</formula>
    </cfRule>
    <cfRule type="expression" dxfId="17342" priority="861" stopIfTrue="1">
      <formula>AO111=CléMaladie</formula>
    </cfRule>
    <cfRule type="expression" dxfId="17341" priority="862" stopIfTrue="1">
      <formula>AO111=CléPersonnelle</formula>
    </cfRule>
    <cfRule type="expression" dxfId="17340" priority="863" stopIfTrue="1">
      <formula>AO111=CléCongés</formula>
    </cfRule>
  </conditionalFormatting>
  <conditionalFormatting sqref="AI109:AI110">
    <cfRule type="expression" priority="852" stopIfTrue="1">
      <formula>AI109=""</formula>
    </cfRule>
    <cfRule type="expression" dxfId="17339" priority="853" stopIfTrue="1">
      <formula>AI109=CléPersonnalisée2</formula>
    </cfRule>
    <cfRule type="expression" dxfId="17338" priority="854" stopIfTrue="1">
      <formula>AI109=CléPersonnalisée1</formula>
    </cfRule>
    <cfRule type="expression" dxfId="17337" priority="855" stopIfTrue="1">
      <formula>AI109=CléMaladie</formula>
    </cfRule>
    <cfRule type="expression" dxfId="17336" priority="856" stopIfTrue="1">
      <formula>AI109=CléPersonnelle</formula>
    </cfRule>
    <cfRule type="expression" dxfId="17335" priority="857" stopIfTrue="1">
      <formula>AI109=CléCongés</formula>
    </cfRule>
  </conditionalFormatting>
  <conditionalFormatting sqref="AN111">
    <cfRule type="expression" priority="846" stopIfTrue="1">
      <formula>AN111=""</formula>
    </cfRule>
    <cfRule type="expression" dxfId="17334" priority="847" stopIfTrue="1">
      <formula>AN111=CléPersonnalisée2</formula>
    </cfRule>
    <cfRule type="expression" dxfId="17333" priority="848" stopIfTrue="1">
      <formula>AN111=CléPersonnalisée1</formula>
    </cfRule>
    <cfRule type="expression" dxfId="17332" priority="849" stopIfTrue="1">
      <formula>AN111=CléMaladie</formula>
    </cfRule>
    <cfRule type="expression" dxfId="17331" priority="850" stopIfTrue="1">
      <formula>AN111=CléPersonnelle</formula>
    </cfRule>
    <cfRule type="expression" dxfId="17330" priority="851" stopIfTrue="1">
      <formula>AN111=CléCongés</formula>
    </cfRule>
  </conditionalFormatting>
  <conditionalFormatting sqref="AR111">
    <cfRule type="expression" priority="840" stopIfTrue="1">
      <formula>AR111=""</formula>
    </cfRule>
    <cfRule type="expression" dxfId="17329" priority="841" stopIfTrue="1">
      <formula>AR111=CléPersonnalisée2</formula>
    </cfRule>
    <cfRule type="expression" dxfId="17328" priority="842" stopIfTrue="1">
      <formula>AR111=CléPersonnalisée1</formula>
    </cfRule>
    <cfRule type="expression" dxfId="17327" priority="843" stopIfTrue="1">
      <formula>AR111=CléMaladie</formula>
    </cfRule>
    <cfRule type="expression" dxfId="17326" priority="844" stopIfTrue="1">
      <formula>AR111=CléPersonnelle</formula>
    </cfRule>
    <cfRule type="expression" dxfId="17325" priority="845" stopIfTrue="1">
      <formula>AR111=CléCongés</formula>
    </cfRule>
  </conditionalFormatting>
  <conditionalFormatting sqref="D121:AG122">
    <cfRule type="expression" priority="828" stopIfTrue="1">
      <formula>D121=""</formula>
    </cfRule>
    <cfRule type="expression" dxfId="17324" priority="829" stopIfTrue="1">
      <formula>D121=CléPersonnalisée2</formula>
    </cfRule>
    <cfRule type="expression" dxfId="17323" priority="830" stopIfTrue="1">
      <formula>D121=CléPersonnalisée1</formula>
    </cfRule>
    <cfRule type="expression" dxfId="17322" priority="831" stopIfTrue="1">
      <formula>D121=CléMaladie</formula>
    </cfRule>
    <cfRule type="expression" dxfId="17321" priority="832" stopIfTrue="1">
      <formula>D121=CléPersonnelle</formula>
    </cfRule>
    <cfRule type="expression" dxfId="17320" priority="833" stopIfTrue="1">
      <formula>D121=CléCongés</formula>
    </cfRule>
  </conditionalFormatting>
  <conditionalFormatting sqref="AI123:AL123 AJ121:AL122">
    <cfRule type="expression" priority="822" stopIfTrue="1">
      <formula>AI121=""</formula>
    </cfRule>
    <cfRule type="expression" dxfId="17319" priority="823" stopIfTrue="1">
      <formula>AI121=CléPersonnalisée2</formula>
    </cfRule>
    <cfRule type="expression" dxfId="17318" priority="824" stopIfTrue="1">
      <formula>AI121=CléPersonnalisée1</formula>
    </cfRule>
    <cfRule type="expression" dxfId="17317" priority="825" stopIfTrue="1">
      <formula>AI121=CléMaladie</formula>
    </cfRule>
    <cfRule type="expression" dxfId="17316" priority="826" stopIfTrue="1">
      <formula>AI121=CléPersonnelle</formula>
    </cfRule>
    <cfRule type="expression" dxfId="17315" priority="827" stopIfTrue="1">
      <formula>AI121=CléCongés</formula>
    </cfRule>
  </conditionalFormatting>
  <conditionalFormatting sqref="AM121:AP122">
    <cfRule type="expression" priority="816" stopIfTrue="1">
      <formula>AM121=""</formula>
    </cfRule>
    <cfRule type="expression" dxfId="17314" priority="817" stopIfTrue="1">
      <formula>AM121=CléPersonnalisée2</formula>
    </cfRule>
    <cfRule type="expression" dxfId="17313" priority="818" stopIfTrue="1">
      <formula>AM121=CléPersonnalisée1</formula>
    </cfRule>
    <cfRule type="expression" dxfId="17312" priority="819" stopIfTrue="1">
      <formula>AM121=CléMaladie</formula>
    </cfRule>
    <cfRule type="expression" dxfId="17311" priority="820" stopIfTrue="1">
      <formula>AM121=CléPersonnelle</formula>
    </cfRule>
    <cfRule type="expression" dxfId="17310" priority="821" stopIfTrue="1">
      <formula>AM121=CléCongés</formula>
    </cfRule>
  </conditionalFormatting>
  <conditionalFormatting sqref="AQ121:AR122">
    <cfRule type="expression" priority="810" stopIfTrue="1">
      <formula>AQ121=""</formula>
    </cfRule>
    <cfRule type="expression" dxfId="17309" priority="811" stopIfTrue="1">
      <formula>AQ121=CléPersonnalisée2</formula>
    </cfRule>
    <cfRule type="expression" dxfId="17308" priority="812" stopIfTrue="1">
      <formula>AQ121=CléPersonnalisée1</formula>
    </cfRule>
    <cfRule type="expression" dxfId="17307" priority="813" stopIfTrue="1">
      <formula>AQ121=CléMaladie</formula>
    </cfRule>
    <cfRule type="expression" dxfId="17306" priority="814" stopIfTrue="1">
      <formula>AQ121=CléPersonnelle</formula>
    </cfRule>
    <cfRule type="expression" dxfId="17305" priority="815" stopIfTrue="1">
      <formula>AQ121=CléCongés</formula>
    </cfRule>
  </conditionalFormatting>
  <conditionalFormatting sqref="AM123 AP123">
    <cfRule type="expression" priority="804" stopIfTrue="1">
      <formula>AM123=""</formula>
    </cfRule>
    <cfRule type="expression" dxfId="17304" priority="805" stopIfTrue="1">
      <formula>AM123=CléPersonnalisée2</formula>
    </cfRule>
    <cfRule type="expression" dxfId="17303" priority="806" stopIfTrue="1">
      <formula>AM123=CléPersonnalisée1</formula>
    </cfRule>
    <cfRule type="expression" dxfId="17302" priority="807" stopIfTrue="1">
      <formula>AM123=CléMaladie</formula>
    </cfRule>
    <cfRule type="expression" dxfId="17301" priority="808" stopIfTrue="1">
      <formula>AM123=CléPersonnelle</formula>
    </cfRule>
    <cfRule type="expression" dxfId="17300" priority="809" stopIfTrue="1">
      <formula>AM123=CléCongés</formula>
    </cfRule>
  </conditionalFormatting>
  <conditionalFormatting sqref="AH121:AH122">
    <cfRule type="dataBar" priority="803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{66747345-3F83-40DC-A25A-3CCB0CD853A1}</x14:id>
        </ext>
      </extLst>
    </cfRule>
  </conditionalFormatting>
  <conditionalFormatting sqref="AO123">
    <cfRule type="expression" priority="797" stopIfTrue="1">
      <formula>AO123=""</formula>
    </cfRule>
    <cfRule type="expression" dxfId="17299" priority="798" stopIfTrue="1">
      <formula>AO123=CléPersonnalisée2</formula>
    </cfRule>
    <cfRule type="expression" dxfId="17298" priority="799" stopIfTrue="1">
      <formula>AO123=CléPersonnalisée1</formula>
    </cfRule>
    <cfRule type="expression" dxfId="17297" priority="800" stopIfTrue="1">
      <formula>AO123=CléMaladie</formula>
    </cfRule>
    <cfRule type="expression" dxfId="17296" priority="801" stopIfTrue="1">
      <formula>AO123=CléPersonnelle</formula>
    </cfRule>
    <cfRule type="expression" dxfId="17295" priority="802" stopIfTrue="1">
      <formula>AO123=CléCongés</formula>
    </cfRule>
  </conditionalFormatting>
  <conditionalFormatting sqref="AI121:AI122">
    <cfRule type="expression" priority="791" stopIfTrue="1">
      <formula>AI121=""</formula>
    </cfRule>
    <cfRule type="expression" dxfId="17294" priority="792" stopIfTrue="1">
      <formula>AI121=CléPersonnalisée2</formula>
    </cfRule>
    <cfRule type="expression" dxfId="17293" priority="793" stopIfTrue="1">
      <formula>AI121=CléPersonnalisée1</formula>
    </cfRule>
    <cfRule type="expression" dxfId="17292" priority="794" stopIfTrue="1">
      <formula>AI121=CléMaladie</formula>
    </cfRule>
    <cfRule type="expression" dxfId="17291" priority="795" stopIfTrue="1">
      <formula>AI121=CléPersonnelle</formula>
    </cfRule>
    <cfRule type="expression" dxfId="17290" priority="796" stopIfTrue="1">
      <formula>AI121=CléCongés</formula>
    </cfRule>
  </conditionalFormatting>
  <conditionalFormatting sqref="AR123">
    <cfRule type="expression" priority="785" stopIfTrue="1">
      <formula>AR123=""</formula>
    </cfRule>
    <cfRule type="expression" dxfId="17289" priority="786" stopIfTrue="1">
      <formula>AR123=CléPersonnalisée2</formula>
    </cfRule>
    <cfRule type="expression" dxfId="17288" priority="787" stopIfTrue="1">
      <formula>AR123=CléPersonnalisée1</formula>
    </cfRule>
    <cfRule type="expression" dxfId="17287" priority="788" stopIfTrue="1">
      <formula>AR123=CléMaladie</formula>
    </cfRule>
    <cfRule type="expression" dxfId="17286" priority="789" stopIfTrue="1">
      <formula>AR123=CléPersonnelle</formula>
    </cfRule>
    <cfRule type="expression" dxfId="17285" priority="790" stopIfTrue="1">
      <formula>AR123=CléCongés</formula>
    </cfRule>
  </conditionalFormatting>
  <conditionalFormatting sqref="AN87">
    <cfRule type="expression" priority="773" stopIfTrue="1">
      <formula>AN87=""</formula>
    </cfRule>
    <cfRule type="expression" dxfId="17284" priority="774" stopIfTrue="1">
      <formula>AN87=CléPersonnalisée2</formula>
    </cfRule>
    <cfRule type="expression" dxfId="17283" priority="775" stopIfTrue="1">
      <formula>AN87=CléPersonnalisée1</formula>
    </cfRule>
    <cfRule type="expression" dxfId="17282" priority="776" stopIfTrue="1">
      <formula>AN87=CléMaladie</formula>
    </cfRule>
    <cfRule type="expression" dxfId="17281" priority="777" stopIfTrue="1">
      <formula>AN87=CléPersonnelle</formula>
    </cfRule>
    <cfRule type="expression" dxfId="17280" priority="778" stopIfTrue="1">
      <formula>AN87=CléCongés</formula>
    </cfRule>
  </conditionalFormatting>
  <conditionalFormatting sqref="AN91">
    <cfRule type="expression" priority="767" stopIfTrue="1">
      <formula>AN91=""</formula>
    </cfRule>
    <cfRule type="expression" dxfId="17279" priority="768" stopIfTrue="1">
      <formula>AN91=CléPersonnalisée2</formula>
    </cfRule>
    <cfRule type="expression" dxfId="17278" priority="769" stopIfTrue="1">
      <formula>AN91=CléPersonnalisée1</formula>
    </cfRule>
    <cfRule type="expression" dxfId="17277" priority="770" stopIfTrue="1">
      <formula>AN91=CléMaladie</formula>
    </cfRule>
    <cfRule type="expression" dxfId="17276" priority="771" stopIfTrue="1">
      <formula>AN91=CléPersonnelle</formula>
    </cfRule>
    <cfRule type="expression" dxfId="17275" priority="772" stopIfTrue="1">
      <formula>AN91=CléCongés</formula>
    </cfRule>
  </conditionalFormatting>
  <conditionalFormatting sqref="AN95 AN103 AN99">
    <cfRule type="expression" priority="761" stopIfTrue="1">
      <formula>AN95=""</formula>
    </cfRule>
    <cfRule type="expression" dxfId="17274" priority="762" stopIfTrue="1">
      <formula>AN95=CléPersonnalisée2</formula>
    </cfRule>
    <cfRule type="expression" dxfId="17273" priority="763" stopIfTrue="1">
      <formula>AN95=CléPersonnalisée1</formula>
    </cfRule>
    <cfRule type="expression" dxfId="17272" priority="764" stopIfTrue="1">
      <formula>AN95=CléMaladie</formula>
    </cfRule>
    <cfRule type="expression" dxfId="17271" priority="765" stopIfTrue="1">
      <formula>AN95=CléPersonnelle</formula>
    </cfRule>
    <cfRule type="expression" dxfId="17270" priority="766" stopIfTrue="1">
      <formula>AN95=CléCongés</formula>
    </cfRule>
  </conditionalFormatting>
  <conditionalFormatting sqref="AQ115">
    <cfRule type="expression" priority="700" stopIfTrue="1">
      <formula>AQ115=""</formula>
    </cfRule>
    <cfRule type="expression" dxfId="17269" priority="701" stopIfTrue="1">
      <formula>AQ115=CléPersonnalisée2</formula>
    </cfRule>
    <cfRule type="expression" dxfId="17268" priority="702" stopIfTrue="1">
      <formula>AQ115=CléPersonnalisée1</formula>
    </cfRule>
    <cfRule type="expression" dxfId="17267" priority="703" stopIfTrue="1">
      <formula>AQ115=CléMaladie</formula>
    </cfRule>
    <cfRule type="expression" dxfId="17266" priority="704" stopIfTrue="1">
      <formula>AQ115=CléPersonnelle</formula>
    </cfRule>
    <cfRule type="expression" dxfId="17265" priority="705" stopIfTrue="1">
      <formula>AQ115=CléCongés</formula>
    </cfRule>
  </conditionalFormatting>
  <conditionalFormatting sqref="D113:AG114">
    <cfRule type="expression" priority="755" stopIfTrue="1">
      <formula>D113=""</formula>
    </cfRule>
    <cfRule type="expression" dxfId="17264" priority="756" stopIfTrue="1">
      <formula>D113=CléPersonnalisée2</formula>
    </cfRule>
    <cfRule type="expression" dxfId="17263" priority="757" stopIfTrue="1">
      <formula>D113=CléPersonnalisée1</formula>
    </cfRule>
    <cfRule type="expression" dxfId="17262" priority="758" stopIfTrue="1">
      <formula>D113=CléMaladie</formula>
    </cfRule>
    <cfRule type="expression" dxfId="17261" priority="759" stopIfTrue="1">
      <formula>D113=CléPersonnelle</formula>
    </cfRule>
    <cfRule type="expression" dxfId="17260" priority="760" stopIfTrue="1">
      <formula>D113=CléCongés</formula>
    </cfRule>
  </conditionalFormatting>
  <conditionalFormatting sqref="AI115:AL115 AJ113:AL114">
    <cfRule type="expression" priority="749" stopIfTrue="1">
      <formula>AI113=""</formula>
    </cfRule>
    <cfRule type="expression" dxfId="17259" priority="750" stopIfTrue="1">
      <formula>AI113=CléPersonnalisée2</formula>
    </cfRule>
    <cfRule type="expression" dxfId="17258" priority="751" stopIfTrue="1">
      <formula>AI113=CléPersonnalisée1</formula>
    </cfRule>
    <cfRule type="expression" dxfId="17257" priority="752" stopIfTrue="1">
      <formula>AI113=CléMaladie</formula>
    </cfRule>
    <cfRule type="expression" dxfId="17256" priority="753" stopIfTrue="1">
      <formula>AI113=CléPersonnelle</formula>
    </cfRule>
    <cfRule type="expression" dxfId="17255" priority="754" stopIfTrue="1">
      <formula>AI113=CléCongés</formula>
    </cfRule>
  </conditionalFormatting>
  <conditionalFormatting sqref="AM113:AP114">
    <cfRule type="expression" priority="743" stopIfTrue="1">
      <formula>AM113=""</formula>
    </cfRule>
    <cfRule type="expression" dxfId="17254" priority="744" stopIfTrue="1">
      <formula>AM113=CléPersonnalisée2</formula>
    </cfRule>
    <cfRule type="expression" dxfId="17253" priority="745" stopIfTrue="1">
      <formula>AM113=CléPersonnalisée1</formula>
    </cfRule>
    <cfRule type="expression" dxfId="17252" priority="746" stopIfTrue="1">
      <formula>AM113=CléMaladie</formula>
    </cfRule>
    <cfRule type="expression" dxfId="17251" priority="747" stopIfTrue="1">
      <formula>AM113=CléPersonnelle</formula>
    </cfRule>
    <cfRule type="expression" dxfId="17250" priority="748" stopIfTrue="1">
      <formula>AM113=CléCongés</formula>
    </cfRule>
  </conditionalFormatting>
  <conditionalFormatting sqref="AQ113:AR114">
    <cfRule type="expression" priority="737" stopIfTrue="1">
      <formula>AQ113=""</formula>
    </cfRule>
    <cfRule type="expression" dxfId="17249" priority="738" stopIfTrue="1">
      <formula>AQ113=CléPersonnalisée2</formula>
    </cfRule>
    <cfRule type="expression" dxfId="17248" priority="739" stopIfTrue="1">
      <formula>AQ113=CléPersonnalisée1</formula>
    </cfRule>
    <cfRule type="expression" dxfId="17247" priority="740" stopIfTrue="1">
      <formula>AQ113=CléMaladie</formula>
    </cfRule>
    <cfRule type="expression" dxfId="17246" priority="741" stopIfTrue="1">
      <formula>AQ113=CléPersonnelle</formula>
    </cfRule>
    <cfRule type="expression" dxfId="17245" priority="742" stopIfTrue="1">
      <formula>AQ113=CléCongés</formula>
    </cfRule>
  </conditionalFormatting>
  <conditionalFormatting sqref="AM115 AP115">
    <cfRule type="expression" priority="731" stopIfTrue="1">
      <formula>AM115=""</formula>
    </cfRule>
    <cfRule type="expression" dxfId="17244" priority="732" stopIfTrue="1">
      <formula>AM115=CléPersonnalisée2</formula>
    </cfRule>
    <cfRule type="expression" dxfId="17243" priority="733" stopIfTrue="1">
      <formula>AM115=CléPersonnalisée1</formula>
    </cfRule>
    <cfRule type="expression" dxfId="17242" priority="734" stopIfTrue="1">
      <formula>AM115=CléMaladie</formula>
    </cfRule>
    <cfRule type="expression" dxfId="17241" priority="735" stopIfTrue="1">
      <formula>AM115=CléPersonnelle</formula>
    </cfRule>
    <cfRule type="expression" dxfId="17240" priority="736" stopIfTrue="1">
      <formula>AM115=CléCongés</formula>
    </cfRule>
  </conditionalFormatting>
  <conditionalFormatting sqref="AH113:AH114">
    <cfRule type="dataBar" priority="730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{2FC16254-76B9-4731-8A05-6B8A759D7C6F}</x14:id>
        </ext>
      </extLst>
    </cfRule>
  </conditionalFormatting>
  <conditionalFormatting sqref="AO115">
    <cfRule type="expression" priority="724" stopIfTrue="1">
      <formula>AO115=""</formula>
    </cfRule>
    <cfRule type="expression" dxfId="17239" priority="725" stopIfTrue="1">
      <formula>AO115=CléPersonnalisée2</formula>
    </cfRule>
    <cfRule type="expression" dxfId="17238" priority="726" stopIfTrue="1">
      <formula>AO115=CléPersonnalisée1</formula>
    </cfRule>
    <cfRule type="expression" dxfId="17237" priority="727" stopIfTrue="1">
      <formula>AO115=CléMaladie</formula>
    </cfRule>
    <cfRule type="expression" dxfId="17236" priority="728" stopIfTrue="1">
      <formula>AO115=CléPersonnelle</formula>
    </cfRule>
    <cfRule type="expression" dxfId="17235" priority="729" stopIfTrue="1">
      <formula>AO115=CléCongés</formula>
    </cfRule>
  </conditionalFormatting>
  <conditionalFormatting sqref="AI113:AI114">
    <cfRule type="expression" priority="718" stopIfTrue="1">
      <formula>AI113=""</formula>
    </cfRule>
    <cfRule type="expression" dxfId="17234" priority="719" stopIfTrue="1">
      <formula>AI113=CléPersonnalisée2</formula>
    </cfRule>
    <cfRule type="expression" dxfId="17233" priority="720" stopIfTrue="1">
      <formula>AI113=CléPersonnalisée1</formula>
    </cfRule>
    <cfRule type="expression" dxfId="17232" priority="721" stopIfTrue="1">
      <formula>AI113=CléMaladie</formula>
    </cfRule>
    <cfRule type="expression" dxfId="17231" priority="722" stopIfTrue="1">
      <formula>AI113=CléPersonnelle</formula>
    </cfRule>
    <cfRule type="expression" dxfId="17230" priority="723" stopIfTrue="1">
      <formula>AI113=CléCongés</formula>
    </cfRule>
  </conditionalFormatting>
  <conditionalFormatting sqref="AN115">
    <cfRule type="expression" priority="712" stopIfTrue="1">
      <formula>AN115=""</formula>
    </cfRule>
    <cfRule type="expression" dxfId="17229" priority="713" stopIfTrue="1">
      <formula>AN115=CléPersonnalisée2</formula>
    </cfRule>
    <cfRule type="expression" dxfId="17228" priority="714" stopIfTrue="1">
      <formula>AN115=CléPersonnalisée1</formula>
    </cfRule>
    <cfRule type="expression" dxfId="17227" priority="715" stopIfTrue="1">
      <formula>AN115=CléMaladie</formula>
    </cfRule>
    <cfRule type="expression" dxfId="17226" priority="716" stopIfTrue="1">
      <formula>AN115=CléPersonnelle</formula>
    </cfRule>
    <cfRule type="expression" dxfId="17225" priority="717" stopIfTrue="1">
      <formula>AN115=CléCongés</formula>
    </cfRule>
  </conditionalFormatting>
  <conditionalFormatting sqref="AR115">
    <cfRule type="expression" priority="706" stopIfTrue="1">
      <formula>AR115=""</formula>
    </cfRule>
    <cfRule type="expression" dxfId="17224" priority="707" stopIfTrue="1">
      <formula>AR115=CléPersonnalisée2</formula>
    </cfRule>
    <cfRule type="expression" dxfId="17223" priority="708" stopIfTrue="1">
      <formula>AR115=CléPersonnalisée1</formula>
    </cfRule>
    <cfRule type="expression" dxfId="17222" priority="709" stopIfTrue="1">
      <formula>AR115=CléMaladie</formula>
    </cfRule>
    <cfRule type="expression" dxfId="17221" priority="710" stopIfTrue="1">
      <formula>AR115=CléPersonnelle</formula>
    </cfRule>
    <cfRule type="expression" dxfId="17220" priority="711" stopIfTrue="1">
      <formula>AR115=CléCongés</formula>
    </cfRule>
  </conditionalFormatting>
  <conditionalFormatting sqref="C7:AG7">
    <cfRule type="expression" priority="694" stopIfTrue="1">
      <formula>C7=""</formula>
    </cfRule>
    <cfRule type="expression" dxfId="17219" priority="695" stopIfTrue="1">
      <formula>C7=CléPersonnalisée2</formula>
    </cfRule>
    <cfRule type="expression" dxfId="17218" priority="696" stopIfTrue="1">
      <formula>C7=CléPersonnalisée1</formula>
    </cfRule>
    <cfRule type="expression" dxfId="17217" priority="697" stopIfTrue="1">
      <formula>C7=CléMaladie</formula>
    </cfRule>
    <cfRule type="expression" dxfId="17216" priority="698" stopIfTrue="1">
      <formula>C7=CléPersonnelle</formula>
    </cfRule>
    <cfRule type="expression" dxfId="17215" priority="699" stopIfTrue="1">
      <formula>C7=CléCongés</formula>
    </cfRule>
  </conditionalFormatting>
  <conditionalFormatting sqref="AH7">
    <cfRule type="dataBar" priority="693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{7C62ACDA-CF04-46FE-B31A-2FB0071A5A57}</x14:id>
        </ext>
      </extLst>
    </cfRule>
  </conditionalFormatting>
  <conditionalFormatting sqref="C11:AG11">
    <cfRule type="expression" priority="687" stopIfTrue="1">
      <formula>C11=""</formula>
    </cfRule>
    <cfRule type="expression" dxfId="17214" priority="688" stopIfTrue="1">
      <formula>C11=CléPersonnalisée2</formula>
    </cfRule>
    <cfRule type="expression" dxfId="17213" priority="689" stopIfTrue="1">
      <formula>C11=CléPersonnalisée1</formula>
    </cfRule>
    <cfRule type="expression" dxfId="17212" priority="690" stopIfTrue="1">
      <formula>C11=CléMaladie</formula>
    </cfRule>
    <cfRule type="expression" dxfId="17211" priority="691" stopIfTrue="1">
      <formula>C11=CléPersonnelle</formula>
    </cfRule>
    <cfRule type="expression" dxfId="17210" priority="692" stopIfTrue="1">
      <formula>C11=CléCongés</formula>
    </cfRule>
  </conditionalFormatting>
  <conditionalFormatting sqref="AH11">
    <cfRule type="dataBar" priority="686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{69638A72-DFF9-482E-B041-BDAB3B551A7C}</x14:id>
        </ext>
      </extLst>
    </cfRule>
  </conditionalFormatting>
  <conditionalFormatting sqref="C19:AG19">
    <cfRule type="expression" priority="680" stopIfTrue="1">
      <formula>C19=""</formula>
    </cfRule>
    <cfRule type="expression" dxfId="17209" priority="681" stopIfTrue="1">
      <formula>C19=CléPersonnalisée2</formula>
    </cfRule>
    <cfRule type="expression" dxfId="17208" priority="682" stopIfTrue="1">
      <formula>C19=CléPersonnalisée1</formula>
    </cfRule>
    <cfRule type="expression" dxfId="17207" priority="683" stopIfTrue="1">
      <formula>C19=CléMaladie</formula>
    </cfRule>
    <cfRule type="expression" dxfId="17206" priority="684" stopIfTrue="1">
      <formula>C19=CléPersonnelle</formula>
    </cfRule>
    <cfRule type="expression" dxfId="17205" priority="685" stopIfTrue="1">
      <formula>C19=CléCongés</formula>
    </cfRule>
  </conditionalFormatting>
  <conditionalFormatting sqref="AH19">
    <cfRule type="dataBar" priority="679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{023B66E6-8136-4C32-9B8D-942E77F4D1A5}</x14:id>
        </ext>
      </extLst>
    </cfRule>
  </conditionalFormatting>
  <conditionalFormatting sqref="C23:AG23">
    <cfRule type="expression" priority="673" stopIfTrue="1">
      <formula>C23=""</formula>
    </cfRule>
    <cfRule type="expression" dxfId="17204" priority="674" stopIfTrue="1">
      <formula>C23=CléPersonnalisée2</formula>
    </cfRule>
    <cfRule type="expression" dxfId="17203" priority="675" stopIfTrue="1">
      <formula>C23=CléPersonnalisée1</formula>
    </cfRule>
    <cfRule type="expression" dxfId="17202" priority="676" stopIfTrue="1">
      <formula>C23=CléMaladie</formula>
    </cfRule>
    <cfRule type="expression" dxfId="17201" priority="677" stopIfTrue="1">
      <formula>C23=CléPersonnelle</formula>
    </cfRule>
    <cfRule type="expression" dxfId="17200" priority="678" stopIfTrue="1">
      <formula>C23=CléCongés</formula>
    </cfRule>
  </conditionalFormatting>
  <conditionalFormatting sqref="AH23">
    <cfRule type="dataBar" priority="672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{762DF21D-DB4E-4C20-923B-73C95B8E8A33}</x14:id>
        </ext>
      </extLst>
    </cfRule>
  </conditionalFormatting>
  <conditionalFormatting sqref="C27:AG27">
    <cfRule type="expression" priority="666" stopIfTrue="1">
      <formula>C27=""</formula>
    </cfRule>
    <cfRule type="expression" dxfId="17199" priority="667" stopIfTrue="1">
      <formula>C27=CléPersonnalisée2</formula>
    </cfRule>
    <cfRule type="expression" dxfId="17198" priority="668" stopIfTrue="1">
      <formula>C27=CléPersonnalisée1</formula>
    </cfRule>
    <cfRule type="expression" dxfId="17197" priority="669" stopIfTrue="1">
      <formula>C27=CléMaladie</formula>
    </cfRule>
    <cfRule type="expression" dxfId="17196" priority="670" stopIfTrue="1">
      <formula>C27=CléPersonnelle</formula>
    </cfRule>
    <cfRule type="expression" dxfId="17195" priority="671" stopIfTrue="1">
      <formula>C27=CléCongés</formula>
    </cfRule>
  </conditionalFormatting>
  <conditionalFormatting sqref="AH27">
    <cfRule type="dataBar" priority="665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{A61195FA-AC10-435B-8CD5-7391206E0CD2}</x14:id>
        </ext>
      </extLst>
    </cfRule>
  </conditionalFormatting>
  <conditionalFormatting sqref="C31:AG31">
    <cfRule type="expression" priority="659" stopIfTrue="1">
      <formula>C31=""</formula>
    </cfRule>
    <cfRule type="expression" dxfId="17194" priority="660" stopIfTrue="1">
      <formula>C31=CléPersonnalisée2</formula>
    </cfRule>
    <cfRule type="expression" dxfId="17193" priority="661" stopIfTrue="1">
      <formula>C31=CléPersonnalisée1</formula>
    </cfRule>
    <cfRule type="expression" dxfId="17192" priority="662" stopIfTrue="1">
      <formula>C31=CléMaladie</formula>
    </cfRule>
    <cfRule type="expression" dxfId="17191" priority="663" stopIfTrue="1">
      <formula>C31=CléPersonnelle</formula>
    </cfRule>
    <cfRule type="expression" dxfId="17190" priority="664" stopIfTrue="1">
      <formula>C31=CléCongés</formula>
    </cfRule>
  </conditionalFormatting>
  <conditionalFormatting sqref="AH31">
    <cfRule type="dataBar" priority="658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{383F0F85-E4AA-4E54-A20C-FE6BBADB6FF2}</x14:id>
        </ext>
      </extLst>
    </cfRule>
  </conditionalFormatting>
  <conditionalFormatting sqref="C35:AF35">
    <cfRule type="expression" priority="652" stopIfTrue="1">
      <formula>C35=""</formula>
    </cfRule>
    <cfRule type="expression" dxfId="17189" priority="653" stopIfTrue="1">
      <formula>C35=CléPersonnalisée2</formula>
    </cfRule>
    <cfRule type="expression" dxfId="17188" priority="654" stopIfTrue="1">
      <formula>C35=CléPersonnalisée1</formula>
    </cfRule>
    <cfRule type="expression" dxfId="17187" priority="655" stopIfTrue="1">
      <formula>C35=CléMaladie</formula>
    </cfRule>
    <cfRule type="expression" dxfId="17186" priority="656" stopIfTrue="1">
      <formula>C35=CléPersonnelle</formula>
    </cfRule>
    <cfRule type="expression" dxfId="17185" priority="657" stopIfTrue="1">
      <formula>C35=CléCongés</formula>
    </cfRule>
  </conditionalFormatting>
  <conditionalFormatting sqref="AG35">
    <cfRule type="dataBar" priority="651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{08B8613A-B3A1-4B9E-9CA0-F16F9D4A88E2}</x14:id>
        </ext>
      </extLst>
    </cfRule>
  </conditionalFormatting>
  <conditionalFormatting sqref="C39:AF39">
    <cfRule type="expression" priority="645" stopIfTrue="1">
      <formula>C39=""</formula>
    </cfRule>
    <cfRule type="expression" dxfId="17184" priority="646" stopIfTrue="1">
      <formula>C39=CléPersonnalisée2</formula>
    </cfRule>
    <cfRule type="expression" dxfId="17183" priority="647" stopIfTrue="1">
      <formula>C39=CléPersonnalisée1</formula>
    </cfRule>
    <cfRule type="expression" dxfId="17182" priority="648" stopIfTrue="1">
      <formula>C39=CléMaladie</formula>
    </cfRule>
    <cfRule type="expression" dxfId="17181" priority="649" stopIfTrue="1">
      <formula>C39=CléPersonnelle</formula>
    </cfRule>
    <cfRule type="expression" dxfId="17180" priority="650" stopIfTrue="1">
      <formula>C39=CléCongés</formula>
    </cfRule>
  </conditionalFormatting>
  <conditionalFormatting sqref="AG39">
    <cfRule type="dataBar" priority="644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{73ACE731-8888-404F-B9B1-66D098F1A393}</x14:id>
        </ext>
      </extLst>
    </cfRule>
  </conditionalFormatting>
  <conditionalFormatting sqref="C43:AG43">
    <cfRule type="expression" priority="638" stopIfTrue="1">
      <formula>C43=""</formula>
    </cfRule>
    <cfRule type="expression" dxfId="17179" priority="639" stopIfTrue="1">
      <formula>C43=CléPersonnalisée2</formula>
    </cfRule>
    <cfRule type="expression" dxfId="17178" priority="640" stopIfTrue="1">
      <formula>C43=CléPersonnalisée1</formula>
    </cfRule>
    <cfRule type="expression" dxfId="17177" priority="641" stopIfTrue="1">
      <formula>C43=CléMaladie</formula>
    </cfRule>
    <cfRule type="expression" dxfId="17176" priority="642" stopIfTrue="1">
      <formula>C43=CléPersonnelle</formula>
    </cfRule>
    <cfRule type="expression" dxfId="17175" priority="643" stopIfTrue="1">
      <formula>C43=CléCongés</formula>
    </cfRule>
  </conditionalFormatting>
  <conditionalFormatting sqref="AH43">
    <cfRule type="dataBar" priority="637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{4800B557-CCB9-46EC-AEE9-81307B08B06A}</x14:id>
        </ext>
      </extLst>
    </cfRule>
  </conditionalFormatting>
  <conditionalFormatting sqref="C47:AG47">
    <cfRule type="expression" priority="631" stopIfTrue="1">
      <formula>C47=""</formula>
    </cfRule>
    <cfRule type="expression" dxfId="17174" priority="632" stopIfTrue="1">
      <formula>C47=CléPersonnalisée2</formula>
    </cfRule>
    <cfRule type="expression" dxfId="17173" priority="633" stopIfTrue="1">
      <formula>C47=CléPersonnalisée1</formula>
    </cfRule>
    <cfRule type="expression" dxfId="17172" priority="634" stopIfTrue="1">
      <formula>C47=CléMaladie</formula>
    </cfRule>
    <cfRule type="expression" dxfId="17171" priority="635" stopIfTrue="1">
      <formula>C47=CléPersonnelle</formula>
    </cfRule>
    <cfRule type="expression" dxfId="17170" priority="636" stopIfTrue="1">
      <formula>C47=CléCongés</formula>
    </cfRule>
  </conditionalFormatting>
  <conditionalFormatting sqref="AH47">
    <cfRule type="dataBar" priority="630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{45FD1CC1-3844-4B2B-BB77-02728D61483D}</x14:id>
        </ext>
      </extLst>
    </cfRule>
  </conditionalFormatting>
  <conditionalFormatting sqref="C51:AG51">
    <cfRule type="expression" priority="624" stopIfTrue="1">
      <formula>C51=""</formula>
    </cfRule>
    <cfRule type="expression" dxfId="17169" priority="625" stopIfTrue="1">
      <formula>C51=CléPersonnalisée2</formula>
    </cfRule>
    <cfRule type="expression" dxfId="17168" priority="626" stopIfTrue="1">
      <formula>C51=CléPersonnalisée1</formula>
    </cfRule>
    <cfRule type="expression" dxfId="17167" priority="627" stopIfTrue="1">
      <formula>C51=CléMaladie</formula>
    </cfRule>
    <cfRule type="expression" dxfId="17166" priority="628" stopIfTrue="1">
      <formula>C51=CléPersonnelle</formula>
    </cfRule>
    <cfRule type="expression" dxfId="17165" priority="629" stopIfTrue="1">
      <formula>C51=CléCongés</formula>
    </cfRule>
  </conditionalFormatting>
  <conditionalFormatting sqref="AH51">
    <cfRule type="dataBar" priority="623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{D66EB6E0-42C3-4CC5-946C-30436AB1705C}</x14:id>
        </ext>
      </extLst>
    </cfRule>
  </conditionalFormatting>
  <conditionalFormatting sqref="C55:AG55">
    <cfRule type="expression" priority="617" stopIfTrue="1">
      <formula>C55=""</formula>
    </cfRule>
    <cfRule type="expression" dxfId="17164" priority="618" stopIfTrue="1">
      <formula>C55=CléPersonnalisée2</formula>
    </cfRule>
    <cfRule type="expression" dxfId="17163" priority="619" stopIfTrue="1">
      <formula>C55=CléPersonnalisée1</formula>
    </cfRule>
    <cfRule type="expression" dxfId="17162" priority="620" stopIfTrue="1">
      <formula>C55=CléMaladie</formula>
    </cfRule>
    <cfRule type="expression" dxfId="17161" priority="621" stopIfTrue="1">
      <formula>C55=CléPersonnelle</formula>
    </cfRule>
    <cfRule type="expression" dxfId="17160" priority="622" stopIfTrue="1">
      <formula>C55=CléCongés</formula>
    </cfRule>
  </conditionalFormatting>
  <conditionalFormatting sqref="AH55">
    <cfRule type="dataBar" priority="616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{3840A21F-79BF-473F-9733-49CB76B7522B}</x14:id>
        </ext>
      </extLst>
    </cfRule>
  </conditionalFormatting>
  <conditionalFormatting sqref="C63:AG63">
    <cfRule type="expression" priority="610" stopIfTrue="1">
      <formula>C63=""</formula>
    </cfRule>
    <cfRule type="expression" dxfId="17159" priority="611" stopIfTrue="1">
      <formula>C63=CléPersonnalisée2</formula>
    </cfRule>
    <cfRule type="expression" dxfId="17158" priority="612" stopIfTrue="1">
      <formula>C63=CléPersonnalisée1</formula>
    </cfRule>
    <cfRule type="expression" dxfId="17157" priority="613" stopIfTrue="1">
      <formula>C63=CléMaladie</formula>
    </cfRule>
    <cfRule type="expression" dxfId="17156" priority="614" stopIfTrue="1">
      <formula>C63=CléPersonnelle</formula>
    </cfRule>
    <cfRule type="expression" dxfId="17155" priority="615" stopIfTrue="1">
      <formula>C63=CléCongés</formula>
    </cfRule>
  </conditionalFormatting>
  <conditionalFormatting sqref="AH63">
    <cfRule type="dataBar" priority="609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{08B689D2-DB97-4B93-8839-B9249A7BEDA8}</x14:id>
        </ext>
      </extLst>
    </cfRule>
  </conditionalFormatting>
  <conditionalFormatting sqref="C67:AG67">
    <cfRule type="expression" priority="603" stopIfTrue="1">
      <formula>C67=""</formula>
    </cfRule>
    <cfRule type="expression" dxfId="17154" priority="604" stopIfTrue="1">
      <formula>C67=CléPersonnalisée2</formula>
    </cfRule>
    <cfRule type="expression" dxfId="17153" priority="605" stopIfTrue="1">
      <formula>C67=CléPersonnalisée1</formula>
    </cfRule>
    <cfRule type="expression" dxfId="17152" priority="606" stopIfTrue="1">
      <formula>C67=CléMaladie</formula>
    </cfRule>
    <cfRule type="expression" dxfId="17151" priority="607" stopIfTrue="1">
      <formula>C67=CléPersonnelle</formula>
    </cfRule>
    <cfRule type="expression" dxfId="17150" priority="608" stopIfTrue="1">
      <formula>C67=CléCongés</formula>
    </cfRule>
  </conditionalFormatting>
  <conditionalFormatting sqref="AH67">
    <cfRule type="dataBar" priority="602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{9BEB9DCE-7633-431F-8260-BE285CDCA2E3}</x14:id>
        </ext>
      </extLst>
    </cfRule>
  </conditionalFormatting>
  <conditionalFormatting sqref="C71:AG71">
    <cfRule type="expression" priority="596" stopIfTrue="1">
      <formula>C71=""</formula>
    </cfRule>
    <cfRule type="expression" dxfId="17149" priority="597" stopIfTrue="1">
      <formula>C71=CléPersonnalisée2</formula>
    </cfRule>
    <cfRule type="expression" dxfId="17148" priority="598" stopIfTrue="1">
      <formula>C71=CléPersonnalisée1</formula>
    </cfRule>
    <cfRule type="expression" dxfId="17147" priority="599" stopIfTrue="1">
      <formula>C71=CléMaladie</formula>
    </cfRule>
    <cfRule type="expression" dxfId="17146" priority="600" stopIfTrue="1">
      <formula>C71=CléPersonnelle</formula>
    </cfRule>
    <cfRule type="expression" dxfId="17145" priority="601" stopIfTrue="1">
      <formula>C71=CléCongés</formula>
    </cfRule>
  </conditionalFormatting>
  <conditionalFormatting sqref="AH71">
    <cfRule type="dataBar" priority="595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{064AD7B1-D98A-4674-9B48-3A6BE05FCE73}</x14:id>
        </ext>
      </extLst>
    </cfRule>
  </conditionalFormatting>
  <conditionalFormatting sqref="C75:AG75">
    <cfRule type="expression" priority="589" stopIfTrue="1">
      <formula>C75=""</formula>
    </cfRule>
    <cfRule type="expression" dxfId="17144" priority="590" stopIfTrue="1">
      <formula>C75=CléPersonnalisée2</formula>
    </cfRule>
    <cfRule type="expression" dxfId="17143" priority="591" stopIfTrue="1">
      <formula>C75=CléPersonnalisée1</formula>
    </cfRule>
    <cfRule type="expression" dxfId="17142" priority="592" stopIfTrue="1">
      <formula>C75=CléMaladie</formula>
    </cfRule>
    <cfRule type="expression" dxfId="17141" priority="593" stopIfTrue="1">
      <formula>C75=CléPersonnelle</formula>
    </cfRule>
    <cfRule type="expression" dxfId="17140" priority="594" stopIfTrue="1">
      <formula>C75=CléCongés</formula>
    </cfRule>
  </conditionalFormatting>
  <conditionalFormatting sqref="AH75">
    <cfRule type="dataBar" priority="588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{94379E8A-266E-44E7-B17A-DAE5D07732EE}</x14:id>
        </ext>
      </extLst>
    </cfRule>
  </conditionalFormatting>
  <conditionalFormatting sqref="C83:AG83">
    <cfRule type="expression" priority="582" stopIfTrue="1">
      <formula>C83=""</formula>
    </cfRule>
    <cfRule type="expression" dxfId="17139" priority="583" stopIfTrue="1">
      <formula>C83=CléPersonnalisée2</formula>
    </cfRule>
    <cfRule type="expression" dxfId="17138" priority="584" stopIfTrue="1">
      <formula>C83=CléPersonnalisée1</formula>
    </cfRule>
    <cfRule type="expression" dxfId="17137" priority="585" stopIfTrue="1">
      <formula>C83=CléMaladie</formula>
    </cfRule>
    <cfRule type="expression" dxfId="17136" priority="586" stopIfTrue="1">
      <formula>C83=CléPersonnelle</formula>
    </cfRule>
    <cfRule type="expression" dxfId="17135" priority="587" stopIfTrue="1">
      <formula>C83=CléCongés</formula>
    </cfRule>
  </conditionalFormatting>
  <conditionalFormatting sqref="AH83">
    <cfRule type="dataBar" priority="581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{97711CEC-1F40-4D01-BCE1-B7DFF41ED451}</x14:id>
        </ext>
      </extLst>
    </cfRule>
  </conditionalFormatting>
  <conditionalFormatting sqref="C87:AG87">
    <cfRule type="expression" priority="575" stopIfTrue="1">
      <formula>C87=""</formula>
    </cfRule>
    <cfRule type="expression" dxfId="17134" priority="576" stopIfTrue="1">
      <formula>C87=CléPersonnalisée2</formula>
    </cfRule>
    <cfRule type="expression" dxfId="17133" priority="577" stopIfTrue="1">
      <formula>C87=CléPersonnalisée1</formula>
    </cfRule>
    <cfRule type="expression" dxfId="17132" priority="578" stopIfTrue="1">
      <formula>C87=CléMaladie</formula>
    </cfRule>
    <cfRule type="expression" dxfId="17131" priority="579" stopIfTrue="1">
      <formula>C87=CléPersonnelle</formula>
    </cfRule>
    <cfRule type="expression" dxfId="17130" priority="580" stopIfTrue="1">
      <formula>C87=CléCongés</formula>
    </cfRule>
  </conditionalFormatting>
  <conditionalFormatting sqref="AH87">
    <cfRule type="dataBar" priority="574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{D45DA8E6-057F-4BCB-B4F2-C69988242736}</x14:id>
        </ext>
      </extLst>
    </cfRule>
  </conditionalFormatting>
  <conditionalFormatting sqref="C91:AG91">
    <cfRule type="expression" priority="568" stopIfTrue="1">
      <formula>C91=""</formula>
    </cfRule>
    <cfRule type="expression" dxfId="17129" priority="569" stopIfTrue="1">
      <formula>C91=CléPersonnalisée2</formula>
    </cfRule>
    <cfRule type="expression" dxfId="17128" priority="570" stopIfTrue="1">
      <formula>C91=CléPersonnalisée1</formula>
    </cfRule>
    <cfRule type="expression" dxfId="17127" priority="571" stopIfTrue="1">
      <formula>C91=CléMaladie</formula>
    </cfRule>
    <cfRule type="expression" dxfId="17126" priority="572" stopIfTrue="1">
      <formula>C91=CléPersonnelle</formula>
    </cfRule>
    <cfRule type="expression" dxfId="17125" priority="573" stopIfTrue="1">
      <formula>C91=CléCongés</formula>
    </cfRule>
  </conditionalFormatting>
  <conditionalFormatting sqref="AH91">
    <cfRule type="dataBar" priority="567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{A9162D79-F480-41DA-924B-00A94D1A7F41}</x14:id>
        </ext>
      </extLst>
    </cfRule>
  </conditionalFormatting>
  <conditionalFormatting sqref="C95:AG95 C101:AG103 C97:AG99">
    <cfRule type="expression" priority="561" stopIfTrue="1">
      <formula>C95=""</formula>
    </cfRule>
    <cfRule type="expression" dxfId="17124" priority="562" stopIfTrue="1">
      <formula>C95=CléPersonnalisée2</formula>
    </cfRule>
    <cfRule type="expression" dxfId="17123" priority="563" stopIfTrue="1">
      <formula>C95=CléPersonnalisée1</formula>
    </cfRule>
    <cfRule type="expression" dxfId="17122" priority="564" stopIfTrue="1">
      <formula>C95=CléMaladie</formula>
    </cfRule>
    <cfRule type="expression" dxfId="17121" priority="565" stopIfTrue="1">
      <formula>C95=CléPersonnelle</formula>
    </cfRule>
    <cfRule type="expression" dxfId="17120" priority="566" stopIfTrue="1">
      <formula>C95=CléCongés</formula>
    </cfRule>
  </conditionalFormatting>
  <conditionalFormatting sqref="AH101:AH103 AH95 AH97:AH99">
    <cfRule type="dataBar" priority="560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{12BF83B2-21A3-49A7-8B01-3B594CF3E7B4}</x14:id>
        </ext>
      </extLst>
    </cfRule>
  </conditionalFormatting>
  <conditionalFormatting sqref="C111:AG111">
    <cfRule type="expression" priority="554" stopIfTrue="1">
      <formula>C111=""</formula>
    </cfRule>
    <cfRule type="expression" dxfId="17119" priority="555" stopIfTrue="1">
      <formula>C111=CléPersonnalisée2</formula>
    </cfRule>
    <cfRule type="expression" dxfId="17118" priority="556" stopIfTrue="1">
      <formula>C111=CléPersonnalisée1</formula>
    </cfRule>
    <cfRule type="expression" dxfId="17117" priority="557" stopIfTrue="1">
      <formula>C111=CléMaladie</formula>
    </cfRule>
    <cfRule type="expression" dxfId="17116" priority="558" stopIfTrue="1">
      <formula>C111=CléPersonnelle</formula>
    </cfRule>
    <cfRule type="expression" dxfId="17115" priority="559" stopIfTrue="1">
      <formula>C111=CléCongés</formula>
    </cfRule>
  </conditionalFormatting>
  <conditionalFormatting sqref="AH111">
    <cfRule type="dataBar" priority="553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{F4F967E8-ADFE-4A84-B415-58F168A11D3C}</x14:id>
        </ext>
      </extLst>
    </cfRule>
  </conditionalFormatting>
  <conditionalFormatting sqref="C115:AG115">
    <cfRule type="expression" priority="547" stopIfTrue="1">
      <formula>C115=""</formula>
    </cfRule>
    <cfRule type="expression" dxfId="17114" priority="548" stopIfTrue="1">
      <formula>C115=CléPersonnalisée2</formula>
    </cfRule>
    <cfRule type="expression" dxfId="17113" priority="549" stopIfTrue="1">
      <formula>C115=CléPersonnalisée1</formula>
    </cfRule>
    <cfRule type="expression" dxfId="17112" priority="550" stopIfTrue="1">
      <formula>C115=CléMaladie</formula>
    </cfRule>
    <cfRule type="expression" dxfId="17111" priority="551" stopIfTrue="1">
      <formula>C115=CléPersonnelle</formula>
    </cfRule>
    <cfRule type="expression" dxfId="17110" priority="552" stopIfTrue="1">
      <formula>C115=CléCongés</formula>
    </cfRule>
  </conditionalFormatting>
  <conditionalFormatting sqref="AH115">
    <cfRule type="dataBar" priority="546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{2413C672-BAC8-4067-AF13-CA332A27D5C5}</x14:id>
        </ext>
      </extLst>
    </cfRule>
  </conditionalFormatting>
  <conditionalFormatting sqref="C123:AG123">
    <cfRule type="expression" priority="540" stopIfTrue="1">
      <formula>C123=""</formula>
    </cfRule>
    <cfRule type="expression" dxfId="17109" priority="541" stopIfTrue="1">
      <formula>C123=CléPersonnalisée2</formula>
    </cfRule>
    <cfRule type="expression" dxfId="17108" priority="542" stopIfTrue="1">
      <formula>C123=CléPersonnalisée1</formula>
    </cfRule>
    <cfRule type="expression" dxfId="17107" priority="543" stopIfTrue="1">
      <formula>C123=CléMaladie</formula>
    </cfRule>
    <cfRule type="expression" dxfId="17106" priority="544" stopIfTrue="1">
      <formula>C123=CléPersonnelle</formula>
    </cfRule>
    <cfRule type="expression" dxfId="17105" priority="545" stopIfTrue="1">
      <formula>C123=CléCongés</formula>
    </cfRule>
  </conditionalFormatting>
  <conditionalFormatting sqref="AH123">
    <cfRule type="dataBar" priority="539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{5620F85F-A677-4027-9B02-CE73BB0A96E2}</x14:id>
        </ext>
      </extLst>
    </cfRule>
  </conditionalFormatting>
  <conditionalFormatting sqref="C37:C38">
    <cfRule type="expression" priority="533" stopIfTrue="1">
      <formula>C37=""</formula>
    </cfRule>
    <cfRule type="expression" dxfId="17104" priority="534" stopIfTrue="1">
      <formula>C37=CléPersonnalisée2</formula>
    </cfRule>
    <cfRule type="expression" dxfId="17103" priority="535" stopIfTrue="1">
      <formula>C37=CléPersonnalisée1</formula>
    </cfRule>
    <cfRule type="expression" dxfId="17102" priority="536" stopIfTrue="1">
      <formula>C37=CléMaladie</formula>
    </cfRule>
    <cfRule type="expression" dxfId="17101" priority="537" stopIfTrue="1">
      <formula>C37=CléPersonnelle</formula>
    </cfRule>
    <cfRule type="expression" dxfId="17100" priority="538" stopIfTrue="1">
      <formula>C37=CléCongés</formula>
    </cfRule>
  </conditionalFormatting>
  <conditionalFormatting sqref="C41:C42">
    <cfRule type="expression" priority="527" stopIfTrue="1">
      <formula>C41=""</formula>
    </cfRule>
    <cfRule type="expression" dxfId="17099" priority="528" stopIfTrue="1">
      <formula>C41=CléPersonnalisée2</formula>
    </cfRule>
    <cfRule type="expression" dxfId="17098" priority="529" stopIfTrue="1">
      <formula>C41=CléPersonnalisée1</formula>
    </cfRule>
    <cfRule type="expression" dxfId="17097" priority="530" stopIfTrue="1">
      <formula>C41=CléMaladie</formula>
    </cfRule>
    <cfRule type="expression" dxfId="17096" priority="531" stopIfTrue="1">
      <formula>C41=CléPersonnelle</formula>
    </cfRule>
    <cfRule type="expression" dxfId="17095" priority="532" stopIfTrue="1">
      <formula>C41=CléCongés</formula>
    </cfRule>
  </conditionalFormatting>
  <conditionalFormatting sqref="C45:C46">
    <cfRule type="expression" priority="521" stopIfTrue="1">
      <formula>C45=""</formula>
    </cfRule>
    <cfRule type="expression" dxfId="17094" priority="522" stopIfTrue="1">
      <formula>C45=CléPersonnalisée2</formula>
    </cfRule>
    <cfRule type="expression" dxfId="17093" priority="523" stopIfTrue="1">
      <formula>C45=CléPersonnalisée1</formula>
    </cfRule>
    <cfRule type="expression" dxfId="17092" priority="524" stopIfTrue="1">
      <formula>C45=CléMaladie</formula>
    </cfRule>
    <cfRule type="expression" dxfId="17091" priority="525" stopIfTrue="1">
      <formula>C45=CléPersonnelle</formula>
    </cfRule>
    <cfRule type="expression" dxfId="17090" priority="526" stopIfTrue="1">
      <formula>C45=CléCongés</formula>
    </cfRule>
  </conditionalFormatting>
  <conditionalFormatting sqref="C49:C50">
    <cfRule type="expression" priority="515" stopIfTrue="1">
      <formula>C49=""</formula>
    </cfRule>
    <cfRule type="expression" dxfId="17089" priority="516" stopIfTrue="1">
      <formula>C49=CléPersonnalisée2</formula>
    </cfRule>
    <cfRule type="expression" dxfId="17088" priority="517" stopIfTrue="1">
      <formula>C49=CléPersonnalisée1</formula>
    </cfRule>
    <cfRule type="expression" dxfId="17087" priority="518" stopIfTrue="1">
      <formula>C49=CléMaladie</formula>
    </cfRule>
    <cfRule type="expression" dxfId="17086" priority="519" stopIfTrue="1">
      <formula>C49=CléPersonnelle</formula>
    </cfRule>
    <cfRule type="expression" dxfId="17085" priority="520" stopIfTrue="1">
      <formula>C49=CléCongés</formula>
    </cfRule>
  </conditionalFormatting>
  <conditionalFormatting sqref="C53:C54">
    <cfRule type="expression" priority="509" stopIfTrue="1">
      <formula>C53=""</formula>
    </cfRule>
    <cfRule type="expression" dxfId="17084" priority="510" stopIfTrue="1">
      <formula>C53=CléPersonnalisée2</formula>
    </cfRule>
    <cfRule type="expression" dxfId="17083" priority="511" stopIfTrue="1">
      <formula>C53=CléPersonnalisée1</formula>
    </cfRule>
    <cfRule type="expression" dxfId="17082" priority="512" stopIfTrue="1">
      <formula>C53=CléMaladie</formula>
    </cfRule>
    <cfRule type="expression" dxfId="17081" priority="513" stopIfTrue="1">
      <formula>C53=CléPersonnelle</formula>
    </cfRule>
    <cfRule type="expression" dxfId="17080" priority="514" stopIfTrue="1">
      <formula>C53=CléCongés</formula>
    </cfRule>
  </conditionalFormatting>
  <conditionalFormatting sqref="C61:C62">
    <cfRule type="expression" priority="503" stopIfTrue="1">
      <formula>C61=""</formula>
    </cfRule>
    <cfRule type="expression" dxfId="17079" priority="504" stopIfTrue="1">
      <formula>C61=CléPersonnalisée2</formula>
    </cfRule>
    <cfRule type="expression" dxfId="17078" priority="505" stopIfTrue="1">
      <formula>C61=CléPersonnalisée1</formula>
    </cfRule>
    <cfRule type="expression" dxfId="17077" priority="506" stopIfTrue="1">
      <formula>C61=CléMaladie</formula>
    </cfRule>
    <cfRule type="expression" dxfId="17076" priority="507" stopIfTrue="1">
      <formula>C61=CléPersonnelle</formula>
    </cfRule>
    <cfRule type="expression" dxfId="17075" priority="508" stopIfTrue="1">
      <formula>C61=CléCongés</formula>
    </cfRule>
  </conditionalFormatting>
  <conditionalFormatting sqref="C65:C66">
    <cfRule type="expression" priority="497" stopIfTrue="1">
      <formula>C65=""</formula>
    </cfRule>
    <cfRule type="expression" dxfId="17074" priority="498" stopIfTrue="1">
      <formula>C65=CléPersonnalisée2</formula>
    </cfRule>
    <cfRule type="expression" dxfId="17073" priority="499" stopIfTrue="1">
      <formula>C65=CléPersonnalisée1</formula>
    </cfRule>
    <cfRule type="expression" dxfId="17072" priority="500" stopIfTrue="1">
      <formula>C65=CléMaladie</formula>
    </cfRule>
    <cfRule type="expression" dxfId="17071" priority="501" stopIfTrue="1">
      <formula>C65=CléPersonnelle</formula>
    </cfRule>
    <cfRule type="expression" dxfId="17070" priority="502" stopIfTrue="1">
      <formula>C65=CléCongés</formula>
    </cfRule>
  </conditionalFormatting>
  <conditionalFormatting sqref="C69:C70">
    <cfRule type="expression" priority="491" stopIfTrue="1">
      <formula>C69=""</formula>
    </cfRule>
    <cfRule type="expression" dxfId="17069" priority="492" stopIfTrue="1">
      <formula>C69=CléPersonnalisée2</formula>
    </cfRule>
    <cfRule type="expression" dxfId="17068" priority="493" stopIfTrue="1">
      <formula>C69=CléPersonnalisée1</formula>
    </cfRule>
    <cfRule type="expression" dxfId="17067" priority="494" stopIfTrue="1">
      <formula>C69=CléMaladie</formula>
    </cfRule>
    <cfRule type="expression" dxfId="17066" priority="495" stopIfTrue="1">
      <formula>C69=CléPersonnelle</formula>
    </cfRule>
    <cfRule type="expression" dxfId="17065" priority="496" stopIfTrue="1">
      <formula>C69=CléCongés</formula>
    </cfRule>
  </conditionalFormatting>
  <conditionalFormatting sqref="C73:C74">
    <cfRule type="expression" priority="485" stopIfTrue="1">
      <formula>C73=""</formula>
    </cfRule>
    <cfRule type="expression" dxfId="17064" priority="486" stopIfTrue="1">
      <formula>C73=CléPersonnalisée2</formula>
    </cfRule>
    <cfRule type="expression" dxfId="17063" priority="487" stopIfTrue="1">
      <formula>C73=CléPersonnalisée1</formula>
    </cfRule>
    <cfRule type="expression" dxfId="17062" priority="488" stopIfTrue="1">
      <formula>C73=CléMaladie</formula>
    </cfRule>
    <cfRule type="expression" dxfId="17061" priority="489" stopIfTrue="1">
      <formula>C73=CléPersonnelle</formula>
    </cfRule>
    <cfRule type="expression" dxfId="17060" priority="490" stopIfTrue="1">
      <formula>C73=CléCongés</formula>
    </cfRule>
  </conditionalFormatting>
  <conditionalFormatting sqref="C81:C82">
    <cfRule type="expression" priority="479" stopIfTrue="1">
      <formula>C81=""</formula>
    </cfRule>
    <cfRule type="expression" dxfId="17059" priority="480" stopIfTrue="1">
      <formula>C81=CléPersonnalisée2</formula>
    </cfRule>
    <cfRule type="expression" dxfId="17058" priority="481" stopIfTrue="1">
      <formula>C81=CléPersonnalisée1</formula>
    </cfRule>
    <cfRule type="expression" dxfId="17057" priority="482" stopIfTrue="1">
      <formula>C81=CléMaladie</formula>
    </cfRule>
    <cfRule type="expression" dxfId="17056" priority="483" stopIfTrue="1">
      <formula>C81=CléPersonnelle</formula>
    </cfRule>
    <cfRule type="expression" dxfId="17055" priority="484" stopIfTrue="1">
      <formula>C81=CléCongés</formula>
    </cfRule>
  </conditionalFormatting>
  <conditionalFormatting sqref="C85:C86">
    <cfRule type="expression" priority="473" stopIfTrue="1">
      <formula>C85=""</formula>
    </cfRule>
    <cfRule type="expression" dxfId="17054" priority="474" stopIfTrue="1">
      <formula>C85=CléPersonnalisée2</formula>
    </cfRule>
    <cfRule type="expression" dxfId="17053" priority="475" stopIfTrue="1">
      <formula>C85=CléPersonnalisée1</formula>
    </cfRule>
    <cfRule type="expression" dxfId="17052" priority="476" stopIfTrue="1">
      <formula>C85=CléMaladie</formula>
    </cfRule>
    <cfRule type="expression" dxfId="17051" priority="477" stopIfTrue="1">
      <formula>C85=CléPersonnelle</formula>
    </cfRule>
    <cfRule type="expression" dxfId="17050" priority="478" stopIfTrue="1">
      <formula>C85=CléCongés</formula>
    </cfRule>
  </conditionalFormatting>
  <conditionalFormatting sqref="C89:C90">
    <cfRule type="expression" priority="467" stopIfTrue="1">
      <formula>C89=""</formula>
    </cfRule>
    <cfRule type="expression" dxfId="17049" priority="468" stopIfTrue="1">
      <formula>C89=CléPersonnalisée2</formula>
    </cfRule>
    <cfRule type="expression" dxfId="17048" priority="469" stopIfTrue="1">
      <formula>C89=CléPersonnalisée1</formula>
    </cfRule>
    <cfRule type="expression" dxfId="17047" priority="470" stopIfTrue="1">
      <formula>C89=CléMaladie</formula>
    </cfRule>
    <cfRule type="expression" dxfId="17046" priority="471" stopIfTrue="1">
      <formula>C89=CléPersonnelle</formula>
    </cfRule>
    <cfRule type="expression" dxfId="17045" priority="472" stopIfTrue="1">
      <formula>C89=CléCongés</formula>
    </cfRule>
  </conditionalFormatting>
  <conditionalFormatting sqref="C93:C94">
    <cfRule type="expression" priority="461" stopIfTrue="1">
      <formula>C93=""</formula>
    </cfRule>
    <cfRule type="expression" dxfId="17044" priority="462" stopIfTrue="1">
      <formula>C93=CléPersonnalisée2</formula>
    </cfRule>
    <cfRule type="expression" dxfId="17043" priority="463" stopIfTrue="1">
      <formula>C93=CléPersonnalisée1</formula>
    </cfRule>
    <cfRule type="expression" dxfId="17042" priority="464" stopIfTrue="1">
      <formula>C93=CléMaladie</formula>
    </cfRule>
    <cfRule type="expression" dxfId="17041" priority="465" stopIfTrue="1">
      <formula>C93=CléPersonnelle</formula>
    </cfRule>
    <cfRule type="expression" dxfId="17040" priority="466" stopIfTrue="1">
      <formula>C93=CléCongés</formula>
    </cfRule>
  </conditionalFormatting>
  <conditionalFormatting sqref="C109:C110">
    <cfRule type="expression" priority="455" stopIfTrue="1">
      <formula>C109=""</formula>
    </cfRule>
    <cfRule type="expression" dxfId="17039" priority="456" stopIfTrue="1">
      <formula>C109=CléPersonnalisée2</formula>
    </cfRule>
    <cfRule type="expression" dxfId="17038" priority="457" stopIfTrue="1">
      <formula>C109=CléPersonnalisée1</formula>
    </cfRule>
    <cfRule type="expression" dxfId="17037" priority="458" stopIfTrue="1">
      <formula>C109=CléMaladie</formula>
    </cfRule>
    <cfRule type="expression" dxfId="17036" priority="459" stopIfTrue="1">
      <formula>C109=CléPersonnelle</formula>
    </cfRule>
    <cfRule type="expression" dxfId="17035" priority="460" stopIfTrue="1">
      <formula>C109=CléCongés</formula>
    </cfRule>
  </conditionalFormatting>
  <conditionalFormatting sqref="C113:C114">
    <cfRule type="expression" priority="449" stopIfTrue="1">
      <formula>C113=""</formula>
    </cfRule>
    <cfRule type="expression" dxfId="17034" priority="450" stopIfTrue="1">
      <formula>C113=CléPersonnalisée2</formula>
    </cfRule>
    <cfRule type="expression" dxfId="17033" priority="451" stopIfTrue="1">
      <formula>C113=CléPersonnalisée1</formula>
    </cfRule>
    <cfRule type="expression" dxfId="17032" priority="452" stopIfTrue="1">
      <formula>C113=CléMaladie</formula>
    </cfRule>
    <cfRule type="expression" dxfId="17031" priority="453" stopIfTrue="1">
      <formula>C113=CléPersonnelle</formula>
    </cfRule>
    <cfRule type="expression" dxfId="17030" priority="454" stopIfTrue="1">
      <formula>C113=CléCongés</formula>
    </cfRule>
  </conditionalFormatting>
  <conditionalFormatting sqref="C121:C122">
    <cfRule type="expression" priority="443" stopIfTrue="1">
      <formula>C121=""</formula>
    </cfRule>
    <cfRule type="expression" dxfId="17029" priority="444" stopIfTrue="1">
      <formula>C121=CléPersonnalisée2</formula>
    </cfRule>
    <cfRule type="expression" dxfId="17028" priority="445" stopIfTrue="1">
      <formula>C121=CléPersonnalisée1</formula>
    </cfRule>
    <cfRule type="expression" dxfId="17027" priority="446" stopIfTrue="1">
      <formula>C121=CléMaladie</formula>
    </cfRule>
    <cfRule type="expression" dxfId="17026" priority="447" stopIfTrue="1">
      <formula>C121=CléPersonnelle</formula>
    </cfRule>
    <cfRule type="expression" dxfId="17025" priority="448" stopIfTrue="1">
      <formula>C121=CléCongés</formula>
    </cfRule>
  </conditionalFormatting>
  <conditionalFormatting sqref="AQ15">
    <cfRule type="expression" priority="382" stopIfTrue="1">
      <formula>AQ15=""</formula>
    </cfRule>
    <cfRule type="expression" dxfId="17024" priority="383" stopIfTrue="1">
      <formula>AQ15=CléPersonnalisée2</formula>
    </cfRule>
    <cfRule type="expression" dxfId="17023" priority="384" stopIfTrue="1">
      <formula>AQ15=CléPersonnalisée1</formula>
    </cfRule>
    <cfRule type="expression" dxfId="17022" priority="385" stopIfTrue="1">
      <formula>AQ15=CléMaladie</formula>
    </cfRule>
    <cfRule type="expression" dxfId="17021" priority="386" stopIfTrue="1">
      <formula>AQ15=CléPersonnelle</formula>
    </cfRule>
    <cfRule type="expression" dxfId="17020" priority="387" stopIfTrue="1">
      <formula>AQ15=CléCongés</formula>
    </cfRule>
  </conditionalFormatting>
  <conditionalFormatting sqref="D13:AG14">
    <cfRule type="expression" priority="437" stopIfTrue="1">
      <formula>D13=""</formula>
    </cfRule>
    <cfRule type="expression" dxfId="17019" priority="438" stopIfTrue="1">
      <formula>D13=CléPersonnalisée2</formula>
    </cfRule>
    <cfRule type="expression" dxfId="17018" priority="439" stopIfTrue="1">
      <formula>D13=CléPersonnalisée1</formula>
    </cfRule>
    <cfRule type="expression" dxfId="17017" priority="440" stopIfTrue="1">
      <formula>D13=CléMaladie</formula>
    </cfRule>
    <cfRule type="expression" dxfId="17016" priority="441" stopIfTrue="1">
      <formula>D13=CléPersonnelle</formula>
    </cfRule>
    <cfRule type="expression" dxfId="17015" priority="442" stopIfTrue="1">
      <formula>D13=CléCongés</formula>
    </cfRule>
  </conditionalFormatting>
  <conditionalFormatting sqref="AI15:AL15 AJ13:AL14">
    <cfRule type="expression" priority="431" stopIfTrue="1">
      <formula>AI13=""</formula>
    </cfRule>
    <cfRule type="expression" dxfId="17014" priority="432" stopIfTrue="1">
      <formula>AI13=CléPersonnalisée2</formula>
    </cfRule>
    <cfRule type="expression" dxfId="17013" priority="433" stopIfTrue="1">
      <formula>AI13=CléPersonnalisée1</formula>
    </cfRule>
    <cfRule type="expression" dxfId="17012" priority="434" stopIfTrue="1">
      <formula>AI13=CléMaladie</formula>
    </cfRule>
    <cfRule type="expression" dxfId="17011" priority="435" stopIfTrue="1">
      <formula>AI13=CléPersonnelle</formula>
    </cfRule>
    <cfRule type="expression" dxfId="17010" priority="436" stopIfTrue="1">
      <formula>AI13=CléCongés</formula>
    </cfRule>
  </conditionalFormatting>
  <conditionalFormatting sqref="AM13:AP14">
    <cfRule type="expression" priority="425" stopIfTrue="1">
      <formula>AM13=""</formula>
    </cfRule>
    <cfRule type="expression" dxfId="17009" priority="426" stopIfTrue="1">
      <formula>AM13=CléPersonnalisée2</formula>
    </cfRule>
    <cfRule type="expression" dxfId="17008" priority="427" stopIfTrue="1">
      <formula>AM13=CléPersonnalisée1</formula>
    </cfRule>
    <cfRule type="expression" dxfId="17007" priority="428" stopIfTrue="1">
      <formula>AM13=CléMaladie</formula>
    </cfRule>
    <cfRule type="expression" dxfId="17006" priority="429" stopIfTrue="1">
      <formula>AM13=CléPersonnelle</formula>
    </cfRule>
    <cfRule type="expression" dxfId="17005" priority="430" stopIfTrue="1">
      <formula>AM13=CléCongés</formula>
    </cfRule>
  </conditionalFormatting>
  <conditionalFormatting sqref="AQ13:AR14">
    <cfRule type="expression" priority="419" stopIfTrue="1">
      <formula>AQ13=""</formula>
    </cfRule>
    <cfRule type="expression" dxfId="17004" priority="420" stopIfTrue="1">
      <formula>AQ13=CléPersonnalisée2</formula>
    </cfRule>
    <cfRule type="expression" dxfId="17003" priority="421" stopIfTrue="1">
      <formula>AQ13=CléPersonnalisée1</formula>
    </cfRule>
    <cfRule type="expression" dxfId="17002" priority="422" stopIfTrue="1">
      <formula>AQ13=CléMaladie</formula>
    </cfRule>
    <cfRule type="expression" dxfId="17001" priority="423" stopIfTrue="1">
      <formula>AQ13=CléPersonnelle</formula>
    </cfRule>
    <cfRule type="expression" dxfId="17000" priority="424" stopIfTrue="1">
      <formula>AQ13=CléCongés</formula>
    </cfRule>
  </conditionalFormatting>
  <conditionalFormatting sqref="AM15 AP15">
    <cfRule type="expression" priority="413" stopIfTrue="1">
      <formula>AM15=""</formula>
    </cfRule>
    <cfRule type="expression" dxfId="16999" priority="414" stopIfTrue="1">
      <formula>AM15=CléPersonnalisée2</formula>
    </cfRule>
    <cfRule type="expression" dxfId="16998" priority="415" stopIfTrue="1">
      <formula>AM15=CléPersonnalisée1</formula>
    </cfRule>
    <cfRule type="expression" dxfId="16997" priority="416" stopIfTrue="1">
      <formula>AM15=CléMaladie</formula>
    </cfRule>
    <cfRule type="expression" dxfId="16996" priority="417" stopIfTrue="1">
      <formula>AM15=CléPersonnelle</formula>
    </cfRule>
    <cfRule type="expression" dxfId="16995" priority="418" stopIfTrue="1">
      <formula>AM15=CléCongés</formula>
    </cfRule>
  </conditionalFormatting>
  <conditionalFormatting sqref="AH13:AH14">
    <cfRule type="dataBar" priority="412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{B2FD1477-46E8-4D60-AF44-B9E0D0390B45}</x14:id>
        </ext>
      </extLst>
    </cfRule>
  </conditionalFormatting>
  <conditionalFormatting sqref="AO15">
    <cfRule type="expression" priority="406" stopIfTrue="1">
      <formula>AO15=""</formula>
    </cfRule>
    <cfRule type="expression" dxfId="16994" priority="407" stopIfTrue="1">
      <formula>AO15=CléPersonnalisée2</formula>
    </cfRule>
    <cfRule type="expression" dxfId="16993" priority="408" stopIfTrue="1">
      <formula>AO15=CléPersonnalisée1</formula>
    </cfRule>
    <cfRule type="expression" dxfId="16992" priority="409" stopIfTrue="1">
      <formula>AO15=CléMaladie</formula>
    </cfRule>
    <cfRule type="expression" dxfId="16991" priority="410" stopIfTrue="1">
      <formula>AO15=CléPersonnelle</formula>
    </cfRule>
    <cfRule type="expression" dxfId="16990" priority="411" stopIfTrue="1">
      <formula>AO15=CléCongés</formula>
    </cfRule>
  </conditionalFormatting>
  <conditionalFormatting sqref="AI13:AI14">
    <cfRule type="expression" priority="400" stopIfTrue="1">
      <formula>AI13=""</formula>
    </cfRule>
    <cfRule type="expression" dxfId="16989" priority="401" stopIfTrue="1">
      <formula>AI13=CléPersonnalisée2</formula>
    </cfRule>
    <cfRule type="expression" dxfId="16988" priority="402" stopIfTrue="1">
      <formula>AI13=CléPersonnalisée1</formula>
    </cfRule>
    <cfRule type="expression" dxfId="16987" priority="403" stopIfTrue="1">
      <formula>AI13=CléMaladie</formula>
    </cfRule>
    <cfRule type="expression" dxfId="16986" priority="404" stopIfTrue="1">
      <formula>AI13=CléPersonnelle</formula>
    </cfRule>
    <cfRule type="expression" dxfId="16985" priority="405" stopIfTrue="1">
      <formula>AI13=CléCongés</formula>
    </cfRule>
  </conditionalFormatting>
  <conditionalFormatting sqref="AN15">
    <cfRule type="expression" priority="394" stopIfTrue="1">
      <formula>AN15=""</formula>
    </cfRule>
    <cfRule type="expression" dxfId="16984" priority="395" stopIfTrue="1">
      <formula>AN15=CléPersonnalisée2</formula>
    </cfRule>
    <cfRule type="expression" dxfId="16983" priority="396" stopIfTrue="1">
      <formula>AN15=CléPersonnalisée1</formula>
    </cfRule>
    <cfRule type="expression" dxfId="16982" priority="397" stopIfTrue="1">
      <formula>AN15=CléMaladie</formula>
    </cfRule>
    <cfRule type="expression" dxfId="16981" priority="398" stopIfTrue="1">
      <formula>AN15=CléPersonnelle</formula>
    </cfRule>
    <cfRule type="expression" dxfId="16980" priority="399" stopIfTrue="1">
      <formula>AN15=CléCongés</formula>
    </cfRule>
  </conditionalFormatting>
  <conditionalFormatting sqref="AR15">
    <cfRule type="expression" priority="388" stopIfTrue="1">
      <formula>AR15=""</formula>
    </cfRule>
    <cfRule type="expression" dxfId="16979" priority="389" stopIfTrue="1">
      <formula>AR15=CléPersonnalisée2</formula>
    </cfRule>
    <cfRule type="expression" dxfId="16978" priority="390" stopIfTrue="1">
      <formula>AR15=CléPersonnalisée1</formula>
    </cfRule>
    <cfRule type="expression" dxfId="16977" priority="391" stopIfTrue="1">
      <formula>AR15=CléMaladie</formula>
    </cfRule>
    <cfRule type="expression" dxfId="16976" priority="392" stopIfTrue="1">
      <formula>AR15=CléPersonnelle</formula>
    </cfRule>
    <cfRule type="expression" dxfId="16975" priority="393" stopIfTrue="1">
      <formula>AR15=CléCongés</formula>
    </cfRule>
  </conditionalFormatting>
  <conditionalFormatting sqref="C15:AG15">
    <cfRule type="expression" priority="376" stopIfTrue="1">
      <formula>C15=""</formula>
    </cfRule>
    <cfRule type="expression" dxfId="16974" priority="377" stopIfTrue="1">
      <formula>C15=CléPersonnalisée2</formula>
    </cfRule>
    <cfRule type="expression" dxfId="16973" priority="378" stopIfTrue="1">
      <formula>C15=CléPersonnalisée1</formula>
    </cfRule>
    <cfRule type="expression" dxfId="16972" priority="379" stopIfTrue="1">
      <formula>C15=CléMaladie</formula>
    </cfRule>
    <cfRule type="expression" dxfId="16971" priority="380" stopIfTrue="1">
      <formula>C15=CléPersonnelle</formula>
    </cfRule>
    <cfRule type="expression" dxfId="16970" priority="381" stopIfTrue="1">
      <formula>C15=CléCongés</formula>
    </cfRule>
  </conditionalFormatting>
  <conditionalFormatting sqref="AH15">
    <cfRule type="dataBar" priority="375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{20E7FC26-F23F-48E8-9739-27CE36A3CB40}</x14:id>
        </ext>
      </extLst>
    </cfRule>
  </conditionalFormatting>
  <conditionalFormatting sqref="C13:C14">
    <cfRule type="expression" priority="369" stopIfTrue="1">
      <formula>C13=""</formula>
    </cfRule>
    <cfRule type="expression" dxfId="16969" priority="370" stopIfTrue="1">
      <formula>C13=CléPersonnalisée2</formula>
    </cfRule>
    <cfRule type="expression" dxfId="16968" priority="371" stopIfTrue="1">
      <formula>C13=CléPersonnalisée1</formula>
    </cfRule>
    <cfRule type="expression" dxfId="16967" priority="372" stopIfTrue="1">
      <formula>C13=CléMaladie</formula>
    </cfRule>
    <cfRule type="expression" dxfId="16966" priority="373" stopIfTrue="1">
      <formula>C13=CléPersonnelle</formula>
    </cfRule>
    <cfRule type="expression" dxfId="16965" priority="374" stopIfTrue="1">
      <formula>C13=CléCongés</formula>
    </cfRule>
  </conditionalFormatting>
  <conditionalFormatting sqref="AQ100:AR100">
    <cfRule type="expression" priority="363" stopIfTrue="1">
      <formula>AQ100=""</formula>
    </cfRule>
    <cfRule type="expression" dxfId="16964" priority="364" stopIfTrue="1">
      <formula>AQ100=CléPersonnalisée2</formula>
    </cfRule>
    <cfRule type="expression" dxfId="16963" priority="365" stopIfTrue="1">
      <formula>AQ100=CléPersonnalisée1</formula>
    </cfRule>
    <cfRule type="expression" dxfId="16962" priority="366" stopIfTrue="1">
      <formula>AQ100=CléMaladie</formula>
    </cfRule>
    <cfRule type="expression" dxfId="16961" priority="367" stopIfTrue="1">
      <formula>AQ100=CléPersonnelle</formula>
    </cfRule>
    <cfRule type="expression" dxfId="16960" priority="368" stopIfTrue="1">
      <formula>AQ100=CléCongés</formula>
    </cfRule>
  </conditionalFormatting>
  <conditionalFormatting sqref="AQ96:AR96">
    <cfRule type="expression" priority="357" stopIfTrue="1">
      <formula>AQ96=""</formula>
    </cfRule>
    <cfRule type="expression" dxfId="16959" priority="358" stopIfTrue="1">
      <formula>AQ96=CléPersonnalisée2</formula>
    </cfRule>
    <cfRule type="expression" dxfId="16958" priority="359" stopIfTrue="1">
      <formula>AQ96=CléPersonnalisée1</formula>
    </cfRule>
    <cfRule type="expression" dxfId="16957" priority="360" stopIfTrue="1">
      <formula>AQ96=CléMaladie</formula>
    </cfRule>
    <cfRule type="expression" dxfId="16956" priority="361" stopIfTrue="1">
      <formula>AQ96=CléPersonnelle</formula>
    </cfRule>
    <cfRule type="expression" dxfId="16955" priority="362" stopIfTrue="1">
      <formula>AQ96=CléCongés</formula>
    </cfRule>
  </conditionalFormatting>
  <conditionalFormatting sqref="AQ120:AR120">
    <cfRule type="expression" priority="351" stopIfTrue="1">
      <formula>AQ120=""</formula>
    </cfRule>
    <cfRule type="expression" dxfId="16954" priority="352" stopIfTrue="1">
      <formula>AQ120=CléPersonnalisée2</formula>
    </cfRule>
    <cfRule type="expression" dxfId="16953" priority="353" stopIfTrue="1">
      <formula>AQ120=CléPersonnalisée1</formula>
    </cfRule>
    <cfRule type="expression" dxfId="16952" priority="354" stopIfTrue="1">
      <formula>AQ120=CléMaladie</formula>
    </cfRule>
    <cfRule type="expression" dxfId="16951" priority="355" stopIfTrue="1">
      <formula>AQ120=CléPersonnelle</formula>
    </cfRule>
    <cfRule type="expression" dxfId="16950" priority="356" stopIfTrue="1">
      <formula>AQ120=CléCongés</formula>
    </cfRule>
  </conditionalFormatting>
  <conditionalFormatting sqref="AQ119">
    <cfRule type="expression" priority="296" stopIfTrue="1">
      <formula>AQ119=""</formula>
    </cfRule>
    <cfRule type="expression" dxfId="16949" priority="297" stopIfTrue="1">
      <formula>AQ119=CléPersonnalisée2</formula>
    </cfRule>
    <cfRule type="expression" dxfId="16948" priority="298" stopIfTrue="1">
      <formula>AQ119=CléPersonnalisée1</formula>
    </cfRule>
    <cfRule type="expression" dxfId="16947" priority="299" stopIfTrue="1">
      <formula>AQ119=CléMaladie</formula>
    </cfRule>
    <cfRule type="expression" dxfId="16946" priority="300" stopIfTrue="1">
      <formula>AQ119=CléPersonnelle</formula>
    </cfRule>
    <cfRule type="expression" dxfId="16945" priority="301" stopIfTrue="1">
      <formula>AQ119=CléCongés</formula>
    </cfRule>
  </conditionalFormatting>
  <conditionalFormatting sqref="D117:AG118">
    <cfRule type="expression" priority="345" stopIfTrue="1">
      <formula>D117=""</formula>
    </cfRule>
    <cfRule type="expression" dxfId="16944" priority="346" stopIfTrue="1">
      <formula>D117=CléPersonnalisée2</formula>
    </cfRule>
    <cfRule type="expression" dxfId="16943" priority="347" stopIfTrue="1">
      <formula>D117=CléPersonnalisée1</formula>
    </cfRule>
    <cfRule type="expression" dxfId="16942" priority="348" stopIfTrue="1">
      <formula>D117=CléMaladie</formula>
    </cfRule>
    <cfRule type="expression" dxfId="16941" priority="349" stopIfTrue="1">
      <formula>D117=CléPersonnelle</formula>
    </cfRule>
    <cfRule type="expression" dxfId="16940" priority="350" stopIfTrue="1">
      <formula>D117=CléCongés</formula>
    </cfRule>
  </conditionalFormatting>
  <conditionalFormatting sqref="AI119:AL119 AJ117:AL118">
    <cfRule type="expression" priority="339" stopIfTrue="1">
      <formula>AI117=""</formula>
    </cfRule>
    <cfRule type="expression" dxfId="16939" priority="340" stopIfTrue="1">
      <formula>AI117=CléPersonnalisée2</formula>
    </cfRule>
    <cfRule type="expression" dxfId="16938" priority="341" stopIfTrue="1">
      <formula>AI117=CléPersonnalisée1</formula>
    </cfRule>
    <cfRule type="expression" dxfId="16937" priority="342" stopIfTrue="1">
      <formula>AI117=CléMaladie</formula>
    </cfRule>
    <cfRule type="expression" dxfId="16936" priority="343" stopIfTrue="1">
      <formula>AI117=CléPersonnelle</formula>
    </cfRule>
    <cfRule type="expression" dxfId="16935" priority="344" stopIfTrue="1">
      <formula>AI117=CléCongés</formula>
    </cfRule>
  </conditionalFormatting>
  <conditionalFormatting sqref="AM117:AP118">
    <cfRule type="expression" priority="333" stopIfTrue="1">
      <formula>AM117=""</formula>
    </cfRule>
    <cfRule type="expression" dxfId="16934" priority="334" stopIfTrue="1">
      <formula>AM117=CléPersonnalisée2</formula>
    </cfRule>
    <cfRule type="expression" dxfId="16933" priority="335" stopIfTrue="1">
      <formula>AM117=CléPersonnalisée1</formula>
    </cfRule>
    <cfRule type="expression" dxfId="16932" priority="336" stopIfTrue="1">
      <formula>AM117=CléMaladie</formula>
    </cfRule>
    <cfRule type="expression" dxfId="16931" priority="337" stopIfTrue="1">
      <formula>AM117=CléPersonnelle</formula>
    </cfRule>
    <cfRule type="expression" dxfId="16930" priority="338" stopIfTrue="1">
      <formula>AM117=CléCongés</formula>
    </cfRule>
  </conditionalFormatting>
  <conditionalFormatting sqref="AQ117:AR118">
    <cfRule type="expression" priority="327" stopIfTrue="1">
      <formula>AQ117=""</formula>
    </cfRule>
    <cfRule type="expression" dxfId="16929" priority="328" stopIfTrue="1">
      <formula>AQ117=CléPersonnalisée2</formula>
    </cfRule>
    <cfRule type="expression" dxfId="16928" priority="329" stopIfTrue="1">
      <formula>AQ117=CléPersonnalisée1</formula>
    </cfRule>
    <cfRule type="expression" dxfId="16927" priority="330" stopIfTrue="1">
      <formula>AQ117=CléMaladie</formula>
    </cfRule>
    <cfRule type="expression" dxfId="16926" priority="331" stopIfTrue="1">
      <formula>AQ117=CléPersonnelle</formula>
    </cfRule>
    <cfRule type="expression" dxfId="16925" priority="332" stopIfTrue="1">
      <formula>AQ117=CléCongés</formula>
    </cfRule>
  </conditionalFormatting>
  <conditionalFormatting sqref="AM119 AP119">
    <cfRule type="expression" priority="321" stopIfTrue="1">
      <formula>AM119=""</formula>
    </cfRule>
    <cfRule type="expression" dxfId="16924" priority="322" stopIfTrue="1">
      <formula>AM119=CléPersonnalisée2</formula>
    </cfRule>
    <cfRule type="expression" dxfId="16923" priority="323" stopIfTrue="1">
      <formula>AM119=CléPersonnalisée1</formula>
    </cfRule>
    <cfRule type="expression" dxfId="16922" priority="324" stopIfTrue="1">
      <formula>AM119=CléMaladie</formula>
    </cfRule>
    <cfRule type="expression" dxfId="16921" priority="325" stopIfTrue="1">
      <formula>AM119=CléPersonnelle</formula>
    </cfRule>
    <cfRule type="expression" dxfId="16920" priority="326" stopIfTrue="1">
      <formula>AM119=CléCongés</formula>
    </cfRule>
  </conditionalFormatting>
  <conditionalFormatting sqref="AH117:AH118">
    <cfRule type="dataBar" priority="320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{501D6314-BBBC-4B57-96BE-5C8A5CCB8B22}</x14:id>
        </ext>
      </extLst>
    </cfRule>
  </conditionalFormatting>
  <conditionalFormatting sqref="AO119">
    <cfRule type="expression" priority="314" stopIfTrue="1">
      <formula>AO119=""</formula>
    </cfRule>
    <cfRule type="expression" dxfId="16919" priority="315" stopIfTrue="1">
      <formula>AO119=CléPersonnalisée2</formula>
    </cfRule>
    <cfRule type="expression" dxfId="16918" priority="316" stopIfTrue="1">
      <formula>AO119=CléPersonnalisée1</formula>
    </cfRule>
    <cfRule type="expression" dxfId="16917" priority="317" stopIfTrue="1">
      <formula>AO119=CléMaladie</formula>
    </cfRule>
    <cfRule type="expression" dxfId="16916" priority="318" stopIfTrue="1">
      <formula>AO119=CléPersonnelle</formula>
    </cfRule>
    <cfRule type="expression" dxfId="16915" priority="319" stopIfTrue="1">
      <formula>AO119=CléCongés</formula>
    </cfRule>
  </conditionalFormatting>
  <conditionalFormatting sqref="AI117:AI118">
    <cfRule type="expression" priority="308" stopIfTrue="1">
      <formula>AI117=""</formula>
    </cfRule>
    <cfRule type="expression" dxfId="16914" priority="309" stopIfTrue="1">
      <formula>AI117=CléPersonnalisée2</formula>
    </cfRule>
    <cfRule type="expression" dxfId="16913" priority="310" stopIfTrue="1">
      <formula>AI117=CléPersonnalisée1</formula>
    </cfRule>
    <cfRule type="expression" dxfId="16912" priority="311" stopIfTrue="1">
      <formula>AI117=CléMaladie</formula>
    </cfRule>
    <cfRule type="expression" dxfId="16911" priority="312" stopIfTrue="1">
      <formula>AI117=CléPersonnelle</formula>
    </cfRule>
    <cfRule type="expression" dxfId="16910" priority="313" stopIfTrue="1">
      <formula>AI117=CléCongés</formula>
    </cfRule>
  </conditionalFormatting>
  <conditionalFormatting sqref="AR119">
    <cfRule type="expression" priority="302" stopIfTrue="1">
      <formula>AR119=""</formula>
    </cfRule>
    <cfRule type="expression" dxfId="16909" priority="303" stopIfTrue="1">
      <formula>AR119=CléPersonnalisée2</formula>
    </cfRule>
    <cfRule type="expression" dxfId="16908" priority="304" stopIfTrue="1">
      <formula>AR119=CléPersonnalisée1</formula>
    </cfRule>
    <cfRule type="expression" dxfId="16907" priority="305" stopIfTrue="1">
      <formula>AR119=CléMaladie</formula>
    </cfRule>
    <cfRule type="expression" dxfId="16906" priority="306" stopIfTrue="1">
      <formula>AR119=CléPersonnelle</formula>
    </cfRule>
    <cfRule type="expression" dxfId="16905" priority="307" stopIfTrue="1">
      <formula>AR119=CléCongés</formula>
    </cfRule>
  </conditionalFormatting>
  <conditionalFormatting sqref="C119:AG119">
    <cfRule type="expression" priority="290" stopIfTrue="1">
      <formula>C119=""</formula>
    </cfRule>
    <cfRule type="expression" dxfId="16904" priority="291" stopIfTrue="1">
      <formula>C119=CléPersonnalisée2</formula>
    </cfRule>
    <cfRule type="expression" dxfId="16903" priority="292" stopIfTrue="1">
      <formula>C119=CléPersonnalisée1</formula>
    </cfRule>
    <cfRule type="expression" dxfId="16902" priority="293" stopIfTrue="1">
      <formula>C119=CléMaladie</formula>
    </cfRule>
    <cfRule type="expression" dxfId="16901" priority="294" stopIfTrue="1">
      <formula>C119=CléPersonnelle</formula>
    </cfRule>
    <cfRule type="expression" dxfId="16900" priority="295" stopIfTrue="1">
      <formula>C119=CléCongés</formula>
    </cfRule>
  </conditionalFormatting>
  <conditionalFormatting sqref="AH119">
    <cfRule type="dataBar" priority="289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{08853264-CD51-4BD3-9677-43BB61FD42DC}</x14:id>
        </ext>
      </extLst>
    </cfRule>
  </conditionalFormatting>
  <conditionalFormatting sqref="C117:C118">
    <cfRule type="expression" priority="283" stopIfTrue="1">
      <formula>C117=""</formula>
    </cfRule>
    <cfRule type="expression" dxfId="16899" priority="284" stopIfTrue="1">
      <formula>C117=CléPersonnalisée2</formula>
    </cfRule>
    <cfRule type="expression" dxfId="16898" priority="285" stopIfTrue="1">
      <formula>C117=CléPersonnalisée1</formula>
    </cfRule>
    <cfRule type="expression" dxfId="16897" priority="286" stopIfTrue="1">
      <formula>C117=CléMaladie</formula>
    </cfRule>
    <cfRule type="expression" dxfId="16896" priority="287" stopIfTrue="1">
      <formula>C117=CléPersonnelle</formula>
    </cfRule>
    <cfRule type="expression" dxfId="16895" priority="288" stopIfTrue="1">
      <formula>C117=CléCongés</formula>
    </cfRule>
  </conditionalFormatting>
  <conditionalFormatting sqref="AQ108:AR108">
    <cfRule type="expression" priority="277" stopIfTrue="1">
      <formula>AQ108=""</formula>
    </cfRule>
    <cfRule type="expression" dxfId="16894" priority="278" stopIfTrue="1">
      <formula>AQ108=CléPersonnalisée2</formula>
    </cfRule>
    <cfRule type="expression" dxfId="16893" priority="279" stopIfTrue="1">
      <formula>AQ108=CléPersonnalisée1</formula>
    </cfRule>
    <cfRule type="expression" dxfId="16892" priority="280" stopIfTrue="1">
      <formula>AQ108=CléMaladie</formula>
    </cfRule>
    <cfRule type="expression" dxfId="16891" priority="281" stopIfTrue="1">
      <formula>AQ108=CléPersonnelle</formula>
    </cfRule>
    <cfRule type="expression" dxfId="16890" priority="282" stopIfTrue="1">
      <formula>AQ108=CléCongés</formula>
    </cfRule>
  </conditionalFormatting>
  <conditionalFormatting sqref="AQ107">
    <cfRule type="expression" priority="216" stopIfTrue="1">
      <formula>AQ107=""</formula>
    </cfRule>
    <cfRule type="expression" dxfId="16889" priority="217" stopIfTrue="1">
      <formula>AQ107=CléPersonnalisée2</formula>
    </cfRule>
    <cfRule type="expression" dxfId="16888" priority="218" stopIfTrue="1">
      <formula>AQ107=CléPersonnalisée1</formula>
    </cfRule>
    <cfRule type="expression" dxfId="16887" priority="219" stopIfTrue="1">
      <formula>AQ107=CléMaladie</formula>
    </cfRule>
    <cfRule type="expression" dxfId="16886" priority="220" stopIfTrue="1">
      <formula>AQ107=CléPersonnelle</formula>
    </cfRule>
    <cfRule type="expression" dxfId="16885" priority="221" stopIfTrue="1">
      <formula>AQ107=CléCongés</formula>
    </cfRule>
  </conditionalFormatting>
  <conditionalFormatting sqref="D105:AG106">
    <cfRule type="expression" priority="271" stopIfTrue="1">
      <formula>D105=""</formula>
    </cfRule>
    <cfRule type="expression" dxfId="16884" priority="272" stopIfTrue="1">
      <formula>D105=CléPersonnalisée2</formula>
    </cfRule>
    <cfRule type="expression" dxfId="16883" priority="273" stopIfTrue="1">
      <formula>D105=CléPersonnalisée1</formula>
    </cfRule>
    <cfRule type="expression" dxfId="16882" priority="274" stopIfTrue="1">
      <formula>D105=CléMaladie</formula>
    </cfRule>
    <cfRule type="expression" dxfId="16881" priority="275" stopIfTrue="1">
      <formula>D105=CléPersonnelle</formula>
    </cfRule>
    <cfRule type="expression" dxfId="16880" priority="276" stopIfTrue="1">
      <formula>D105=CléCongés</formula>
    </cfRule>
  </conditionalFormatting>
  <conditionalFormatting sqref="AI107:AL107 AJ105:AL106">
    <cfRule type="expression" priority="265" stopIfTrue="1">
      <formula>AI105=""</formula>
    </cfRule>
    <cfRule type="expression" dxfId="16879" priority="266" stopIfTrue="1">
      <formula>AI105=CléPersonnalisée2</formula>
    </cfRule>
    <cfRule type="expression" dxfId="16878" priority="267" stopIfTrue="1">
      <formula>AI105=CléPersonnalisée1</formula>
    </cfRule>
    <cfRule type="expression" dxfId="16877" priority="268" stopIfTrue="1">
      <formula>AI105=CléMaladie</formula>
    </cfRule>
    <cfRule type="expression" dxfId="16876" priority="269" stopIfTrue="1">
      <formula>AI105=CléPersonnelle</formula>
    </cfRule>
    <cfRule type="expression" dxfId="16875" priority="270" stopIfTrue="1">
      <formula>AI105=CléCongés</formula>
    </cfRule>
  </conditionalFormatting>
  <conditionalFormatting sqref="AM105:AP106">
    <cfRule type="expression" priority="259" stopIfTrue="1">
      <formula>AM105=""</formula>
    </cfRule>
    <cfRule type="expression" dxfId="16874" priority="260" stopIfTrue="1">
      <formula>AM105=CléPersonnalisée2</formula>
    </cfRule>
    <cfRule type="expression" dxfId="16873" priority="261" stopIfTrue="1">
      <formula>AM105=CléPersonnalisée1</formula>
    </cfRule>
    <cfRule type="expression" dxfId="16872" priority="262" stopIfTrue="1">
      <formula>AM105=CléMaladie</formula>
    </cfRule>
    <cfRule type="expression" dxfId="16871" priority="263" stopIfTrue="1">
      <formula>AM105=CléPersonnelle</formula>
    </cfRule>
    <cfRule type="expression" dxfId="16870" priority="264" stopIfTrue="1">
      <formula>AM105=CléCongés</formula>
    </cfRule>
  </conditionalFormatting>
  <conditionalFormatting sqref="AQ105:AR106">
    <cfRule type="expression" priority="253" stopIfTrue="1">
      <formula>AQ105=""</formula>
    </cfRule>
    <cfRule type="expression" dxfId="16869" priority="254" stopIfTrue="1">
      <formula>AQ105=CléPersonnalisée2</formula>
    </cfRule>
    <cfRule type="expression" dxfId="16868" priority="255" stopIfTrue="1">
      <formula>AQ105=CléPersonnalisée1</formula>
    </cfRule>
    <cfRule type="expression" dxfId="16867" priority="256" stopIfTrue="1">
      <formula>AQ105=CléMaladie</formula>
    </cfRule>
    <cfRule type="expression" dxfId="16866" priority="257" stopIfTrue="1">
      <formula>AQ105=CléPersonnelle</formula>
    </cfRule>
    <cfRule type="expression" dxfId="16865" priority="258" stopIfTrue="1">
      <formula>AQ105=CléCongés</formula>
    </cfRule>
  </conditionalFormatting>
  <conditionalFormatting sqref="AM107 AP107">
    <cfRule type="expression" priority="247" stopIfTrue="1">
      <formula>AM107=""</formula>
    </cfRule>
    <cfRule type="expression" dxfId="16864" priority="248" stopIfTrue="1">
      <formula>AM107=CléPersonnalisée2</formula>
    </cfRule>
    <cfRule type="expression" dxfId="16863" priority="249" stopIfTrue="1">
      <formula>AM107=CléPersonnalisée1</formula>
    </cfRule>
    <cfRule type="expression" dxfId="16862" priority="250" stopIfTrue="1">
      <formula>AM107=CléMaladie</formula>
    </cfRule>
    <cfRule type="expression" dxfId="16861" priority="251" stopIfTrue="1">
      <formula>AM107=CléPersonnelle</formula>
    </cfRule>
    <cfRule type="expression" dxfId="16860" priority="252" stopIfTrue="1">
      <formula>AM107=CléCongés</formula>
    </cfRule>
  </conditionalFormatting>
  <conditionalFormatting sqref="AH105:AH106">
    <cfRule type="dataBar" priority="246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{71FF16A4-9F39-4DCE-B61E-226138208AFA}</x14:id>
        </ext>
      </extLst>
    </cfRule>
  </conditionalFormatting>
  <conditionalFormatting sqref="AO107">
    <cfRule type="expression" priority="240" stopIfTrue="1">
      <formula>AO107=""</formula>
    </cfRule>
    <cfRule type="expression" dxfId="16859" priority="241" stopIfTrue="1">
      <formula>AO107=CléPersonnalisée2</formula>
    </cfRule>
    <cfRule type="expression" dxfId="16858" priority="242" stopIfTrue="1">
      <formula>AO107=CléPersonnalisée1</formula>
    </cfRule>
    <cfRule type="expression" dxfId="16857" priority="243" stopIfTrue="1">
      <formula>AO107=CléMaladie</formula>
    </cfRule>
    <cfRule type="expression" dxfId="16856" priority="244" stopIfTrue="1">
      <formula>AO107=CléPersonnelle</formula>
    </cfRule>
    <cfRule type="expression" dxfId="16855" priority="245" stopIfTrue="1">
      <formula>AO107=CléCongés</formula>
    </cfRule>
  </conditionalFormatting>
  <conditionalFormatting sqref="AI105:AI106">
    <cfRule type="expression" priority="234" stopIfTrue="1">
      <formula>AI105=""</formula>
    </cfRule>
    <cfRule type="expression" dxfId="16854" priority="235" stopIfTrue="1">
      <formula>AI105=CléPersonnalisée2</formula>
    </cfRule>
    <cfRule type="expression" dxfId="16853" priority="236" stopIfTrue="1">
      <formula>AI105=CléPersonnalisée1</formula>
    </cfRule>
    <cfRule type="expression" dxfId="16852" priority="237" stopIfTrue="1">
      <formula>AI105=CléMaladie</formula>
    </cfRule>
    <cfRule type="expression" dxfId="16851" priority="238" stopIfTrue="1">
      <formula>AI105=CléPersonnelle</formula>
    </cfRule>
    <cfRule type="expression" dxfId="16850" priority="239" stopIfTrue="1">
      <formula>AI105=CléCongés</formula>
    </cfRule>
  </conditionalFormatting>
  <conditionalFormatting sqref="AN107">
    <cfRule type="expression" priority="228" stopIfTrue="1">
      <formula>AN107=""</formula>
    </cfRule>
    <cfRule type="expression" dxfId="16849" priority="229" stopIfTrue="1">
      <formula>AN107=CléPersonnalisée2</formula>
    </cfRule>
    <cfRule type="expression" dxfId="16848" priority="230" stopIfTrue="1">
      <formula>AN107=CléPersonnalisée1</formula>
    </cfRule>
    <cfRule type="expression" dxfId="16847" priority="231" stopIfTrue="1">
      <formula>AN107=CléMaladie</formula>
    </cfRule>
    <cfRule type="expression" dxfId="16846" priority="232" stopIfTrue="1">
      <formula>AN107=CléPersonnelle</formula>
    </cfRule>
    <cfRule type="expression" dxfId="16845" priority="233" stopIfTrue="1">
      <formula>AN107=CléCongés</formula>
    </cfRule>
  </conditionalFormatting>
  <conditionalFormatting sqref="AR107">
    <cfRule type="expression" priority="222" stopIfTrue="1">
      <formula>AR107=""</formula>
    </cfRule>
    <cfRule type="expression" dxfId="16844" priority="223" stopIfTrue="1">
      <formula>AR107=CléPersonnalisée2</formula>
    </cfRule>
    <cfRule type="expression" dxfId="16843" priority="224" stopIfTrue="1">
      <formula>AR107=CléPersonnalisée1</formula>
    </cfRule>
    <cfRule type="expression" dxfId="16842" priority="225" stopIfTrue="1">
      <formula>AR107=CléMaladie</formula>
    </cfRule>
    <cfRule type="expression" dxfId="16841" priority="226" stopIfTrue="1">
      <formula>AR107=CléPersonnelle</formula>
    </cfRule>
    <cfRule type="expression" dxfId="16840" priority="227" stopIfTrue="1">
      <formula>AR107=CléCongés</formula>
    </cfRule>
  </conditionalFormatting>
  <conditionalFormatting sqref="C107:AG107">
    <cfRule type="expression" priority="210" stopIfTrue="1">
      <formula>C107=""</formula>
    </cfRule>
    <cfRule type="expression" dxfId="16839" priority="211" stopIfTrue="1">
      <formula>C107=CléPersonnalisée2</formula>
    </cfRule>
    <cfRule type="expression" dxfId="16838" priority="212" stopIfTrue="1">
      <formula>C107=CléPersonnalisée1</formula>
    </cfRule>
    <cfRule type="expression" dxfId="16837" priority="213" stopIfTrue="1">
      <formula>C107=CléMaladie</formula>
    </cfRule>
    <cfRule type="expression" dxfId="16836" priority="214" stopIfTrue="1">
      <formula>C107=CléPersonnelle</formula>
    </cfRule>
    <cfRule type="expression" dxfId="16835" priority="215" stopIfTrue="1">
      <formula>C107=CléCongés</formula>
    </cfRule>
  </conditionalFormatting>
  <conditionalFormatting sqref="AH107">
    <cfRule type="dataBar" priority="209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{638BEBB3-3070-4680-828C-E37F0AE3CC69}</x14:id>
        </ext>
      </extLst>
    </cfRule>
  </conditionalFormatting>
  <conditionalFormatting sqref="C105:C106">
    <cfRule type="expression" priority="203" stopIfTrue="1">
      <formula>C105=""</formula>
    </cfRule>
    <cfRule type="expression" dxfId="16834" priority="204" stopIfTrue="1">
      <formula>C105=CléPersonnalisée2</formula>
    </cfRule>
    <cfRule type="expression" dxfId="16833" priority="205" stopIfTrue="1">
      <formula>C105=CléPersonnalisée1</formula>
    </cfRule>
    <cfRule type="expression" dxfId="16832" priority="206" stopIfTrue="1">
      <formula>C105=CléMaladie</formula>
    </cfRule>
    <cfRule type="expression" dxfId="16831" priority="207" stopIfTrue="1">
      <formula>C105=CléPersonnelle</formula>
    </cfRule>
    <cfRule type="expression" dxfId="16830" priority="208" stopIfTrue="1">
      <formula>C105=CléCongés</formula>
    </cfRule>
  </conditionalFormatting>
  <conditionalFormatting sqref="D57:AG58">
    <cfRule type="expression" priority="197" stopIfTrue="1">
      <formula>D57=""</formula>
    </cfRule>
    <cfRule type="expression" dxfId="16829" priority="198" stopIfTrue="1">
      <formula>D57=CléPersonnalisée2</formula>
    </cfRule>
    <cfRule type="expression" dxfId="16828" priority="199" stopIfTrue="1">
      <formula>D57=CléPersonnalisée1</formula>
    </cfRule>
    <cfRule type="expression" dxfId="16827" priority="200" stopIfTrue="1">
      <formula>D57=CléMaladie</formula>
    </cfRule>
    <cfRule type="expression" dxfId="16826" priority="201" stopIfTrue="1">
      <formula>D57=CléPersonnelle</formula>
    </cfRule>
    <cfRule type="expression" dxfId="16825" priority="202" stopIfTrue="1">
      <formula>D57=CléCongés</formula>
    </cfRule>
  </conditionalFormatting>
  <conditionalFormatting sqref="AI59:AL59 AJ57:AL58">
    <cfRule type="expression" priority="191" stopIfTrue="1">
      <formula>AI57=""</formula>
    </cfRule>
    <cfRule type="expression" dxfId="16824" priority="192" stopIfTrue="1">
      <formula>AI57=CléPersonnalisée2</formula>
    </cfRule>
    <cfRule type="expression" dxfId="16823" priority="193" stopIfTrue="1">
      <formula>AI57=CléPersonnalisée1</formula>
    </cfRule>
    <cfRule type="expression" dxfId="16822" priority="194" stopIfTrue="1">
      <formula>AI57=CléMaladie</formula>
    </cfRule>
    <cfRule type="expression" dxfId="16821" priority="195" stopIfTrue="1">
      <formula>AI57=CléPersonnelle</formula>
    </cfRule>
    <cfRule type="expression" dxfId="16820" priority="196" stopIfTrue="1">
      <formula>AI57=CléCongés</formula>
    </cfRule>
  </conditionalFormatting>
  <conditionalFormatting sqref="AM57:AP58">
    <cfRule type="expression" priority="185" stopIfTrue="1">
      <formula>AM57=""</formula>
    </cfRule>
    <cfRule type="expression" dxfId="16819" priority="186" stopIfTrue="1">
      <formula>AM57=CléPersonnalisée2</formula>
    </cfRule>
    <cfRule type="expression" dxfId="16818" priority="187" stopIfTrue="1">
      <formula>AM57=CléPersonnalisée1</formula>
    </cfRule>
    <cfRule type="expression" dxfId="16817" priority="188" stopIfTrue="1">
      <formula>AM57=CléMaladie</formula>
    </cfRule>
    <cfRule type="expression" dxfId="16816" priority="189" stopIfTrue="1">
      <formula>AM57=CléPersonnelle</formula>
    </cfRule>
    <cfRule type="expression" dxfId="16815" priority="190" stopIfTrue="1">
      <formula>AM57=CléCongés</formula>
    </cfRule>
  </conditionalFormatting>
  <conditionalFormatting sqref="AQ57:AR58">
    <cfRule type="expression" priority="179" stopIfTrue="1">
      <formula>AQ57=""</formula>
    </cfRule>
    <cfRule type="expression" dxfId="16814" priority="180" stopIfTrue="1">
      <formula>AQ57=CléPersonnalisée2</formula>
    </cfRule>
    <cfRule type="expression" dxfId="16813" priority="181" stopIfTrue="1">
      <formula>AQ57=CléPersonnalisée1</formula>
    </cfRule>
    <cfRule type="expression" dxfId="16812" priority="182" stopIfTrue="1">
      <formula>AQ57=CléMaladie</formula>
    </cfRule>
    <cfRule type="expression" dxfId="16811" priority="183" stopIfTrue="1">
      <formula>AQ57=CléPersonnelle</formula>
    </cfRule>
    <cfRule type="expression" dxfId="16810" priority="184" stopIfTrue="1">
      <formula>AQ57=CléCongés</formula>
    </cfRule>
  </conditionalFormatting>
  <conditionalFormatting sqref="AM59 AP59">
    <cfRule type="expression" priority="173" stopIfTrue="1">
      <formula>AM59=""</formula>
    </cfRule>
    <cfRule type="expression" dxfId="16809" priority="174" stopIfTrue="1">
      <formula>AM59=CléPersonnalisée2</formula>
    </cfRule>
    <cfRule type="expression" dxfId="16808" priority="175" stopIfTrue="1">
      <formula>AM59=CléPersonnalisée1</formula>
    </cfRule>
    <cfRule type="expression" dxfId="16807" priority="176" stopIfTrue="1">
      <formula>AM59=CléMaladie</formula>
    </cfRule>
    <cfRule type="expression" dxfId="16806" priority="177" stopIfTrue="1">
      <formula>AM59=CléPersonnelle</formula>
    </cfRule>
    <cfRule type="expression" dxfId="16805" priority="178" stopIfTrue="1">
      <formula>AM59=CléCongés</formula>
    </cfRule>
  </conditionalFormatting>
  <conditionalFormatting sqref="AH57:AH58">
    <cfRule type="dataBar" priority="172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{0382C6DA-2CA2-48DF-92EA-B6F952CF5F24}</x14:id>
        </ext>
      </extLst>
    </cfRule>
  </conditionalFormatting>
  <conditionalFormatting sqref="AO59">
    <cfRule type="expression" priority="166" stopIfTrue="1">
      <formula>AO59=""</formula>
    </cfRule>
    <cfRule type="expression" dxfId="16804" priority="167" stopIfTrue="1">
      <formula>AO59=CléPersonnalisée2</formula>
    </cfRule>
    <cfRule type="expression" dxfId="16803" priority="168" stopIfTrue="1">
      <formula>AO59=CléPersonnalisée1</formula>
    </cfRule>
    <cfRule type="expression" dxfId="16802" priority="169" stopIfTrue="1">
      <formula>AO59=CléMaladie</formula>
    </cfRule>
    <cfRule type="expression" dxfId="16801" priority="170" stopIfTrue="1">
      <formula>AO59=CléPersonnelle</formula>
    </cfRule>
    <cfRule type="expression" dxfId="16800" priority="171" stopIfTrue="1">
      <formula>AO59=CléCongés</formula>
    </cfRule>
  </conditionalFormatting>
  <conditionalFormatting sqref="AI57:AI58">
    <cfRule type="expression" priority="160" stopIfTrue="1">
      <formula>AI57=""</formula>
    </cfRule>
    <cfRule type="expression" dxfId="16799" priority="161" stopIfTrue="1">
      <formula>AI57=CléPersonnalisée2</formula>
    </cfRule>
    <cfRule type="expression" dxfId="16798" priority="162" stopIfTrue="1">
      <formula>AI57=CléPersonnalisée1</formula>
    </cfRule>
    <cfRule type="expression" dxfId="16797" priority="163" stopIfTrue="1">
      <formula>AI57=CléMaladie</formula>
    </cfRule>
    <cfRule type="expression" dxfId="16796" priority="164" stopIfTrue="1">
      <formula>AI57=CléPersonnelle</formula>
    </cfRule>
    <cfRule type="expression" dxfId="16795" priority="165" stopIfTrue="1">
      <formula>AI57=CléCongés</formula>
    </cfRule>
  </conditionalFormatting>
  <conditionalFormatting sqref="AN59">
    <cfRule type="expression" priority="154" stopIfTrue="1">
      <formula>AN59=""</formula>
    </cfRule>
    <cfRule type="expression" dxfId="16794" priority="155" stopIfTrue="1">
      <formula>AN59=CléPersonnalisée2</formula>
    </cfRule>
    <cfRule type="expression" dxfId="16793" priority="156" stopIfTrue="1">
      <formula>AN59=CléPersonnalisée1</formula>
    </cfRule>
    <cfRule type="expression" dxfId="16792" priority="157" stopIfTrue="1">
      <formula>AN59=CléMaladie</formula>
    </cfRule>
    <cfRule type="expression" dxfId="16791" priority="158" stopIfTrue="1">
      <formula>AN59=CléPersonnelle</formula>
    </cfRule>
    <cfRule type="expression" dxfId="16790" priority="159" stopIfTrue="1">
      <formula>AN59=CléCongés</formula>
    </cfRule>
  </conditionalFormatting>
  <conditionalFormatting sqref="AR59">
    <cfRule type="expression" priority="148" stopIfTrue="1">
      <formula>AR59=""</formula>
    </cfRule>
    <cfRule type="expression" dxfId="16789" priority="149" stopIfTrue="1">
      <formula>AR59=CléPersonnalisée2</formula>
    </cfRule>
    <cfRule type="expression" dxfId="16788" priority="150" stopIfTrue="1">
      <formula>AR59=CléPersonnalisée1</formula>
    </cfRule>
    <cfRule type="expression" dxfId="16787" priority="151" stopIfTrue="1">
      <formula>AR59=CléMaladie</formula>
    </cfRule>
    <cfRule type="expression" dxfId="16786" priority="152" stopIfTrue="1">
      <formula>AR59=CléPersonnelle</formula>
    </cfRule>
    <cfRule type="expression" dxfId="16785" priority="153" stopIfTrue="1">
      <formula>AR59=CléCongés</formula>
    </cfRule>
  </conditionalFormatting>
  <conditionalFormatting sqref="AQ59">
    <cfRule type="expression" priority="142" stopIfTrue="1">
      <formula>AQ59=""</formula>
    </cfRule>
    <cfRule type="expression" dxfId="16784" priority="143" stopIfTrue="1">
      <formula>AQ59=CléPersonnalisée2</formula>
    </cfRule>
    <cfRule type="expression" dxfId="16783" priority="144" stopIfTrue="1">
      <formula>AQ59=CléPersonnalisée1</formula>
    </cfRule>
    <cfRule type="expression" dxfId="16782" priority="145" stopIfTrue="1">
      <formula>AQ59=CléMaladie</formula>
    </cfRule>
    <cfRule type="expression" dxfId="16781" priority="146" stopIfTrue="1">
      <formula>AQ59=CléPersonnelle</formula>
    </cfRule>
    <cfRule type="expression" dxfId="16780" priority="147" stopIfTrue="1">
      <formula>AQ59=CléCongés</formula>
    </cfRule>
  </conditionalFormatting>
  <conditionalFormatting sqref="C59:AG59">
    <cfRule type="expression" priority="136" stopIfTrue="1">
      <formula>C59=""</formula>
    </cfRule>
    <cfRule type="expression" dxfId="16779" priority="137" stopIfTrue="1">
      <formula>C59=CléPersonnalisée2</formula>
    </cfRule>
    <cfRule type="expression" dxfId="16778" priority="138" stopIfTrue="1">
      <formula>C59=CléPersonnalisée1</formula>
    </cfRule>
    <cfRule type="expression" dxfId="16777" priority="139" stopIfTrue="1">
      <formula>C59=CléMaladie</formula>
    </cfRule>
    <cfRule type="expression" dxfId="16776" priority="140" stopIfTrue="1">
      <formula>C59=CléPersonnelle</formula>
    </cfRule>
    <cfRule type="expression" dxfId="16775" priority="141" stopIfTrue="1">
      <formula>C59=CléCongés</formula>
    </cfRule>
  </conditionalFormatting>
  <conditionalFormatting sqref="AH59">
    <cfRule type="dataBar" priority="135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{972E7F42-8DFB-495D-BFC6-6C3618080E76}</x14:id>
        </ext>
      </extLst>
    </cfRule>
  </conditionalFormatting>
  <conditionalFormatting sqref="C57:C58">
    <cfRule type="expression" priority="129" stopIfTrue="1">
      <formula>C57=""</formula>
    </cfRule>
    <cfRule type="expression" dxfId="16774" priority="130" stopIfTrue="1">
      <formula>C57=CléPersonnalisée2</formula>
    </cfRule>
    <cfRule type="expression" dxfId="16773" priority="131" stopIfTrue="1">
      <formula>C57=CléPersonnalisée1</formula>
    </cfRule>
    <cfRule type="expression" dxfId="16772" priority="132" stopIfTrue="1">
      <formula>C57=CléMaladie</formula>
    </cfRule>
    <cfRule type="expression" dxfId="16771" priority="133" stopIfTrue="1">
      <formula>C57=CléPersonnelle</formula>
    </cfRule>
    <cfRule type="expression" dxfId="16770" priority="134" stopIfTrue="1">
      <formula>C57=CléCongés</formula>
    </cfRule>
  </conditionalFormatting>
  <conditionalFormatting sqref="AQ79">
    <cfRule type="expression" priority="80" stopIfTrue="1">
      <formula>AQ79=""</formula>
    </cfRule>
    <cfRule type="expression" dxfId="16769" priority="81" stopIfTrue="1">
      <formula>AQ79=CléPersonnalisée2</formula>
    </cfRule>
    <cfRule type="expression" dxfId="16768" priority="82" stopIfTrue="1">
      <formula>AQ79=CléPersonnalisée1</formula>
    </cfRule>
    <cfRule type="expression" dxfId="16767" priority="83" stopIfTrue="1">
      <formula>AQ79=CléMaladie</formula>
    </cfRule>
    <cfRule type="expression" dxfId="16766" priority="84" stopIfTrue="1">
      <formula>AQ79=CléPersonnelle</formula>
    </cfRule>
    <cfRule type="expression" dxfId="16765" priority="85" stopIfTrue="1">
      <formula>AQ79=CléCongés</formula>
    </cfRule>
  </conditionalFormatting>
  <conditionalFormatting sqref="D77:AG78">
    <cfRule type="expression" priority="123" stopIfTrue="1">
      <formula>D77=""</formula>
    </cfRule>
    <cfRule type="expression" dxfId="16764" priority="124" stopIfTrue="1">
      <formula>D77=CléPersonnalisée2</formula>
    </cfRule>
    <cfRule type="expression" dxfId="16763" priority="125" stopIfTrue="1">
      <formula>D77=CléPersonnalisée1</formula>
    </cfRule>
    <cfRule type="expression" dxfId="16762" priority="126" stopIfTrue="1">
      <formula>D77=CléMaladie</formula>
    </cfRule>
    <cfRule type="expression" dxfId="16761" priority="127" stopIfTrue="1">
      <formula>D77=CléPersonnelle</formula>
    </cfRule>
    <cfRule type="expression" dxfId="16760" priority="128" stopIfTrue="1">
      <formula>D77=CléCongés</formula>
    </cfRule>
  </conditionalFormatting>
  <conditionalFormatting sqref="AI79:AL79 AJ77:AL78">
    <cfRule type="expression" priority="117" stopIfTrue="1">
      <formula>AI77=""</formula>
    </cfRule>
    <cfRule type="expression" dxfId="16759" priority="118" stopIfTrue="1">
      <formula>AI77=CléPersonnalisée2</formula>
    </cfRule>
    <cfRule type="expression" dxfId="16758" priority="119" stopIfTrue="1">
      <formula>AI77=CléPersonnalisée1</formula>
    </cfRule>
    <cfRule type="expression" dxfId="16757" priority="120" stopIfTrue="1">
      <formula>AI77=CléMaladie</formula>
    </cfRule>
    <cfRule type="expression" dxfId="16756" priority="121" stopIfTrue="1">
      <formula>AI77=CléPersonnelle</formula>
    </cfRule>
    <cfRule type="expression" dxfId="16755" priority="122" stopIfTrue="1">
      <formula>AI77=CléCongés</formula>
    </cfRule>
  </conditionalFormatting>
  <conditionalFormatting sqref="AM77:AP78">
    <cfRule type="expression" priority="111" stopIfTrue="1">
      <formula>AM77=""</formula>
    </cfRule>
    <cfRule type="expression" dxfId="16754" priority="112" stopIfTrue="1">
      <formula>AM77=CléPersonnalisée2</formula>
    </cfRule>
    <cfRule type="expression" dxfId="16753" priority="113" stopIfTrue="1">
      <formula>AM77=CléPersonnalisée1</formula>
    </cfRule>
    <cfRule type="expression" dxfId="16752" priority="114" stopIfTrue="1">
      <formula>AM77=CléMaladie</formula>
    </cfRule>
    <cfRule type="expression" dxfId="16751" priority="115" stopIfTrue="1">
      <formula>AM77=CléPersonnelle</formula>
    </cfRule>
    <cfRule type="expression" dxfId="16750" priority="116" stopIfTrue="1">
      <formula>AM77=CléCongés</formula>
    </cfRule>
  </conditionalFormatting>
  <conditionalFormatting sqref="AQ77:AR78">
    <cfRule type="expression" priority="105" stopIfTrue="1">
      <formula>AQ77=""</formula>
    </cfRule>
    <cfRule type="expression" dxfId="16749" priority="106" stopIfTrue="1">
      <formula>AQ77=CléPersonnalisée2</formula>
    </cfRule>
    <cfRule type="expression" dxfId="16748" priority="107" stopIfTrue="1">
      <formula>AQ77=CléPersonnalisée1</formula>
    </cfRule>
    <cfRule type="expression" dxfId="16747" priority="108" stopIfTrue="1">
      <formula>AQ77=CléMaladie</formula>
    </cfRule>
    <cfRule type="expression" dxfId="16746" priority="109" stopIfTrue="1">
      <formula>AQ77=CléPersonnelle</formula>
    </cfRule>
    <cfRule type="expression" dxfId="16745" priority="110" stopIfTrue="1">
      <formula>AQ77=CléCongés</formula>
    </cfRule>
  </conditionalFormatting>
  <conditionalFormatting sqref="AM79 AP79">
    <cfRule type="expression" priority="99" stopIfTrue="1">
      <formula>AM79=""</formula>
    </cfRule>
    <cfRule type="expression" dxfId="16744" priority="100" stopIfTrue="1">
      <formula>AM79=CléPersonnalisée2</formula>
    </cfRule>
    <cfRule type="expression" dxfId="16743" priority="101" stopIfTrue="1">
      <formula>AM79=CléPersonnalisée1</formula>
    </cfRule>
    <cfRule type="expression" dxfId="16742" priority="102" stopIfTrue="1">
      <formula>AM79=CléMaladie</formula>
    </cfRule>
    <cfRule type="expression" dxfId="16741" priority="103" stopIfTrue="1">
      <formula>AM79=CléPersonnelle</formula>
    </cfRule>
    <cfRule type="expression" dxfId="16740" priority="104" stopIfTrue="1">
      <formula>AM79=CléCongés</formula>
    </cfRule>
  </conditionalFormatting>
  <conditionalFormatting sqref="AH77:AH78">
    <cfRule type="dataBar" priority="98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{617AECF8-D5AD-4773-8CE1-D224C03F0135}</x14:id>
        </ext>
      </extLst>
    </cfRule>
  </conditionalFormatting>
  <conditionalFormatting sqref="AI77:AI78">
    <cfRule type="expression" priority="92" stopIfTrue="1">
      <formula>AI77=""</formula>
    </cfRule>
    <cfRule type="expression" dxfId="16739" priority="93" stopIfTrue="1">
      <formula>AI77=CléPersonnalisée2</formula>
    </cfRule>
    <cfRule type="expression" dxfId="16738" priority="94" stopIfTrue="1">
      <formula>AI77=CléPersonnalisée1</formula>
    </cfRule>
    <cfRule type="expression" dxfId="16737" priority="95" stopIfTrue="1">
      <formula>AI77=CléMaladie</formula>
    </cfRule>
    <cfRule type="expression" dxfId="16736" priority="96" stopIfTrue="1">
      <formula>AI77=CléPersonnelle</formula>
    </cfRule>
    <cfRule type="expression" dxfId="16735" priority="97" stopIfTrue="1">
      <formula>AI77=CléCongés</formula>
    </cfRule>
  </conditionalFormatting>
  <conditionalFormatting sqref="AR79">
    <cfRule type="expression" priority="86" stopIfTrue="1">
      <formula>AR79=""</formula>
    </cfRule>
    <cfRule type="expression" dxfId="16734" priority="87" stopIfTrue="1">
      <formula>AR79=CléPersonnalisée2</formula>
    </cfRule>
    <cfRule type="expression" dxfId="16733" priority="88" stopIfTrue="1">
      <formula>AR79=CléPersonnalisée1</formula>
    </cfRule>
    <cfRule type="expression" dxfId="16732" priority="89" stopIfTrue="1">
      <formula>AR79=CléMaladie</formula>
    </cfRule>
    <cfRule type="expression" dxfId="16731" priority="90" stopIfTrue="1">
      <formula>AR79=CléPersonnelle</formula>
    </cfRule>
    <cfRule type="expression" dxfId="16730" priority="91" stopIfTrue="1">
      <formula>AR79=CléCongés</formula>
    </cfRule>
  </conditionalFormatting>
  <conditionalFormatting sqref="AO79">
    <cfRule type="expression" priority="74" stopIfTrue="1">
      <formula>AO79=""</formula>
    </cfRule>
    <cfRule type="expression" dxfId="16729" priority="75" stopIfTrue="1">
      <formula>AO79=CléPersonnalisée2</formula>
    </cfRule>
    <cfRule type="expression" dxfId="16728" priority="76" stopIfTrue="1">
      <formula>AO79=CléPersonnalisée1</formula>
    </cfRule>
    <cfRule type="expression" dxfId="16727" priority="77" stopIfTrue="1">
      <formula>AO79=CléMaladie</formula>
    </cfRule>
    <cfRule type="expression" dxfId="16726" priority="78" stopIfTrue="1">
      <formula>AO79=CléPersonnelle</formula>
    </cfRule>
    <cfRule type="expression" dxfId="16725" priority="79" stopIfTrue="1">
      <formula>AO79=CléCongés</formula>
    </cfRule>
  </conditionalFormatting>
  <conditionalFormatting sqref="AN79">
    <cfRule type="expression" priority="68" stopIfTrue="1">
      <formula>AN79=""</formula>
    </cfRule>
    <cfRule type="expression" dxfId="16724" priority="69" stopIfTrue="1">
      <formula>AN79=CléPersonnalisée2</formula>
    </cfRule>
    <cfRule type="expression" dxfId="16723" priority="70" stopIfTrue="1">
      <formula>AN79=CléPersonnalisée1</formula>
    </cfRule>
    <cfRule type="expression" dxfId="16722" priority="71" stopIfTrue="1">
      <formula>AN79=CléMaladie</formula>
    </cfRule>
    <cfRule type="expression" dxfId="16721" priority="72" stopIfTrue="1">
      <formula>AN79=CléPersonnelle</formula>
    </cfRule>
    <cfRule type="expression" dxfId="16720" priority="73" stopIfTrue="1">
      <formula>AN79=CléCongés</formula>
    </cfRule>
  </conditionalFormatting>
  <conditionalFormatting sqref="C79:AG79">
    <cfRule type="expression" priority="62" stopIfTrue="1">
      <formula>C79=""</formula>
    </cfRule>
    <cfRule type="expression" dxfId="16719" priority="63" stopIfTrue="1">
      <formula>C79=CléPersonnalisée2</formula>
    </cfRule>
    <cfRule type="expression" dxfId="16718" priority="64" stopIfTrue="1">
      <formula>C79=CléPersonnalisée1</formula>
    </cfRule>
    <cfRule type="expression" dxfId="16717" priority="65" stopIfTrue="1">
      <formula>C79=CléMaladie</formula>
    </cfRule>
    <cfRule type="expression" dxfId="16716" priority="66" stopIfTrue="1">
      <formula>C79=CléPersonnelle</formula>
    </cfRule>
    <cfRule type="expression" dxfId="16715" priority="67" stopIfTrue="1">
      <formula>C79=CléCongés</formula>
    </cfRule>
  </conditionalFormatting>
  <conditionalFormatting sqref="AH79">
    <cfRule type="dataBar" priority="61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{D206D911-F82A-4C9F-B9D8-8203099E08EA}</x14:id>
        </ext>
      </extLst>
    </cfRule>
  </conditionalFormatting>
  <conditionalFormatting sqref="C77:C78">
    <cfRule type="expression" priority="55" stopIfTrue="1">
      <formula>C77=""</formula>
    </cfRule>
    <cfRule type="expression" dxfId="16714" priority="56" stopIfTrue="1">
      <formula>C77=CléPersonnalisée2</formula>
    </cfRule>
    <cfRule type="expression" dxfId="16713" priority="57" stopIfTrue="1">
      <formula>C77=CléPersonnalisée1</formula>
    </cfRule>
    <cfRule type="expression" dxfId="16712" priority="58" stopIfTrue="1">
      <formula>C77=CléMaladie</formula>
    </cfRule>
    <cfRule type="expression" dxfId="16711" priority="59" stopIfTrue="1">
      <formula>C77=CléPersonnelle</formula>
    </cfRule>
    <cfRule type="expression" dxfId="16710" priority="60" stopIfTrue="1">
      <formula>C77=CléCongés</formula>
    </cfRule>
  </conditionalFormatting>
  <conditionalFormatting sqref="AN119">
    <cfRule type="expression" priority="49" stopIfTrue="1">
      <formula>AN119=""</formula>
    </cfRule>
    <cfRule type="expression" dxfId="16709" priority="50" stopIfTrue="1">
      <formula>AN119=CléPersonnalisée2</formula>
    </cfRule>
    <cfRule type="expression" dxfId="16708" priority="51" stopIfTrue="1">
      <formula>AN119=CléPersonnalisée1</formula>
    </cfRule>
    <cfRule type="expression" dxfId="16707" priority="52" stopIfTrue="1">
      <formula>AN119=CléMaladie</formula>
    </cfRule>
    <cfRule type="expression" dxfId="16706" priority="53" stopIfTrue="1">
      <formula>AN119=CléPersonnelle</formula>
    </cfRule>
    <cfRule type="expression" dxfId="16705" priority="54" stopIfTrue="1">
      <formula>AN119=CléCongés</formula>
    </cfRule>
  </conditionalFormatting>
  <conditionalFormatting sqref="AN123">
    <cfRule type="expression" priority="43" stopIfTrue="1">
      <formula>AN123=""</formula>
    </cfRule>
    <cfRule type="expression" dxfId="16704" priority="44" stopIfTrue="1">
      <formula>AN123=CléPersonnalisée2</formula>
    </cfRule>
    <cfRule type="expression" dxfId="16703" priority="45" stopIfTrue="1">
      <formula>AN123=CléPersonnalisée1</formula>
    </cfRule>
    <cfRule type="expression" dxfId="16702" priority="46" stopIfTrue="1">
      <formula>AN123=CléMaladie</formula>
    </cfRule>
    <cfRule type="expression" dxfId="16701" priority="47" stopIfTrue="1">
      <formula>AN123=CléPersonnelle</formula>
    </cfRule>
    <cfRule type="expression" dxfId="16700" priority="48" stopIfTrue="1">
      <formula>AN123=CléCongés</formula>
    </cfRule>
  </conditionalFormatting>
  <conditionalFormatting sqref="AM97:AP98">
    <cfRule type="expression" priority="37" stopIfTrue="1">
      <formula>AM97=""</formula>
    </cfRule>
    <cfRule type="expression" dxfId="16699" priority="38" stopIfTrue="1">
      <formula>AM97=CléPersonnalisée2</formula>
    </cfRule>
    <cfRule type="expression" dxfId="16698" priority="39" stopIfTrue="1">
      <formula>AM97=CléPersonnalisée1</formula>
    </cfRule>
    <cfRule type="expression" dxfId="16697" priority="40" stopIfTrue="1">
      <formula>AM97=CléMaladie</formula>
    </cfRule>
    <cfRule type="expression" dxfId="16696" priority="41" stopIfTrue="1">
      <formula>AM97=CléPersonnelle</formula>
    </cfRule>
    <cfRule type="expression" dxfId="16695" priority="42" stopIfTrue="1">
      <formula>AM97=CléCongés</formula>
    </cfRule>
  </conditionalFormatting>
  <conditionalFormatting sqref="AQ97:AR98">
    <cfRule type="expression" priority="31" stopIfTrue="1">
      <formula>AQ97=""</formula>
    </cfRule>
    <cfRule type="expression" dxfId="16694" priority="32" stopIfTrue="1">
      <formula>AQ97=CléPersonnalisée2</formula>
    </cfRule>
    <cfRule type="expression" dxfId="16693" priority="33" stopIfTrue="1">
      <formula>AQ97=CléPersonnalisée1</formula>
    </cfRule>
    <cfRule type="expression" dxfId="16692" priority="34" stopIfTrue="1">
      <formula>AQ97=CléMaladie</formula>
    </cfRule>
    <cfRule type="expression" dxfId="16691" priority="35" stopIfTrue="1">
      <formula>AQ97=CléPersonnelle</formula>
    </cfRule>
    <cfRule type="expression" dxfId="16690" priority="36" stopIfTrue="1">
      <formula>AQ97=CléCongés</formula>
    </cfRule>
  </conditionalFormatting>
  <conditionalFormatting sqref="AM101:AP102">
    <cfRule type="expression" priority="25" stopIfTrue="1">
      <formula>AM101=""</formula>
    </cfRule>
    <cfRule type="expression" dxfId="16689" priority="26" stopIfTrue="1">
      <formula>AM101=CléPersonnalisée2</formula>
    </cfRule>
    <cfRule type="expression" dxfId="16688" priority="27" stopIfTrue="1">
      <formula>AM101=CléPersonnalisée1</formula>
    </cfRule>
    <cfRule type="expression" dxfId="16687" priority="28" stopIfTrue="1">
      <formula>AM101=CléMaladie</formula>
    </cfRule>
    <cfRule type="expression" dxfId="16686" priority="29" stopIfTrue="1">
      <formula>AM101=CléPersonnelle</formula>
    </cfRule>
    <cfRule type="expression" dxfId="16685" priority="30" stopIfTrue="1">
      <formula>AM101=CléCongés</formula>
    </cfRule>
  </conditionalFormatting>
  <conditionalFormatting sqref="AQ101:AR102">
    <cfRule type="expression" priority="19" stopIfTrue="1">
      <formula>AQ101=""</formula>
    </cfRule>
    <cfRule type="expression" dxfId="16684" priority="20" stopIfTrue="1">
      <formula>AQ101=CléPersonnalisée2</formula>
    </cfRule>
    <cfRule type="expression" dxfId="16683" priority="21" stopIfTrue="1">
      <formula>AQ101=CléPersonnalisée1</formula>
    </cfRule>
    <cfRule type="expression" dxfId="16682" priority="22" stopIfTrue="1">
      <formula>AQ101=CléMaladie</formula>
    </cfRule>
    <cfRule type="expression" dxfId="16681" priority="23" stopIfTrue="1">
      <formula>AQ101=CléPersonnelle</formula>
    </cfRule>
    <cfRule type="expression" dxfId="16680" priority="24" stopIfTrue="1">
      <formula>AQ101=CléCongés</formula>
    </cfRule>
  </conditionalFormatting>
  <conditionalFormatting sqref="AS13 AS17 AS21 AS25 AS29 AS33 AS37 AS41 AS45 AS49 AS53 AS57 AS61 AS65 AS69 AS73 AS77 AS81 AS85 AS89 AS93 AS97 AS101 AS105 AS109 AS113 AS117 AS121">
    <cfRule type="expression" priority="13" stopIfTrue="1">
      <formula>AS13=""</formula>
    </cfRule>
    <cfRule type="expression" dxfId="174" priority="14" stopIfTrue="1">
      <formula>AS13=CléPersonnalisée2</formula>
    </cfRule>
    <cfRule type="expression" dxfId="173" priority="15" stopIfTrue="1">
      <formula>AS13=CléPersonnalisée1</formula>
    </cfRule>
    <cfRule type="expression" dxfId="172" priority="16" stopIfTrue="1">
      <formula>AS13=CléMaladie</formula>
    </cfRule>
    <cfRule type="expression" dxfId="171" priority="17" stopIfTrue="1">
      <formula>AS13=CléPersonnelle</formula>
    </cfRule>
    <cfRule type="expression" dxfId="170" priority="18" stopIfTrue="1">
      <formula>AS13=CléCongés</formula>
    </cfRule>
  </conditionalFormatting>
  <conditionalFormatting sqref="AS9">
    <cfRule type="expression" priority="7" stopIfTrue="1">
      <formula>AS9=""</formula>
    </cfRule>
    <cfRule type="expression" dxfId="169" priority="8" stopIfTrue="1">
      <formula>AS9=CléPersonnalisée2</formula>
    </cfRule>
    <cfRule type="expression" dxfId="168" priority="9" stopIfTrue="1">
      <formula>AS9=CléPersonnalisée1</formula>
    </cfRule>
    <cfRule type="expression" dxfId="167" priority="10" stopIfTrue="1">
      <formula>AS9=CléMaladie</formula>
    </cfRule>
    <cfRule type="expression" dxfId="166" priority="11" stopIfTrue="1">
      <formula>AS9=CléPersonnelle</formula>
    </cfRule>
    <cfRule type="expression" dxfId="165" priority="12" stopIfTrue="1">
      <formula>AS9=CléCongés</formula>
    </cfRule>
  </conditionalFormatting>
  <conditionalFormatting sqref="AS5">
    <cfRule type="expression" priority="1" stopIfTrue="1">
      <formula>AS5=""</formula>
    </cfRule>
    <cfRule type="expression" dxfId="164" priority="2" stopIfTrue="1">
      <formula>AS5=CléPersonnalisée2</formula>
    </cfRule>
    <cfRule type="expression" dxfId="163" priority="3" stopIfTrue="1">
      <formula>AS5=CléPersonnalisée1</formula>
    </cfRule>
    <cfRule type="expression" dxfId="162" priority="4" stopIfTrue="1">
      <formula>AS5=CléMaladie</formula>
    </cfRule>
    <cfRule type="expression" dxfId="161" priority="5" stopIfTrue="1">
      <formula>AS5=CléPersonnelle</formula>
    </cfRule>
    <cfRule type="expression" dxfId="160" priority="6" stopIfTrue="1">
      <formula>AS5=CléCongés</formula>
    </cfRule>
  </conditionalFormatting>
  <printOptions horizontalCentered="1"/>
  <pageMargins left="3.937007874015748E-2" right="3.937007874015748E-2" top="0" bottom="0" header="0.31496062992125984" footer="0.31496062992125984"/>
  <pageSetup scale="50" fitToHeight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F9BBC8D-0B18-40BC-AAAB-8AB5BF8E28B0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AH5:AH6 AH9:AH10</xm:sqref>
        </x14:conditionalFormatting>
        <x14:conditionalFormatting xmlns:xm="http://schemas.microsoft.com/office/excel/2006/main">
          <x14:cfRule type="dataBar" id="{C357F02C-86F1-4F90-ACC8-0C668681BBA4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AH35</xm:sqref>
        </x14:conditionalFormatting>
        <x14:conditionalFormatting xmlns:xm="http://schemas.microsoft.com/office/excel/2006/main">
          <x14:cfRule type="dataBar" id="{98255FBB-7C57-4D5B-B084-4EFBDB4810F9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AH39</xm:sqref>
        </x14:conditionalFormatting>
        <x14:conditionalFormatting xmlns:xm="http://schemas.microsoft.com/office/excel/2006/main">
          <x14:cfRule type="dataBar" id="{4B48ADB2-3781-46B8-8578-4B0F9A059A1A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AH17:AH18</xm:sqref>
        </x14:conditionalFormatting>
        <x14:conditionalFormatting xmlns:xm="http://schemas.microsoft.com/office/excel/2006/main">
          <x14:cfRule type="dataBar" id="{1F95E40C-E2D4-408A-B811-46739EF38BF8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AH21:AH22</xm:sqref>
        </x14:conditionalFormatting>
        <x14:conditionalFormatting xmlns:xm="http://schemas.microsoft.com/office/excel/2006/main">
          <x14:cfRule type="dataBar" id="{162A37A0-B5A4-4173-91E9-30CF59960914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AH25:AH26</xm:sqref>
        </x14:conditionalFormatting>
        <x14:conditionalFormatting xmlns:xm="http://schemas.microsoft.com/office/excel/2006/main">
          <x14:cfRule type="dataBar" id="{4C439843-93DC-44F5-BCE4-507B837F0078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AH29:AH30</xm:sqref>
        </x14:conditionalFormatting>
        <x14:conditionalFormatting xmlns:xm="http://schemas.microsoft.com/office/excel/2006/main">
          <x14:cfRule type="dataBar" id="{5F2CF957-5D0B-430A-8917-10E2D316E5D8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AH33:AH34</xm:sqref>
        </x14:conditionalFormatting>
        <x14:conditionalFormatting xmlns:xm="http://schemas.microsoft.com/office/excel/2006/main">
          <x14:cfRule type="dataBar" id="{CDAA53C6-9BD8-46EE-8171-FF201D963EF1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AH37:AH38</xm:sqref>
        </x14:conditionalFormatting>
        <x14:conditionalFormatting xmlns:xm="http://schemas.microsoft.com/office/excel/2006/main">
          <x14:cfRule type="dataBar" id="{ADA94FE0-F08C-4AAA-93C1-E8C824903EA4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AH41:AH42</xm:sqref>
        </x14:conditionalFormatting>
        <x14:conditionalFormatting xmlns:xm="http://schemas.microsoft.com/office/excel/2006/main">
          <x14:cfRule type="dataBar" id="{278EEC83-8B7E-4833-A709-640BE8B04AAE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AH45:AH46</xm:sqref>
        </x14:conditionalFormatting>
        <x14:conditionalFormatting xmlns:xm="http://schemas.microsoft.com/office/excel/2006/main">
          <x14:cfRule type="dataBar" id="{A358C80D-C132-4232-B0EC-69775F3BA2EF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AH49:AH50</xm:sqref>
        </x14:conditionalFormatting>
        <x14:conditionalFormatting xmlns:xm="http://schemas.microsoft.com/office/excel/2006/main">
          <x14:cfRule type="dataBar" id="{E745CED1-63F5-470A-AA20-8FA5DF45EDF6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AH53:AH54</xm:sqref>
        </x14:conditionalFormatting>
        <x14:conditionalFormatting xmlns:xm="http://schemas.microsoft.com/office/excel/2006/main">
          <x14:cfRule type="dataBar" id="{473A1FE3-35BD-4D8C-9A8D-458CE4FE8695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AH61:AH62</xm:sqref>
        </x14:conditionalFormatting>
        <x14:conditionalFormatting xmlns:xm="http://schemas.microsoft.com/office/excel/2006/main">
          <x14:cfRule type="dataBar" id="{5A42A7FA-83D0-4810-AB3A-EDC57DA854CE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AH69:AH70</xm:sqref>
        </x14:conditionalFormatting>
        <x14:conditionalFormatting xmlns:xm="http://schemas.microsoft.com/office/excel/2006/main">
          <x14:cfRule type="dataBar" id="{B79D08A5-4E50-4CF3-944A-31C0DA536BCE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AH65:AH66</xm:sqref>
        </x14:conditionalFormatting>
        <x14:conditionalFormatting xmlns:xm="http://schemas.microsoft.com/office/excel/2006/main">
          <x14:cfRule type="dataBar" id="{7EBE9502-A6F2-4C1F-894E-99D6203B51F3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AH73:AH74</xm:sqref>
        </x14:conditionalFormatting>
        <x14:conditionalFormatting xmlns:xm="http://schemas.microsoft.com/office/excel/2006/main">
          <x14:cfRule type="dataBar" id="{D85CC8A4-4B98-4E5C-AFE6-612A89BC15CD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AH81:AH82</xm:sqref>
        </x14:conditionalFormatting>
        <x14:conditionalFormatting xmlns:xm="http://schemas.microsoft.com/office/excel/2006/main">
          <x14:cfRule type="dataBar" id="{974F3085-9366-4ECD-A49D-2F257A64DDA5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AH85:AH86</xm:sqref>
        </x14:conditionalFormatting>
        <x14:conditionalFormatting xmlns:xm="http://schemas.microsoft.com/office/excel/2006/main">
          <x14:cfRule type="dataBar" id="{0FDD1678-E959-4EB1-8FC9-262E7D17DAB1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AH89:AH90</xm:sqref>
        </x14:conditionalFormatting>
        <x14:conditionalFormatting xmlns:xm="http://schemas.microsoft.com/office/excel/2006/main">
          <x14:cfRule type="dataBar" id="{DE5B5E39-2492-4C86-BF54-DCA6B8C2B464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AH93:AH94</xm:sqref>
        </x14:conditionalFormatting>
        <x14:conditionalFormatting xmlns:xm="http://schemas.microsoft.com/office/excel/2006/main">
          <x14:cfRule type="dataBar" id="{0791F30D-C221-40C8-B51C-7DF534A57E10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AH109:AH110</xm:sqref>
        </x14:conditionalFormatting>
        <x14:conditionalFormatting xmlns:xm="http://schemas.microsoft.com/office/excel/2006/main">
          <x14:cfRule type="dataBar" id="{66747345-3F83-40DC-A25A-3CCB0CD853A1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AH121:AH122</xm:sqref>
        </x14:conditionalFormatting>
        <x14:conditionalFormatting xmlns:xm="http://schemas.microsoft.com/office/excel/2006/main">
          <x14:cfRule type="dataBar" id="{2FC16254-76B9-4731-8A05-6B8A759D7C6F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AH113:AH114</xm:sqref>
        </x14:conditionalFormatting>
        <x14:conditionalFormatting xmlns:xm="http://schemas.microsoft.com/office/excel/2006/main">
          <x14:cfRule type="dataBar" id="{7C62ACDA-CF04-46FE-B31A-2FB0071A5A57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AH7</xm:sqref>
        </x14:conditionalFormatting>
        <x14:conditionalFormatting xmlns:xm="http://schemas.microsoft.com/office/excel/2006/main">
          <x14:cfRule type="dataBar" id="{69638A72-DFF9-482E-B041-BDAB3B551A7C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AH11</xm:sqref>
        </x14:conditionalFormatting>
        <x14:conditionalFormatting xmlns:xm="http://schemas.microsoft.com/office/excel/2006/main">
          <x14:cfRule type="dataBar" id="{023B66E6-8136-4C32-9B8D-942E77F4D1A5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AH19</xm:sqref>
        </x14:conditionalFormatting>
        <x14:conditionalFormatting xmlns:xm="http://schemas.microsoft.com/office/excel/2006/main">
          <x14:cfRule type="dataBar" id="{762DF21D-DB4E-4C20-923B-73C95B8E8A33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AH23</xm:sqref>
        </x14:conditionalFormatting>
        <x14:conditionalFormatting xmlns:xm="http://schemas.microsoft.com/office/excel/2006/main">
          <x14:cfRule type="dataBar" id="{A61195FA-AC10-435B-8CD5-7391206E0CD2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AH27</xm:sqref>
        </x14:conditionalFormatting>
        <x14:conditionalFormatting xmlns:xm="http://schemas.microsoft.com/office/excel/2006/main">
          <x14:cfRule type="dataBar" id="{383F0F85-E4AA-4E54-A20C-FE6BBADB6FF2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AH31</xm:sqref>
        </x14:conditionalFormatting>
        <x14:conditionalFormatting xmlns:xm="http://schemas.microsoft.com/office/excel/2006/main">
          <x14:cfRule type="dataBar" id="{08B8613A-B3A1-4B9E-9CA0-F16F9D4A88E2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AG35</xm:sqref>
        </x14:conditionalFormatting>
        <x14:conditionalFormatting xmlns:xm="http://schemas.microsoft.com/office/excel/2006/main">
          <x14:cfRule type="dataBar" id="{73ACE731-8888-404F-B9B1-66D098F1A393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AG39</xm:sqref>
        </x14:conditionalFormatting>
        <x14:conditionalFormatting xmlns:xm="http://schemas.microsoft.com/office/excel/2006/main">
          <x14:cfRule type="dataBar" id="{4800B557-CCB9-46EC-AEE9-81307B08B06A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AH43</xm:sqref>
        </x14:conditionalFormatting>
        <x14:conditionalFormatting xmlns:xm="http://schemas.microsoft.com/office/excel/2006/main">
          <x14:cfRule type="dataBar" id="{45FD1CC1-3844-4B2B-BB77-02728D61483D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AH47</xm:sqref>
        </x14:conditionalFormatting>
        <x14:conditionalFormatting xmlns:xm="http://schemas.microsoft.com/office/excel/2006/main">
          <x14:cfRule type="dataBar" id="{D66EB6E0-42C3-4CC5-946C-30436AB1705C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AH51</xm:sqref>
        </x14:conditionalFormatting>
        <x14:conditionalFormatting xmlns:xm="http://schemas.microsoft.com/office/excel/2006/main">
          <x14:cfRule type="dataBar" id="{3840A21F-79BF-473F-9733-49CB76B7522B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AH55</xm:sqref>
        </x14:conditionalFormatting>
        <x14:conditionalFormatting xmlns:xm="http://schemas.microsoft.com/office/excel/2006/main">
          <x14:cfRule type="dataBar" id="{08B689D2-DB97-4B93-8839-B9249A7BEDA8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AH63</xm:sqref>
        </x14:conditionalFormatting>
        <x14:conditionalFormatting xmlns:xm="http://schemas.microsoft.com/office/excel/2006/main">
          <x14:cfRule type="dataBar" id="{9BEB9DCE-7633-431F-8260-BE285CDCA2E3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AH67</xm:sqref>
        </x14:conditionalFormatting>
        <x14:conditionalFormatting xmlns:xm="http://schemas.microsoft.com/office/excel/2006/main">
          <x14:cfRule type="dataBar" id="{064AD7B1-D98A-4674-9B48-3A6BE05FCE73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AH71</xm:sqref>
        </x14:conditionalFormatting>
        <x14:conditionalFormatting xmlns:xm="http://schemas.microsoft.com/office/excel/2006/main">
          <x14:cfRule type="dataBar" id="{94379E8A-266E-44E7-B17A-DAE5D07732EE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AH75</xm:sqref>
        </x14:conditionalFormatting>
        <x14:conditionalFormatting xmlns:xm="http://schemas.microsoft.com/office/excel/2006/main">
          <x14:cfRule type="dataBar" id="{97711CEC-1F40-4D01-BCE1-B7DFF41ED451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AH83</xm:sqref>
        </x14:conditionalFormatting>
        <x14:conditionalFormatting xmlns:xm="http://schemas.microsoft.com/office/excel/2006/main">
          <x14:cfRule type="dataBar" id="{D45DA8E6-057F-4BCB-B4F2-C69988242736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AH87</xm:sqref>
        </x14:conditionalFormatting>
        <x14:conditionalFormatting xmlns:xm="http://schemas.microsoft.com/office/excel/2006/main">
          <x14:cfRule type="dataBar" id="{A9162D79-F480-41DA-924B-00A94D1A7F41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AH91</xm:sqref>
        </x14:conditionalFormatting>
        <x14:conditionalFormatting xmlns:xm="http://schemas.microsoft.com/office/excel/2006/main">
          <x14:cfRule type="dataBar" id="{12BF83B2-21A3-49A7-8B01-3B594CF3E7B4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AH101:AH103 AH95 AH97:AH99</xm:sqref>
        </x14:conditionalFormatting>
        <x14:conditionalFormatting xmlns:xm="http://schemas.microsoft.com/office/excel/2006/main">
          <x14:cfRule type="dataBar" id="{F4F967E8-ADFE-4A84-B415-58F168A11D3C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AH111</xm:sqref>
        </x14:conditionalFormatting>
        <x14:conditionalFormatting xmlns:xm="http://schemas.microsoft.com/office/excel/2006/main">
          <x14:cfRule type="dataBar" id="{2413C672-BAC8-4067-AF13-CA332A27D5C5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AH115</xm:sqref>
        </x14:conditionalFormatting>
        <x14:conditionalFormatting xmlns:xm="http://schemas.microsoft.com/office/excel/2006/main">
          <x14:cfRule type="dataBar" id="{5620F85F-A677-4027-9B02-CE73BB0A96E2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AH123</xm:sqref>
        </x14:conditionalFormatting>
        <x14:conditionalFormatting xmlns:xm="http://schemas.microsoft.com/office/excel/2006/main">
          <x14:cfRule type="dataBar" id="{B2FD1477-46E8-4D60-AF44-B9E0D0390B45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AH13:AH14</xm:sqref>
        </x14:conditionalFormatting>
        <x14:conditionalFormatting xmlns:xm="http://schemas.microsoft.com/office/excel/2006/main">
          <x14:cfRule type="dataBar" id="{20E7FC26-F23F-48E8-9739-27CE36A3CB40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AH15</xm:sqref>
        </x14:conditionalFormatting>
        <x14:conditionalFormatting xmlns:xm="http://schemas.microsoft.com/office/excel/2006/main">
          <x14:cfRule type="dataBar" id="{501D6314-BBBC-4B57-96BE-5C8A5CCB8B22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AH117:AH118</xm:sqref>
        </x14:conditionalFormatting>
        <x14:conditionalFormatting xmlns:xm="http://schemas.microsoft.com/office/excel/2006/main">
          <x14:cfRule type="dataBar" id="{08853264-CD51-4BD3-9677-43BB61FD42DC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AH119</xm:sqref>
        </x14:conditionalFormatting>
        <x14:conditionalFormatting xmlns:xm="http://schemas.microsoft.com/office/excel/2006/main">
          <x14:cfRule type="dataBar" id="{71FF16A4-9F39-4DCE-B61E-226138208AFA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AH105:AH106</xm:sqref>
        </x14:conditionalFormatting>
        <x14:conditionalFormatting xmlns:xm="http://schemas.microsoft.com/office/excel/2006/main">
          <x14:cfRule type="dataBar" id="{638BEBB3-3070-4680-828C-E37F0AE3CC69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AH107</xm:sqref>
        </x14:conditionalFormatting>
        <x14:conditionalFormatting xmlns:xm="http://schemas.microsoft.com/office/excel/2006/main">
          <x14:cfRule type="dataBar" id="{0382C6DA-2CA2-48DF-92EA-B6F952CF5F24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AH57:AH58</xm:sqref>
        </x14:conditionalFormatting>
        <x14:conditionalFormatting xmlns:xm="http://schemas.microsoft.com/office/excel/2006/main">
          <x14:cfRule type="dataBar" id="{972E7F42-8DFB-495D-BFC6-6C3618080E76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AH59</xm:sqref>
        </x14:conditionalFormatting>
        <x14:conditionalFormatting xmlns:xm="http://schemas.microsoft.com/office/excel/2006/main">
          <x14:cfRule type="dataBar" id="{617AECF8-D5AD-4773-8CE1-D224C03F0135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AH77:AH78</xm:sqref>
        </x14:conditionalFormatting>
        <x14:conditionalFormatting xmlns:xm="http://schemas.microsoft.com/office/excel/2006/main">
          <x14:cfRule type="dataBar" id="{D206D911-F82A-4C9F-B9D8-8203099E08EA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AH79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2" tint="-0.89999084444715716"/>
    <pageSetUpPr fitToPage="1"/>
  </sheetPr>
  <dimension ref="A1:AS1514"/>
  <sheetViews>
    <sheetView showGridLines="0" topLeftCell="T1" zoomScale="98" zoomScaleNormal="98" workbookViewId="0">
      <selection activeCell="AS7" sqref="AS7"/>
    </sheetView>
  </sheetViews>
  <sheetFormatPr baseColWidth="10" defaultColWidth="9.140625" defaultRowHeight="15" customHeight="1" x14ac:dyDescent="0.25"/>
  <cols>
    <col min="1" max="1" width="24.28515625" style="96" customWidth="1"/>
    <col min="2" max="2" width="6" style="96" customWidth="1"/>
    <col min="3" max="22" width="4" style="93" customWidth="1"/>
    <col min="23" max="23" width="4.42578125" style="93" customWidth="1"/>
    <col min="24" max="26" width="4" style="93" customWidth="1"/>
    <col min="27" max="27" width="4.42578125" style="93" customWidth="1"/>
    <col min="28" max="28" width="4.42578125" style="93" bestFit="1" customWidth="1"/>
    <col min="29" max="32" width="4" style="93" customWidth="1"/>
    <col min="33" max="33" width="4.42578125" style="93" bestFit="1" customWidth="1"/>
    <col min="34" max="34" width="10.7109375" style="94" customWidth="1"/>
    <col min="35" max="35" width="5.5703125" style="93" customWidth="1"/>
    <col min="36" max="36" width="5" style="75" customWidth="1"/>
    <col min="37" max="37" width="4.7109375" style="75" customWidth="1"/>
    <col min="38" max="38" width="4.5703125" style="75" customWidth="1"/>
    <col min="39" max="39" width="6.5703125" style="75" customWidth="1"/>
    <col min="40" max="40" width="7.7109375" style="75" customWidth="1"/>
    <col min="41" max="41" width="9.5703125" style="75" customWidth="1"/>
    <col min="42" max="42" width="4.7109375" style="75" customWidth="1"/>
    <col min="43" max="43" width="5.85546875" style="75" customWidth="1"/>
    <col min="44" max="44" width="6.140625" style="75" customWidth="1"/>
    <col min="45" max="45" width="13.140625" style="75" customWidth="1"/>
    <col min="46" max="16384" width="9.140625" style="75"/>
  </cols>
  <sheetData>
    <row r="1" spans="1:45" s="8" customFormat="1" ht="50.25" customHeight="1" thickBot="1" x14ac:dyDescent="0.3">
      <c r="A1" s="1" t="s">
        <v>0</v>
      </c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3"/>
      <c r="AE1" s="3"/>
      <c r="AF1" s="4"/>
      <c r="AG1" s="5"/>
      <c r="AH1" s="5"/>
      <c r="AI1" s="6"/>
      <c r="AJ1" s="7"/>
      <c r="AK1" s="7"/>
      <c r="AL1" s="7"/>
      <c r="AM1" s="7"/>
      <c r="AN1" s="7"/>
      <c r="AO1" s="7"/>
      <c r="AP1" s="7"/>
      <c r="AQ1" s="7"/>
      <c r="AR1" s="7"/>
    </row>
    <row r="2" spans="1:45" s="18" customFormat="1" ht="30" customHeight="1" x14ac:dyDescent="0.25">
      <c r="A2" s="97">
        <v>42947</v>
      </c>
      <c r="B2" s="10"/>
      <c r="C2" s="11" t="s">
        <v>1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2">
        <v>2017</v>
      </c>
      <c r="AI2" s="13" t="s">
        <v>2</v>
      </c>
      <c r="AJ2" s="14"/>
      <c r="AK2" s="14"/>
      <c r="AL2" s="15"/>
      <c r="AM2" s="13" t="s">
        <v>3</v>
      </c>
      <c r="AN2" s="14"/>
      <c r="AO2" s="14"/>
      <c r="AP2" s="15"/>
      <c r="AQ2" s="16" t="s">
        <v>4</v>
      </c>
      <c r="AR2" s="17"/>
    </row>
    <row r="3" spans="1:45" s="27" customFormat="1" ht="15.75" customHeight="1" thickBot="1" x14ac:dyDescent="0.35">
      <c r="A3" s="98">
        <v>42917</v>
      </c>
      <c r="B3" s="10"/>
      <c r="C3" s="20" t="str">
        <f>TEXT(WEEKDAY(DATE(CalendrierAnnée,7,1),1),"jjj")</f>
        <v>sam</v>
      </c>
      <c r="D3" s="21" t="str">
        <f>TEXT(WEEKDAY(DATE(CalendrierAnnée,7,2),1),"jjj")</f>
        <v>dim</v>
      </c>
      <c r="E3" s="21" t="str">
        <f>TEXT(WEEKDAY(DATE(CalendrierAnnée,7,3),1),"jjj")</f>
        <v>lun</v>
      </c>
      <c r="F3" s="21" t="str">
        <f>TEXT(WEEKDAY(DATE(CalendrierAnnée,7,4),1),"jjj")</f>
        <v>mar</v>
      </c>
      <c r="G3" s="21" t="str">
        <f>TEXT(WEEKDAY(DATE(CalendrierAnnée,7,5),1),"jjj")</f>
        <v>mer</v>
      </c>
      <c r="H3" s="21" t="str">
        <f>TEXT(WEEKDAY(DATE(CalendrierAnnée,7,6),1),"jjj")</f>
        <v>jeu</v>
      </c>
      <c r="I3" s="21" t="str">
        <f>TEXT(WEEKDAY(DATE(CalendrierAnnée,7,7),1),"jjj")</f>
        <v>ven</v>
      </c>
      <c r="J3" s="21" t="str">
        <f>TEXT(WEEKDAY(DATE(CalendrierAnnée,7,8),1),"jjj")</f>
        <v>sam</v>
      </c>
      <c r="K3" s="21" t="str">
        <f>TEXT(WEEKDAY(DATE(CalendrierAnnée,7,9),1),"jjj")</f>
        <v>dim</v>
      </c>
      <c r="L3" s="21" t="str">
        <f>TEXT(WEEKDAY(DATE(CalendrierAnnée,7,10),1),"jjj")</f>
        <v>lun</v>
      </c>
      <c r="M3" s="21" t="str">
        <f>TEXT(WEEKDAY(DATE(CalendrierAnnée,7,11),1),"jjj")</f>
        <v>mar</v>
      </c>
      <c r="N3" s="21" t="str">
        <f>TEXT(WEEKDAY(DATE(CalendrierAnnée,7,12),1),"jjj")</f>
        <v>mer</v>
      </c>
      <c r="O3" s="21" t="str">
        <f>TEXT(WEEKDAY(DATE(CalendrierAnnée,7,13),1),"jjj")</f>
        <v>jeu</v>
      </c>
      <c r="P3" s="21" t="str">
        <f>TEXT(WEEKDAY(DATE(CalendrierAnnée,7,14),1),"jjj")</f>
        <v>ven</v>
      </c>
      <c r="Q3" s="21" t="str">
        <f>TEXT(WEEKDAY(DATE(CalendrierAnnée,7,15),1),"jjj")</f>
        <v>sam</v>
      </c>
      <c r="R3" s="21" t="str">
        <f>TEXT(WEEKDAY(DATE(CalendrierAnnée,7,16),1),"jjj")</f>
        <v>dim</v>
      </c>
      <c r="S3" s="21" t="str">
        <f>TEXT(WEEKDAY(DATE(CalendrierAnnée,7,17),1),"jjj")</f>
        <v>lun</v>
      </c>
      <c r="T3" s="21" t="str">
        <f>TEXT(WEEKDAY(DATE(CalendrierAnnée,7,18),1),"jjj")</f>
        <v>mar</v>
      </c>
      <c r="U3" s="21" t="str">
        <f>TEXT(WEEKDAY(DATE(CalendrierAnnée,7,19),1),"jjj")</f>
        <v>mer</v>
      </c>
      <c r="V3" s="21" t="str">
        <f>TEXT(WEEKDAY(DATE(CalendrierAnnée,7,20),1),"jjj")</f>
        <v>jeu</v>
      </c>
      <c r="W3" s="21" t="str">
        <f>TEXT(WEEKDAY(DATE(CalendrierAnnée,7,21),1),"jjj")</f>
        <v>ven</v>
      </c>
      <c r="X3" s="21" t="str">
        <f>TEXT(WEEKDAY(DATE(CalendrierAnnée,7,22),1),"jjj")</f>
        <v>sam</v>
      </c>
      <c r="Y3" s="21" t="str">
        <f>TEXT(WEEKDAY(DATE(CalendrierAnnée,7,23),1),"jjj")</f>
        <v>dim</v>
      </c>
      <c r="Z3" s="21" t="str">
        <f>TEXT(WEEKDAY(DATE(CalendrierAnnée,7,24),1),"jjj")</f>
        <v>lun</v>
      </c>
      <c r="AA3" s="21" t="str">
        <f>TEXT(WEEKDAY(DATE(CalendrierAnnée,7,25),1),"jjj")</f>
        <v>mar</v>
      </c>
      <c r="AB3" s="21" t="str">
        <f>TEXT(WEEKDAY(DATE(CalendrierAnnée,7,26),1),"jjj")</f>
        <v>mer</v>
      </c>
      <c r="AC3" s="21" t="str">
        <f>TEXT(WEEKDAY(DATE(CalendrierAnnée,7,27),1),"jjj")</f>
        <v>jeu</v>
      </c>
      <c r="AD3" s="21" t="str">
        <f>TEXT(WEEKDAY(DATE(CalendrierAnnée,7,28),1),"jjj")</f>
        <v>ven</v>
      </c>
      <c r="AE3" s="21" t="str">
        <f>TEXT(WEEKDAY(DATE(CalendrierAnnée,7,29),1),"jjj")</f>
        <v>sam</v>
      </c>
      <c r="AF3" s="21" t="str">
        <f>TEXT(WEEKDAY(DATE(CalendrierAnnée,7,30),1),"jjj")</f>
        <v>dim</v>
      </c>
      <c r="AG3" s="21" t="str">
        <f>TEXT(WEEKDAY(DATE(CalendrierAnnée,7,31),1),"jjj")</f>
        <v>lun</v>
      </c>
      <c r="AH3" s="12"/>
      <c r="AI3" s="22"/>
      <c r="AJ3" s="23"/>
      <c r="AK3" s="23"/>
      <c r="AL3" s="24"/>
      <c r="AM3" s="22"/>
      <c r="AN3" s="23"/>
      <c r="AO3" s="23"/>
      <c r="AP3" s="24"/>
      <c r="AQ3" s="25"/>
      <c r="AR3" s="26"/>
    </row>
    <row r="4" spans="1:45" s="40" customFormat="1" ht="60" x14ac:dyDescent="0.25">
      <c r="A4" s="28" t="s">
        <v>22</v>
      </c>
      <c r="B4" s="29"/>
      <c r="C4" s="99">
        <v>1</v>
      </c>
      <c r="D4" s="32">
        <v>2</v>
      </c>
      <c r="E4" s="31">
        <v>3</v>
      </c>
      <c r="F4" s="31">
        <v>4</v>
      </c>
      <c r="G4" s="31">
        <v>5</v>
      </c>
      <c r="H4" s="31">
        <v>6</v>
      </c>
      <c r="I4" s="31">
        <v>7</v>
      </c>
      <c r="J4" s="31">
        <v>8</v>
      </c>
      <c r="K4" s="31">
        <v>9</v>
      </c>
      <c r="L4" s="31">
        <v>10</v>
      </c>
      <c r="M4" s="31">
        <v>11</v>
      </c>
      <c r="N4" s="31">
        <v>12</v>
      </c>
      <c r="O4" s="31">
        <v>13</v>
      </c>
      <c r="P4" s="31">
        <v>14</v>
      </c>
      <c r="Q4" s="31">
        <v>15</v>
      </c>
      <c r="R4" s="31">
        <v>16</v>
      </c>
      <c r="S4" s="31">
        <v>17</v>
      </c>
      <c r="T4" s="31">
        <v>18</v>
      </c>
      <c r="U4" s="31">
        <v>19</v>
      </c>
      <c r="V4" s="31">
        <v>20</v>
      </c>
      <c r="W4" s="31">
        <v>21</v>
      </c>
      <c r="X4" s="31">
        <v>22</v>
      </c>
      <c r="Y4" s="31">
        <v>23</v>
      </c>
      <c r="Z4" s="31">
        <v>24</v>
      </c>
      <c r="AA4" s="31">
        <v>25</v>
      </c>
      <c r="AB4" s="31">
        <v>26</v>
      </c>
      <c r="AC4" s="31">
        <v>27</v>
      </c>
      <c r="AD4" s="31">
        <v>28</v>
      </c>
      <c r="AE4" s="31">
        <v>29</v>
      </c>
      <c r="AF4" s="31">
        <v>30</v>
      </c>
      <c r="AG4" s="31">
        <v>31</v>
      </c>
      <c r="AH4" s="33" t="s">
        <v>6</v>
      </c>
      <c r="AI4" s="34" t="s">
        <v>7</v>
      </c>
      <c r="AJ4" s="35" t="s">
        <v>8</v>
      </c>
      <c r="AK4" s="36" t="s">
        <v>9</v>
      </c>
      <c r="AL4" s="37" t="s">
        <v>10</v>
      </c>
      <c r="AM4" s="38" t="s">
        <v>11</v>
      </c>
      <c r="AN4" s="38" t="s">
        <v>12</v>
      </c>
      <c r="AO4" s="38" t="s">
        <v>13</v>
      </c>
      <c r="AP4" s="39" t="s">
        <v>14</v>
      </c>
      <c r="AQ4" s="34" t="s">
        <v>7</v>
      </c>
      <c r="AR4" s="35" t="s">
        <v>8</v>
      </c>
      <c r="AS4" s="39" t="s">
        <v>56</v>
      </c>
    </row>
    <row r="5" spans="1:45" s="40" customFormat="1" ht="12.95" customHeight="1" x14ac:dyDescent="0.25">
      <c r="A5" s="41"/>
      <c r="B5" s="42" t="s">
        <v>15</v>
      </c>
      <c r="C5" s="67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43"/>
      <c r="AH5" s="44">
        <f>COUNTA(Juillet!$C5:$AG5)</f>
        <v>0</v>
      </c>
      <c r="AI5" s="45">
        <f>(COUNTIFS(Juillet!$C5:$AG5,("cp")))/2+Juin!AI5</f>
        <v>0</v>
      </c>
      <c r="AJ5" s="45">
        <f>COUNTIFS(Juillet!$C5:$AG5,"RTT")/2+Juin!AJ5</f>
        <v>0</v>
      </c>
      <c r="AK5" s="45">
        <f>COUNTIFS(Juillet!$C5:$AG5,"m")/2+Juin!AK5</f>
        <v>0</v>
      </c>
      <c r="AL5" s="45">
        <f>COUNTIFS(Juillet!$C5:$AG5,"a")/2+Juin!AL5</f>
        <v>0</v>
      </c>
      <c r="AM5" s="46"/>
      <c r="AN5" s="47"/>
      <c r="AO5" s="47"/>
      <c r="AP5" s="46"/>
      <c r="AQ5" s="47"/>
      <c r="AR5" s="47"/>
      <c r="AS5" s="47"/>
    </row>
    <row r="6" spans="1:45" s="40" customFormat="1" ht="12.95" customHeight="1" x14ac:dyDescent="0.25">
      <c r="A6" s="48">
        <v>41722</v>
      </c>
      <c r="B6" s="42" t="s">
        <v>16</v>
      </c>
      <c r="C6" s="67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3"/>
      <c r="AH6" s="44">
        <f>COUNTA(Juillet!$C6:$AG6)</f>
        <v>0</v>
      </c>
      <c r="AI6" s="45">
        <f>(COUNTIFS(Juillet!$C6:$AG6,("cp")))/2+Juin!AI6</f>
        <v>0</v>
      </c>
      <c r="AJ6" s="45">
        <f>COUNTIFS(Juillet!$C6:$AG6,"RTT")/2+Juin!AJ6</f>
        <v>0</v>
      </c>
      <c r="AK6" s="45">
        <f>COUNTIFS(Juillet!$C6:$AG6,"m")/2+Juin!AK6</f>
        <v>0</v>
      </c>
      <c r="AL6" s="45">
        <f>COUNTIFS(Juillet!$C6:$AG6,"a")/2+Juin!AL6</f>
        <v>0</v>
      </c>
      <c r="AM6" s="46"/>
      <c r="AN6" s="47"/>
      <c r="AO6" s="47"/>
      <c r="AP6" s="46"/>
      <c r="AQ6" s="47"/>
      <c r="AR6" s="47"/>
      <c r="AS6" s="101"/>
    </row>
    <row r="7" spans="1:45" s="40" customFormat="1" ht="12.95" customHeight="1" x14ac:dyDescent="0.25">
      <c r="A7" s="41"/>
      <c r="B7" s="42"/>
      <c r="C7" s="49" t="str">
        <f t="shared" ref="C7:AG7" si="0">IF(C5&gt;0,C5,IF(C6&gt;0,C6,""))</f>
        <v/>
      </c>
      <c r="D7" s="49" t="str">
        <f t="shared" si="0"/>
        <v/>
      </c>
      <c r="E7" s="49" t="str">
        <f t="shared" si="0"/>
        <v/>
      </c>
      <c r="F7" s="49" t="str">
        <f t="shared" si="0"/>
        <v/>
      </c>
      <c r="G7" s="49" t="str">
        <f t="shared" si="0"/>
        <v/>
      </c>
      <c r="H7" s="49" t="str">
        <f t="shared" si="0"/>
        <v/>
      </c>
      <c r="I7" s="49" t="str">
        <f t="shared" si="0"/>
        <v/>
      </c>
      <c r="J7" s="49" t="str">
        <f t="shared" si="0"/>
        <v/>
      </c>
      <c r="K7" s="49" t="str">
        <f t="shared" si="0"/>
        <v/>
      </c>
      <c r="L7" s="49" t="str">
        <f t="shared" si="0"/>
        <v/>
      </c>
      <c r="M7" s="49" t="str">
        <f t="shared" si="0"/>
        <v/>
      </c>
      <c r="N7" s="49" t="str">
        <f t="shared" si="0"/>
        <v/>
      </c>
      <c r="O7" s="49" t="str">
        <f t="shared" si="0"/>
        <v/>
      </c>
      <c r="P7" s="49" t="str">
        <f t="shared" si="0"/>
        <v/>
      </c>
      <c r="Q7" s="49" t="str">
        <f t="shared" si="0"/>
        <v/>
      </c>
      <c r="R7" s="49" t="str">
        <f t="shared" si="0"/>
        <v/>
      </c>
      <c r="S7" s="49" t="str">
        <f t="shared" si="0"/>
        <v/>
      </c>
      <c r="T7" s="49" t="str">
        <f t="shared" si="0"/>
        <v/>
      </c>
      <c r="U7" s="49" t="str">
        <f t="shared" si="0"/>
        <v/>
      </c>
      <c r="V7" s="49" t="str">
        <f t="shared" si="0"/>
        <v/>
      </c>
      <c r="W7" s="49" t="str">
        <f t="shared" si="0"/>
        <v/>
      </c>
      <c r="X7" s="49" t="str">
        <f t="shared" si="0"/>
        <v/>
      </c>
      <c r="Y7" s="49" t="str">
        <f t="shared" si="0"/>
        <v/>
      </c>
      <c r="Z7" s="49" t="str">
        <f t="shared" si="0"/>
        <v/>
      </c>
      <c r="AA7" s="49" t="str">
        <f t="shared" si="0"/>
        <v/>
      </c>
      <c r="AB7" s="49" t="str">
        <f t="shared" si="0"/>
        <v/>
      </c>
      <c r="AC7" s="49" t="str">
        <f t="shared" si="0"/>
        <v/>
      </c>
      <c r="AD7" s="49" t="str">
        <f t="shared" si="0"/>
        <v/>
      </c>
      <c r="AE7" s="49" t="str">
        <f t="shared" si="0"/>
        <v/>
      </c>
      <c r="AF7" s="49" t="str">
        <f t="shared" si="0"/>
        <v/>
      </c>
      <c r="AG7" s="49" t="str">
        <f t="shared" si="0"/>
        <v/>
      </c>
      <c r="AH7" s="44">
        <f>SUM(AH5:AH6)</f>
        <v>0</v>
      </c>
      <c r="AI7" s="45">
        <f>SUM(AI5:AI6)</f>
        <v>0</v>
      </c>
      <c r="AJ7" s="45">
        <f>SUM(AJ5:AJ6)</f>
        <v>0</v>
      </c>
      <c r="AK7" s="45">
        <f t="shared" ref="AK7:AL7" si="1">SUM(AK5:AK6)</f>
        <v>0</v>
      </c>
      <c r="AL7" s="45">
        <f t="shared" si="1"/>
        <v>0</v>
      </c>
      <c r="AM7" s="50">
        <f>+Juin!AM7</f>
        <v>9.15</v>
      </c>
      <c r="AN7" s="51">
        <f>IF(A6="","",IF(A6&gt;NomMois,0,IF(A6&lt;$A$3,2.08,(NETWORKDAYS(A6,$A$2)/21.66667)*2.08)))</f>
        <v>2.08</v>
      </c>
      <c r="AO7" s="51">
        <f>IF( AN7="",0,+AN7+Juin!AO7)</f>
        <v>4.16</v>
      </c>
      <c r="AP7" s="50"/>
      <c r="AQ7" s="51">
        <f>+AM7-AI7</f>
        <v>9.15</v>
      </c>
      <c r="AR7" s="45">
        <f>+AP7-AJ7</f>
        <v>0</v>
      </c>
      <c r="AS7" s="102">
        <f>+AO7+AQ7</f>
        <v>13.31</v>
      </c>
    </row>
    <row r="8" spans="1:45" s="40" customFormat="1" ht="6.75" customHeight="1" x14ac:dyDescent="0.25">
      <c r="A8" s="52"/>
      <c r="B8" s="53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  <c r="AF8" s="52"/>
      <c r="AG8" s="52"/>
      <c r="AH8" s="54"/>
      <c r="AI8" s="54"/>
      <c r="AJ8" s="54"/>
      <c r="AK8" s="54"/>
      <c r="AL8" s="54"/>
      <c r="AM8" s="52"/>
      <c r="AN8" s="55"/>
      <c r="AO8" s="55"/>
      <c r="AP8" s="56"/>
      <c r="AQ8" s="58"/>
      <c r="AR8" s="58"/>
      <c r="AS8" s="65"/>
    </row>
    <row r="9" spans="1:45" s="40" customFormat="1" ht="12.95" customHeight="1" x14ac:dyDescent="0.25">
      <c r="A9" s="41"/>
      <c r="B9" s="42" t="s">
        <v>15</v>
      </c>
      <c r="C9" s="67"/>
      <c r="D9" s="43"/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  <c r="AA9" s="43" t="s">
        <v>7</v>
      </c>
      <c r="AB9" s="43" t="s">
        <v>7</v>
      </c>
      <c r="AC9" s="43" t="s">
        <v>7</v>
      </c>
      <c r="AD9" s="43" t="s">
        <v>7</v>
      </c>
      <c r="AE9" s="43"/>
      <c r="AF9" s="43"/>
      <c r="AG9" s="43" t="s">
        <v>7</v>
      </c>
      <c r="AH9" s="44">
        <f>COUNTA(Juillet!$C9:$AG9)</f>
        <v>5</v>
      </c>
      <c r="AI9" s="45">
        <f>(COUNTIFS(Juillet!$C9:$AG9,("cp")))/2+Juin!AI9</f>
        <v>2.5</v>
      </c>
      <c r="AJ9" s="45">
        <f>COUNTIFS(Juillet!$C9:$AG9,"RTT")/2+Juin!AJ9</f>
        <v>0</v>
      </c>
      <c r="AK9" s="45">
        <f>COUNTIFS(Juillet!$C9:$AG9,"m")/2+Juin!AK9</f>
        <v>0</v>
      </c>
      <c r="AL9" s="45">
        <f>COUNTIFS(Juillet!$C9:$AG9,"a")/2+Juin!AL9</f>
        <v>0</v>
      </c>
      <c r="AM9" s="46"/>
      <c r="AN9" s="47"/>
      <c r="AO9" s="47"/>
      <c r="AP9" s="46"/>
      <c r="AQ9" s="47"/>
      <c r="AR9" s="47"/>
      <c r="AS9" s="47"/>
    </row>
    <row r="10" spans="1:45" s="40" customFormat="1" ht="12.95" customHeight="1" x14ac:dyDescent="0.25">
      <c r="A10" s="48">
        <v>42740</v>
      </c>
      <c r="B10" s="42" t="s">
        <v>16</v>
      </c>
      <c r="C10" s="67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 t="s">
        <v>7</v>
      </c>
      <c r="AB10" s="43" t="s">
        <v>7</v>
      </c>
      <c r="AC10" s="43" t="s">
        <v>7</v>
      </c>
      <c r="AD10" s="43" t="s">
        <v>7</v>
      </c>
      <c r="AE10" s="43"/>
      <c r="AF10" s="43"/>
      <c r="AG10" s="43" t="s">
        <v>7</v>
      </c>
      <c r="AH10" s="44">
        <f>COUNTA(Juillet!$C10:$AG10)</f>
        <v>5</v>
      </c>
      <c r="AI10" s="45">
        <f>(COUNTIFS(Juillet!$C10:$AG10,("cp")))/2+Juin!AI10</f>
        <v>2.5</v>
      </c>
      <c r="AJ10" s="45">
        <f>COUNTIFS(Juillet!$C10:$AG10,"RTT")/2+Juin!AJ10</f>
        <v>0</v>
      </c>
      <c r="AK10" s="45">
        <f>COUNTIFS(Juillet!$C10:$AG10,"m")/2+Juin!AK10</f>
        <v>0</v>
      </c>
      <c r="AL10" s="45">
        <f>COUNTIFS(Juillet!$C10:$AG10,"a")/2+Juin!AL10</f>
        <v>0</v>
      </c>
      <c r="AM10" s="46"/>
      <c r="AN10" s="47"/>
      <c r="AO10" s="47"/>
      <c r="AP10" s="46"/>
      <c r="AQ10" s="47"/>
      <c r="AR10" s="47"/>
      <c r="AS10" s="101"/>
    </row>
    <row r="11" spans="1:45" s="40" customFormat="1" ht="12.95" customHeight="1" x14ac:dyDescent="0.25">
      <c r="A11" s="41"/>
      <c r="B11" s="42"/>
      <c r="C11" s="49" t="str">
        <f t="shared" ref="C11:AG11" si="2">IF(C9&gt;0,C9,IF(C10&gt;0,C10,""))</f>
        <v/>
      </c>
      <c r="D11" s="49" t="str">
        <f t="shared" si="2"/>
        <v/>
      </c>
      <c r="E11" s="49" t="str">
        <f t="shared" si="2"/>
        <v/>
      </c>
      <c r="F11" s="49" t="str">
        <f t="shared" si="2"/>
        <v/>
      </c>
      <c r="G11" s="49" t="str">
        <f t="shared" si="2"/>
        <v/>
      </c>
      <c r="H11" s="49" t="str">
        <f t="shared" si="2"/>
        <v/>
      </c>
      <c r="I11" s="49" t="str">
        <f t="shared" si="2"/>
        <v/>
      </c>
      <c r="J11" s="49" t="str">
        <f t="shared" si="2"/>
        <v/>
      </c>
      <c r="K11" s="49" t="str">
        <f t="shared" si="2"/>
        <v/>
      </c>
      <c r="L11" s="49" t="str">
        <f t="shared" si="2"/>
        <v/>
      </c>
      <c r="M11" s="49" t="str">
        <f t="shared" si="2"/>
        <v/>
      </c>
      <c r="N11" s="49" t="str">
        <f t="shared" si="2"/>
        <v/>
      </c>
      <c r="O11" s="49" t="str">
        <f t="shared" si="2"/>
        <v/>
      </c>
      <c r="P11" s="49" t="str">
        <f t="shared" si="2"/>
        <v/>
      </c>
      <c r="Q11" s="49" t="str">
        <f t="shared" si="2"/>
        <v/>
      </c>
      <c r="R11" s="49" t="str">
        <f t="shared" si="2"/>
        <v/>
      </c>
      <c r="S11" s="49" t="str">
        <f t="shared" si="2"/>
        <v/>
      </c>
      <c r="T11" s="49" t="str">
        <f t="shared" si="2"/>
        <v/>
      </c>
      <c r="U11" s="49" t="str">
        <f t="shared" si="2"/>
        <v/>
      </c>
      <c r="V11" s="49" t="str">
        <f t="shared" si="2"/>
        <v/>
      </c>
      <c r="W11" s="49" t="str">
        <f t="shared" si="2"/>
        <v/>
      </c>
      <c r="X11" s="49" t="str">
        <f t="shared" si="2"/>
        <v/>
      </c>
      <c r="Y11" s="49" t="str">
        <f t="shared" si="2"/>
        <v/>
      </c>
      <c r="Z11" s="49" t="str">
        <f t="shared" si="2"/>
        <v/>
      </c>
      <c r="AA11" s="49" t="str">
        <f t="shared" si="2"/>
        <v>CP</v>
      </c>
      <c r="AB11" s="49" t="str">
        <f t="shared" si="2"/>
        <v>CP</v>
      </c>
      <c r="AC11" s="49" t="str">
        <f t="shared" si="2"/>
        <v>CP</v>
      </c>
      <c r="AD11" s="49" t="str">
        <f t="shared" si="2"/>
        <v>CP</v>
      </c>
      <c r="AE11" s="49" t="str">
        <f t="shared" si="2"/>
        <v/>
      </c>
      <c r="AF11" s="49" t="str">
        <f t="shared" si="2"/>
        <v/>
      </c>
      <c r="AG11" s="49" t="str">
        <f t="shared" si="2"/>
        <v>CP</v>
      </c>
      <c r="AH11" s="44">
        <f>SUM(AH9:AH10)</f>
        <v>10</v>
      </c>
      <c r="AI11" s="45">
        <f>SUM(AI9:AI10)</f>
        <v>5</v>
      </c>
      <c r="AJ11" s="45">
        <f>SUM(AJ9:AJ10)</f>
        <v>0</v>
      </c>
      <c r="AK11" s="45">
        <f t="shared" ref="AK11:AL11" si="3">SUM(AK9:AK10)</f>
        <v>0</v>
      </c>
      <c r="AL11" s="45">
        <f t="shared" si="3"/>
        <v>0</v>
      </c>
      <c r="AM11" s="50">
        <f>+Juin!AM11</f>
        <v>10.32</v>
      </c>
      <c r="AN11" s="51">
        <f>IF(A10="","",IF(A10&gt;NomMois,0,IF(A10&lt;$A$3,2.08,(NETWORKDAYS(A10,$A$2)/21.66667)*2.08)))</f>
        <v>2.08</v>
      </c>
      <c r="AO11" s="51">
        <f>IF( AN11="",0,+AN11+Juin!AO11)</f>
        <v>4.16</v>
      </c>
      <c r="AP11" s="50"/>
      <c r="AQ11" s="45">
        <f>+AM11-AI11</f>
        <v>5.32</v>
      </c>
      <c r="AR11" s="45">
        <f>+AP11-AJ11</f>
        <v>0</v>
      </c>
      <c r="AS11" s="102">
        <f>+AO11+AQ11</f>
        <v>9.48</v>
      </c>
    </row>
    <row r="12" spans="1:45" s="63" customFormat="1" ht="6.75" customHeight="1" x14ac:dyDescent="0.25">
      <c r="A12" s="60"/>
      <c r="B12" s="53"/>
      <c r="C12" s="60"/>
      <c r="D12" s="60"/>
      <c r="E12" s="60"/>
      <c r="F12" s="60"/>
      <c r="G12" s="60"/>
      <c r="H12" s="60"/>
      <c r="I12" s="60"/>
      <c r="J12" s="60"/>
      <c r="K12" s="60"/>
      <c r="L12" s="60"/>
      <c r="M12" s="60"/>
      <c r="N12" s="60"/>
      <c r="O12" s="60"/>
      <c r="P12" s="60"/>
      <c r="Q12" s="60"/>
      <c r="R12" s="60"/>
      <c r="S12" s="60"/>
      <c r="T12" s="60"/>
      <c r="U12" s="60"/>
      <c r="V12" s="60"/>
      <c r="W12" s="60"/>
      <c r="X12" s="60"/>
      <c r="Y12" s="60"/>
      <c r="Z12" s="60"/>
      <c r="AA12" s="60"/>
      <c r="AB12" s="60"/>
      <c r="AC12" s="60"/>
      <c r="AD12" s="60"/>
      <c r="AE12" s="60"/>
      <c r="AF12" s="60"/>
      <c r="AG12" s="60"/>
      <c r="AH12" s="61"/>
      <c r="AI12" s="61"/>
      <c r="AJ12" s="61"/>
      <c r="AK12" s="61"/>
      <c r="AL12" s="61"/>
      <c r="AM12" s="60"/>
      <c r="AN12" s="61"/>
      <c r="AO12" s="61"/>
      <c r="AP12" s="60"/>
      <c r="AQ12" s="61"/>
      <c r="AR12" s="61"/>
      <c r="AS12" s="65"/>
    </row>
    <row r="13" spans="1:45" s="79" customFormat="1" ht="12.95" customHeight="1" x14ac:dyDescent="0.25">
      <c r="A13" s="41"/>
      <c r="B13" s="42" t="s">
        <v>15</v>
      </c>
      <c r="C13" s="67"/>
      <c r="D13" s="43"/>
      <c r="E13" s="43"/>
      <c r="F13" s="43"/>
      <c r="G13" s="43" t="s">
        <v>10</v>
      </c>
      <c r="H13" s="43"/>
      <c r="I13" s="43"/>
      <c r="J13" s="43"/>
      <c r="K13" s="43"/>
      <c r="L13" s="43" t="s">
        <v>10</v>
      </c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43"/>
      <c r="AB13" s="43"/>
      <c r="AC13" s="43" t="s">
        <v>10</v>
      </c>
      <c r="AD13" s="43"/>
      <c r="AE13" s="43"/>
      <c r="AF13" s="43"/>
      <c r="AG13" s="43"/>
      <c r="AH13" s="44">
        <f>COUNTA(Juillet!$C13:$AG13)</f>
        <v>3</v>
      </c>
      <c r="AI13" s="45">
        <f>(COUNTIFS(Juillet!$C13:$AG13,("cp")))/2+Juin!AI13</f>
        <v>0</v>
      </c>
      <c r="AJ13" s="45">
        <f>COUNTIFS(Juillet!$C13:$AG13,"RTT")/2+Juin!AJ13</f>
        <v>0</v>
      </c>
      <c r="AK13" s="45">
        <f>COUNTIFS(Juillet!$C13:$AG13,"m")/2+Juin!AK13</f>
        <v>0</v>
      </c>
      <c r="AL13" s="45">
        <f>COUNTIFS(Juillet!$C13:$AG13,"a")/2+Juin!AL13</f>
        <v>1.5</v>
      </c>
      <c r="AM13" s="46"/>
      <c r="AN13" s="47"/>
      <c r="AO13" s="47"/>
      <c r="AP13" s="46"/>
      <c r="AQ13" s="47"/>
      <c r="AR13" s="47"/>
      <c r="AS13" s="47"/>
    </row>
    <row r="14" spans="1:45" s="79" customFormat="1" ht="12.95" customHeight="1" x14ac:dyDescent="0.25">
      <c r="A14" s="48">
        <v>42891</v>
      </c>
      <c r="B14" s="42" t="s">
        <v>16</v>
      </c>
      <c r="C14" s="67"/>
      <c r="D14" s="43"/>
      <c r="E14" s="43"/>
      <c r="F14" s="43"/>
      <c r="G14" s="43"/>
      <c r="H14" s="43"/>
      <c r="I14" s="43"/>
      <c r="J14" s="43"/>
      <c r="K14" s="43"/>
      <c r="L14" s="43" t="s">
        <v>10</v>
      </c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 t="s">
        <v>10</v>
      </c>
      <c r="AD14" s="43"/>
      <c r="AE14" s="43"/>
      <c r="AF14" s="43"/>
      <c r="AG14" s="43"/>
      <c r="AH14" s="44">
        <f>COUNTA(Juillet!$C14:$AG14)</f>
        <v>2</v>
      </c>
      <c r="AI14" s="45">
        <f>(COUNTIFS(Juillet!$C14:$AG14,("cp")))/2+Juin!AI14</f>
        <v>0</v>
      </c>
      <c r="AJ14" s="45">
        <f>COUNTIFS(Juillet!$C14:$AG14,"RTT")/2+Juin!AJ14</f>
        <v>0</v>
      </c>
      <c r="AK14" s="45">
        <f>COUNTIFS(Juillet!$C14:$AG14,"m")/2+Juin!AK14</f>
        <v>0</v>
      </c>
      <c r="AL14" s="45">
        <f>COUNTIFS(Juillet!$C14:$AG14,"a")/2+Juin!AL14</f>
        <v>1</v>
      </c>
      <c r="AM14" s="46"/>
      <c r="AN14" s="47"/>
      <c r="AO14" s="47"/>
      <c r="AP14" s="46"/>
      <c r="AQ14" s="47"/>
      <c r="AR14" s="47"/>
      <c r="AS14" s="101">
        <v>43014</v>
      </c>
    </row>
    <row r="15" spans="1:45" s="79" customFormat="1" ht="12.95" customHeight="1" x14ac:dyDescent="0.25">
      <c r="A15" s="41"/>
      <c r="B15" s="42"/>
      <c r="C15" s="49" t="str">
        <f t="shared" ref="C15:AG15" si="4">IF(C13&gt;0,C13,IF(C14&gt;0,C14,""))</f>
        <v/>
      </c>
      <c r="D15" s="49" t="str">
        <f t="shared" si="4"/>
        <v/>
      </c>
      <c r="E15" s="49" t="str">
        <f t="shared" si="4"/>
        <v/>
      </c>
      <c r="F15" s="49" t="str">
        <f t="shared" si="4"/>
        <v/>
      </c>
      <c r="G15" s="49" t="str">
        <f t="shared" si="4"/>
        <v>A</v>
      </c>
      <c r="H15" s="49" t="str">
        <f t="shared" si="4"/>
        <v/>
      </c>
      <c r="I15" s="49" t="str">
        <f t="shared" si="4"/>
        <v/>
      </c>
      <c r="J15" s="49" t="str">
        <f t="shared" si="4"/>
        <v/>
      </c>
      <c r="K15" s="49" t="str">
        <f t="shared" si="4"/>
        <v/>
      </c>
      <c r="L15" s="49" t="str">
        <f t="shared" si="4"/>
        <v>A</v>
      </c>
      <c r="M15" s="49" t="str">
        <f t="shared" si="4"/>
        <v/>
      </c>
      <c r="N15" s="49" t="str">
        <f t="shared" si="4"/>
        <v/>
      </c>
      <c r="O15" s="49" t="str">
        <f t="shared" si="4"/>
        <v/>
      </c>
      <c r="P15" s="49" t="str">
        <f t="shared" si="4"/>
        <v/>
      </c>
      <c r="Q15" s="49" t="str">
        <f t="shared" si="4"/>
        <v/>
      </c>
      <c r="R15" s="49" t="str">
        <f t="shared" si="4"/>
        <v/>
      </c>
      <c r="S15" s="49" t="str">
        <f t="shared" si="4"/>
        <v/>
      </c>
      <c r="T15" s="49" t="str">
        <f t="shared" si="4"/>
        <v/>
      </c>
      <c r="U15" s="49" t="str">
        <f t="shared" si="4"/>
        <v/>
      </c>
      <c r="V15" s="49" t="str">
        <f t="shared" si="4"/>
        <v/>
      </c>
      <c r="W15" s="49" t="str">
        <f t="shared" si="4"/>
        <v/>
      </c>
      <c r="X15" s="49" t="str">
        <f t="shared" si="4"/>
        <v/>
      </c>
      <c r="Y15" s="49" t="str">
        <f t="shared" si="4"/>
        <v/>
      </c>
      <c r="Z15" s="49" t="str">
        <f t="shared" si="4"/>
        <v/>
      </c>
      <c r="AA15" s="49" t="str">
        <f t="shared" si="4"/>
        <v/>
      </c>
      <c r="AB15" s="49" t="str">
        <f t="shared" si="4"/>
        <v/>
      </c>
      <c r="AC15" s="49" t="str">
        <f t="shared" si="4"/>
        <v>A</v>
      </c>
      <c r="AD15" s="49" t="str">
        <f t="shared" si="4"/>
        <v/>
      </c>
      <c r="AE15" s="49" t="str">
        <f t="shared" si="4"/>
        <v/>
      </c>
      <c r="AF15" s="49" t="str">
        <f t="shared" si="4"/>
        <v/>
      </c>
      <c r="AG15" s="49" t="str">
        <f t="shared" si="4"/>
        <v/>
      </c>
      <c r="AH15" s="44">
        <f>SUM(AH13:AH14)</f>
        <v>5</v>
      </c>
      <c r="AI15" s="45">
        <f>SUM(AI13:AI14)</f>
        <v>0</v>
      </c>
      <c r="AJ15" s="45">
        <f>SUM(AJ13:AJ14)</f>
        <v>0</v>
      </c>
      <c r="AK15" s="45">
        <f t="shared" ref="AK15:AL15" si="5">SUM(AK13:AK14)</f>
        <v>0</v>
      </c>
      <c r="AL15" s="45">
        <f t="shared" si="5"/>
        <v>2.5</v>
      </c>
      <c r="AM15" s="50">
        <f>+Juin!AM15</f>
        <v>0</v>
      </c>
      <c r="AN15" s="51">
        <f>IF(A14="","",IF(A14&gt;NomMois,0,IF(A14&lt;$A$3,2.08,(NETWORKDAYS(A14,$A$2)/21.66667)*2.08)))</f>
        <v>2.08</v>
      </c>
      <c r="AO15" s="51">
        <f>IF( AN15="",0,+AN15+Juin!AO15)</f>
        <v>3.9999997046154299</v>
      </c>
      <c r="AP15" s="50"/>
      <c r="AQ15" s="45">
        <f>+AM15-AI15</f>
        <v>0</v>
      </c>
      <c r="AR15" s="45">
        <f>+AP15-AJ15</f>
        <v>0</v>
      </c>
      <c r="AS15" s="102">
        <f>+AO15+AQ15</f>
        <v>3.9999997046154299</v>
      </c>
    </row>
    <row r="16" spans="1:45" s="63" customFormat="1" ht="6.75" customHeight="1" x14ac:dyDescent="0.25">
      <c r="A16" s="60"/>
      <c r="B16" s="42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  <c r="N16" s="64"/>
      <c r="O16" s="64"/>
      <c r="P16" s="64"/>
      <c r="Q16" s="64"/>
      <c r="R16" s="64"/>
      <c r="S16" s="64"/>
      <c r="T16" s="64"/>
      <c r="U16" s="64"/>
      <c r="V16" s="64"/>
      <c r="W16" s="64"/>
      <c r="X16" s="64"/>
      <c r="Y16" s="64"/>
      <c r="Z16" s="64"/>
      <c r="AA16" s="64"/>
      <c r="AB16" s="64"/>
      <c r="AC16" s="64"/>
      <c r="AD16" s="64"/>
      <c r="AE16" s="64"/>
      <c r="AF16" s="64"/>
      <c r="AG16" s="64"/>
      <c r="AH16" s="65"/>
      <c r="AI16" s="65"/>
      <c r="AJ16" s="65"/>
      <c r="AK16" s="65"/>
      <c r="AL16" s="65"/>
      <c r="AM16" s="64"/>
      <c r="AN16" s="65"/>
      <c r="AO16" s="65"/>
      <c r="AP16" s="64"/>
      <c r="AQ16" s="65"/>
      <c r="AR16" s="65"/>
      <c r="AS16" s="65"/>
    </row>
    <row r="17" spans="1:45" s="63" customFormat="1" ht="12.95" customHeight="1" x14ac:dyDescent="0.25">
      <c r="A17" s="41"/>
      <c r="B17" s="42" t="s">
        <v>15</v>
      </c>
      <c r="C17" s="67"/>
      <c r="D17" s="67"/>
      <c r="E17" s="67"/>
      <c r="F17" s="67"/>
      <c r="G17" s="67"/>
      <c r="H17" s="67"/>
      <c r="I17" s="67"/>
      <c r="J17" s="67"/>
      <c r="K17" s="67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4">
        <f>COUNTA(Juillet!$C17:$AG17)</f>
        <v>0</v>
      </c>
      <c r="AI17" s="45">
        <f>(COUNTIFS(Juillet!$C17:$AG17,("cp")))/2+Juin!AI17</f>
        <v>0</v>
      </c>
      <c r="AJ17" s="45">
        <f>COUNTIFS(Juillet!$C17:$AG17,"RTT")/2+Juin!AJ17</f>
        <v>0</v>
      </c>
      <c r="AK17" s="45">
        <f>COUNTIFS(Juillet!$C17:$AG17,"m")/2+Juin!AK17</f>
        <v>0</v>
      </c>
      <c r="AL17" s="45">
        <f>COUNTIFS(Juillet!$C17:$AG17,"a")/2+Juin!AL17</f>
        <v>0</v>
      </c>
      <c r="AM17" s="46"/>
      <c r="AN17" s="47"/>
      <c r="AO17" s="47"/>
      <c r="AP17" s="46"/>
      <c r="AQ17" s="47"/>
      <c r="AR17" s="47"/>
      <c r="AS17" s="47"/>
    </row>
    <row r="18" spans="1:45" s="63" customFormat="1" ht="12.95" customHeight="1" x14ac:dyDescent="0.25">
      <c r="A18" s="48">
        <v>38923</v>
      </c>
      <c r="B18" s="42" t="s">
        <v>16</v>
      </c>
      <c r="C18" s="67"/>
      <c r="D18" s="67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3"/>
      <c r="AC18" s="43"/>
      <c r="AD18" s="43"/>
      <c r="AE18" s="43"/>
      <c r="AF18" s="43"/>
      <c r="AG18" s="43"/>
      <c r="AH18" s="44">
        <f>COUNTA(Juillet!$C18:$AG18)</f>
        <v>0</v>
      </c>
      <c r="AI18" s="45">
        <f>(COUNTIFS(Juillet!$C18:$AG18,("cp")))/2+Juin!AI18</f>
        <v>0</v>
      </c>
      <c r="AJ18" s="45">
        <f>COUNTIFS(Juillet!$C18:$AG18,"RTT")/2+Juin!AJ18</f>
        <v>0</v>
      </c>
      <c r="AK18" s="45">
        <f>COUNTIFS(Juillet!$C18:$AG18,"m")/2+Juin!AK18</f>
        <v>0</v>
      </c>
      <c r="AL18" s="45">
        <f>COUNTIFS(Juillet!$C18:$AG18,"a")/2+Juin!AL18</f>
        <v>0</v>
      </c>
      <c r="AM18" s="46"/>
      <c r="AN18" s="47"/>
      <c r="AO18" s="47"/>
      <c r="AP18" s="46"/>
      <c r="AQ18" s="47"/>
      <c r="AR18" s="47"/>
      <c r="AS18" s="101"/>
    </row>
    <row r="19" spans="1:45" s="63" customFormat="1" ht="12.95" customHeight="1" x14ac:dyDescent="0.25">
      <c r="A19" s="41"/>
      <c r="B19" s="42"/>
      <c r="C19" s="49" t="str">
        <f t="shared" ref="C19:AG19" si="6">IF(C17&gt;0,C17,IF(C18&gt;0,C18,""))</f>
        <v/>
      </c>
      <c r="D19" s="49" t="str">
        <f t="shared" si="6"/>
        <v/>
      </c>
      <c r="E19" s="49" t="str">
        <f t="shared" si="6"/>
        <v/>
      </c>
      <c r="F19" s="49" t="str">
        <f t="shared" si="6"/>
        <v/>
      </c>
      <c r="G19" s="49" t="str">
        <f t="shared" si="6"/>
        <v/>
      </c>
      <c r="H19" s="49" t="str">
        <f t="shared" si="6"/>
        <v/>
      </c>
      <c r="I19" s="49" t="str">
        <f t="shared" si="6"/>
        <v/>
      </c>
      <c r="J19" s="49" t="str">
        <f t="shared" si="6"/>
        <v/>
      </c>
      <c r="K19" s="49" t="str">
        <f t="shared" si="6"/>
        <v/>
      </c>
      <c r="L19" s="49" t="str">
        <f t="shared" si="6"/>
        <v/>
      </c>
      <c r="M19" s="49" t="str">
        <f t="shared" si="6"/>
        <v/>
      </c>
      <c r="N19" s="49" t="str">
        <f t="shared" si="6"/>
        <v/>
      </c>
      <c r="O19" s="49" t="str">
        <f t="shared" si="6"/>
        <v/>
      </c>
      <c r="P19" s="49" t="str">
        <f t="shared" si="6"/>
        <v/>
      </c>
      <c r="Q19" s="49" t="str">
        <f t="shared" si="6"/>
        <v/>
      </c>
      <c r="R19" s="49" t="str">
        <f t="shared" si="6"/>
        <v/>
      </c>
      <c r="S19" s="49" t="str">
        <f t="shared" si="6"/>
        <v/>
      </c>
      <c r="T19" s="49" t="str">
        <f t="shared" si="6"/>
        <v/>
      </c>
      <c r="U19" s="49" t="str">
        <f t="shared" si="6"/>
        <v/>
      </c>
      <c r="V19" s="49" t="str">
        <f t="shared" si="6"/>
        <v/>
      </c>
      <c r="W19" s="49" t="str">
        <f t="shared" si="6"/>
        <v/>
      </c>
      <c r="X19" s="49" t="str">
        <f t="shared" si="6"/>
        <v/>
      </c>
      <c r="Y19" s="49" t="str">
        <f t="shared" si="6"/>
        <v/>
      </c>
      <c r="Z19" s="49" t="str">
        <f t="shared" si="6"/>
        <v/>
      </c>
      <c r="AA19" s="49" t="str">
        <f t="shared" si="6"/>
        <v/>
      </c>
      <c r="AB19" s="49" t="str">
        <f t="shared" si="6"/>
        <v/>
      </c>
      <c r="AC19" s="49" t="str">
        <f t="shared" si="6"/>
        <v/>
      </c>
      <c r="AD19" s="49" t="str">
        <f t="shared" si="6"/>
        <v/>
      </c>
      <c r="AE19" s="49" t="str">
        <f t="shared" si="6"/>
        <v/>
      </c>
      <c r="AF19" s="49" t="str">
        <f t="shared" si="6"/>
        <v/>
      </c>
      <c r="AG19" s="49" t="str">
        <f t="shared" si="6"/>
        <v/>
      </c>
      <c r="AH19" s="44">
        <f>SUM(AH17:AH18)</f>
        <v>0</v>
      </c>
      <c r="AI19" s="45">
        <f>SUM(AI17:AI18)</f>
        <v>0</v>
      </c>
      <c r="AJ19" s="45">
        <f>SUM(AJ17:AJ18)</f>
        <v>0</v>
      </c>
      <c r="AK19" s="45">
        <f t="shared" ref="AK19:AL19" si="7">SUM(AK17:AK18)</f>
        <v>0</v>
      </c>
      <c r="AL19" s="45">
        <f t="shared" si="7"/>
        <v>0</v>
      </c>
      <c r="AM19" s="50">
        <f>+Juin!AM19</f>
        <v>24.54</v>
      </c>
      <c r="AN19" s="51">
        <f>IF(A18="","",IF(A18&gt;NomMois,0,IF(A18&lt;$A$3,2.08,(NETWORKDAYS(A18,$A$2)/21.66667)*2.08)))</f>
        <v>2.08</v>
      </c>
      <c r="AO19" s="51">
        <f>IF( AN19="",0,+AN19+Juin!AO19)</f>
        <v>4.16</v>
      </c>
      <c r="AP19" s="50"/>
      <c r="AQ19" s="45">
        <f>+AM19-AI19</f>
        <v>24.54</v>
      </c>
      <c r="AR19" s="45">
        <f>+AP19-AJ19</f>
        <v>0</v>
      </c>
      <c r="AS19" s="102">
        <f t="shared" ref="AS19" si="8">+AO19+AQ19</f>
        <v>28.7</v>
      </c>
    </row>
    <row r="20" spans="1:45" s="63" customFormat="1" ht="6.75" customHeight="1" x14ac:dyDescent="0.25">
      <c r="A20" s="60"/>
      <c r="B20" s="53"/>
      <c r="C20" s="60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0"/>
      <c r="AG20" s="60"/>
      <c r="AH20" s="61"/>
      <c r="AI20" s="61"/>
      <c r="AJ20" s="61"/>
      <c r="AK20" s="61"/>
      <c r="AL20" s="61"/>
      <c r="AM20" s="60"/>
      <c r="AN20" s="61"/>
      <c r="AO20" s="61"/>
      <c r="AP20" s="60"/>
      <c r="AQ20" s="61"/>
      <c r="AR20" s="61"/>
      <c r="AS20" s="65"/>
    </row>
    <row r="21" spans="1:45" s="63" customFormat="1" ht="12.95" customHeight="1" x14ac:dyDescent="0.25">
      <c r="A21" s="41"/>
      <c r="B21" s="42" t="s">
        <v>15</v>
      </c>
      <c r="C21" s="67"/>
      <c r="D21" s="67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 t="s">
        <v>7</v>
      </c>
      <c r="X21" s="43"/>
      <c r="Y21" s="43"/>
      <c r="Z21" s="43" t="s">
        <v>7</v>
      </c>
      <c r="AA21" s="43"/>
      <c r="AB21" s="43"/>
      <c r="AC21" s="43"/>
      <c r="AD21" s="43"/>
      <c r="AE21" s="43"/>
      <c r="AF21" s="43"/>
      <c r="AG21" s="43"/>
      <c r="AH21" s="44">
        <f>COUNTA(Juillet!$C21:$AG21)</f>
        <v>2</v>
      </c>
      <c r="AI21" s="45">
        <f>(COUNTIFS(Juillet!$C21:$AG21,("cp")))/2+Juin!AI21</f>
        <v>1</v>
      </c>
      <c r="AJ21" s="45">
        <f>COUNTIFS(Juillet!$C21:$AG21,"RTT")/2+Juin!AJ21</f>
        <v>0</v>
      </c>
      <c r="AK21" s="45">
        <f>COUNTIFS(Juillet!$C21:$AG21,"m")/2+Juin!AK21</f>
        <v>0</v>
      </c>
      <c r="AL21" s="45">
        <f>COUNTIFS(Juillet!$C21:$AG21,"a")/2+Juin!AL21</f>
        <v>0</v>
      </c>
      <c r="AM21" s="46"/>
      <c r="AN21" s="47"/>
      <c r="AO21" s="47"/>
      <c r="AP21" s="46"/>
      <c r="AQ21" s="47"/>
      <c r="AR21" s="47"/>
      <c r="AS21" s="47"/>
    </row>
    <row r="22" spans="1:45" s="63" customFormat="1" ht="12.95" customHeight="1" x14ac:dyDescent="0.25">
      <c r="A22" s="48">
        <v>41824</v>
      </c>
      <c r="B22" s="42" t="s">
        <v>16</v>
      </c>
      <c r="C22" s="67"/>
      <c r="D22" s="67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 t="s">
        <v>7</v>
      </c>
      <c r="X22" s="43"/>
      <c r="Y22" s="43"/>
      <c r="Z22" s="43" t="s">
        <v>7</v>
      </c>
      <c r="AA22" s="43"/>
      <c r="AB22" s="43"/>
      <c r="AC22" s="43"/>
      <c r="AD22" s="43"/>
      <c r="AE22" s="43"/>
      <c r="AF22" s="43"/>
      <c r="AG22" s="43"/>
      <c r="AH22" s="44">
        <f>COUNTA(Juillet!$C22:$AG22)</f>
        <v>2</v>
      </c>
      <c r="AI22" s="45">
        <f>(COUNTIFS(Juillet!$C22:$AG22,("cp")))/2+Juin!AI22</f>
        <v>1</v>
      </c>
      <c r="AJ22" s="45">
        <f>COUNTIFS(Juillet!$C22:$AG22,"RTT")/2+Juin!AJ22</f>
        <v>0</v>
      </c>
      <c r="AK22" s="45">
        <f>COUNTIFS(Juillet!$C22:$AG22,"m")/2+Juin!AK22</f>
        <v>0</v>
      </c>
      <c r="AL22" s="45">
        <f>COUNTIFS(Juillet!$C22:$AG22,"a")/2+Juin!AL22</f>
        <v>0</v>
      </c>
      <c r="AM22" s="46"/>
      <c r="AN22" s="47"/>
      <c r="AO22" s="47"/>
      <c r="AP22" s="46"/>
      <c r="AQ22" s="47"/>
      <c r="AR22" s="47"/>
      <c r="AS22" s="101"/>
    </row>
    <row r="23" spans="1:45" s="63" customFormat="1" ht="12.95" customHeight="1" x14ac:dyDescent="0.25">
      <c r="A23" s="41"/>
      <c r="B23" s="42"/>
      <c r="C23" s="49" t="str">
        <f t="shared" ref="C23:AG23" si="9">IF(C21&gt;0,C21,IF(C22&gt;0,C22,""))</f>
        <v/>
      </c>
      <c r="D23" s="49" t="str">
        <f t="shared" si="9"/>
        <v/>
      </c>
      <c r="E23" s="49" t="str">
        <f t="shared" si="9"/>
        <v/>
      </c>
      <c r="F23" s="49" t="str">
        <f t="shared" si="9"/>
        <v/>
      </c>
      <c r="G23" s="49" t="str">
        <f t="shared" si="9"/>
        <v/>
      </c>
      <c r="H23" s="49" t="str">
        <f t="shared" si="9"/>
        <v/>
      </c>
      <c r="I23" s="49" t="str">
        <f t="shared" si="9"/>
        <v/>
      </c>
      <c r="J23" s="49" t="str">
        <f t="shared" si="9"/>
        <v/>
      </c>
      <c r="K23" s="49" t="str">
        <f t="shared" si="9"/>
        <v/>
      </c>
      <c r="L23" s="49" t="str">
        <f t="shared" si="9"/>
        <v/>
      </c>
      <c r="M23" s="49" t="str">
        <f t="shared" si="9"/>
        <v/>
      </c>
      <c r="N23" s="49" t="str">
        <f t="shared" si="9"/>
        <v/>
      </c>
      <c r="O23" s="49" t="str">
        <f t="shared" si="9"/>
        <v/>
      </c>
      <c r="P23" s="49" t="str">
        <f t="shared" si="9"/>
        <v/>
      </c>
      <c r="Q23" s="49" t="str">
        <f t="shared" si="9"/>
        <v/>
      </c>
      <c r="R23" s="49" t="str">
        <f t="shared" si="9"/>
        <v/>
      </c>
      <c r="S23" s="49" t="str">
        <f t="shared" si="9"/>
        <v/>
      </c>
      <c r="T23" s="49" t="str">
        <f t="shared" si="9"/>
        <v/>
      </c>
      <c r="U23" s="49" t="str">
        <f t="shared" si="9"/>
        <v/>
      </c>
      <c r="V23" s="49" t="str">
        <f t="shared" si="9"/>
        <v/>
      </c>
      <c r="W23" s="49" t="str">
        <f t="shared" si="9"/>
        <v>CP</v>
      </c>
      <c r="X23" s="49" t="str">
        <f t="shared" si="9"/>
        <v/>
      </c>
      <c r="Y23" s="49" t="str">
        <f t="shared" si="9"/>
        <v/>
      </c>
      <c r="Z23" s="49" t="str">
        <f t="shared" si="9"/>
        <v>CP</v>
      </c>
      <c r="AA23" s="49" t="str">
        <f t="shared" si="9"/>
        <v/>
      </c>
      <c r="AB23" s="49" t="str">
        <f t="shared" si="9"/>
        <v/>
      </c>
      <c r="AC23" s="49" t="str">
        <f t="shared" si="9"/>
        <v/>
      </c>
      <c r="AD23" s="49" t="str">
        <f t="shared" si="9"/>
        <v/>
      </c>
      <c r="AE23" s="49" t="str">
        <f t="shared" si="9"/>
        <v/>
      </c>
      <c r="AF23" s="49" t="str">
        <f t="shared" si="9"/>
        <v/>
      </c>
      <c r="AG23" s="49" t="str">
        <f t="shared" si="9"/>
        <v/>
      </c>
      <c r="AH23" s="44">
        <f>SUM(AH21:AH22)</f>
        <v>4</v>
      </c>
      <c r="AI23" s="45">
        <f>SUM(AI21:AI22)</f>
        <v>2</v>
      </c>
      <c r="AJ23" s="45">
        <f>SUM(AJ21:AJ22)</f>
        <v>0</v>
      </c>
      <c r="AK23" s="45">
        <f t="shared" ref="AK23:AL23" si="10">SUM(AK21:AK22)</f>
        <v>0</v>
      </c>
      <c r="AL23" s="45">
        <f t="shared" si="10"/>
        <v>0</v>
      </c>
      <c r="AM23" s="50">
        <f>+Juin!AM23</f>
        <v>11.23</v>
      </c>
      <c r="AN23" s="51">
        <f>IF(A22="","",IF(A22&gt;NomMois,0,IF(A22&lt;$A$3,2.08,(NETWORKDAYS(A22,$A$2)/21.66667)*2.08)))</f>
        <v>2.08</v>
      </c>
      <c r="AO23" s="51">
        <f>IF( AN23="",0,+AN23+Juin!AO23)</f>
        <v>4.16</v>
      </c>
      <c r="AP23" s="50"/>
      <c r="AQ23" s="45">
        <f>+AM23-AI23</f>
        <v>9.23</v>
      </c>
      <c r="AR23" s="45">
        <f>+AP23-AJ23</f>
        <v>0</v>
      </c>
      <c r="AS23" s="102">
        <f t="shared" ref="AS23" si="11">+AO23+AQ23</f>
        <v>13.39</v>
      </c>
    </row>
    <row r="24" spans="1:45" s="63" customFormat="1" ht="6.75" customHeight="1" x14ac:dyDescent="0.25">
      <c r="A24" s="60"/>
      <c r="B24" s="53"/>
      <c r="C24" s="60"/>
      <c r="D24" s="60"/>
      <c r="E24" s="60"/>
      <c r="F24" s="60"/>
      <c r="G24" s="60"/>
      <c r="H24" s="60"/>
      <c r="I24" s="60"/>
      <c r="J24" s="60"/>
      <c r="K24" s="60"/>
      <c r="L24" s="60"/>
      <c r="M24" s="60"/>
      <c r="N24" s="60"/>
      <c r="O24" s="60"/>
      <c r="P24" s="60"/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60"/>
      <c r="AD24" s="60"/>
      <c r="AE24" s="60"/>
      <c r="AF24" s="60"/>
      <c r="AG24" s="60"/>
      <c r="AH24" s="61"/>
      <c r="AI24" s="61"/>
      <c r="AJ24" s="61"/>
      <c r="AK24" s="61"/>
      <c r="AL24" s="61"/>
      <c r="AM24" s="60"/>
      <c r="AN24" s="61"/>
      <c r="AO24" s="61"/>
      <c r="AP24" s="60"/>
      <c r="AQ24" s="61"/>
      <c r="AR24" s="61"/>
      <c r="AS24" s="65"/>
    </row>
    <row r="25" spans="1:45" s="63" customFormat="1" ht="12.95" customHeight="1" x14ac:dyDescent="0.25">
      <c r="A25" s="41"/>
      <c r="B25" s="42" t="s">
        <v>15</v>
      </c>
      <c r="C25" s="67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  <c r="AA25" s="43"/>
      <c r="AB25" s="43"/>
      <c r="AC25" s="43"/>
      <c r="AD25" s="43"/>
      <c r="AE25" s="43"/>
      <c r="AF25" s="43"/>
      <c r="AG25" s="43"/>
      <c r="AH25" s="44">
        <f>COUNTA(Juillet!$C25:$AG25)</f>
        <v>0</v>
      </c>
      <c r="AI25" s="45">
        <f>(COUNTIFS(Juillet!$C25:$AG25,("cp")))/2+Juin!AI25</f>
        <v>1</v>
      </c>
      <c r="AJ25" s="45">
        <f>COUNTIFS(Juillet!$C25:$AG25,"RTT")/2+Juin!AJ25</f>
        <v>0</v>
      </c>
      <c r="AK25" s="45">
        <f>COUNTIFS(Juillet!$C25:$AG25,"m")/2+Juin!AK25</f>
        <v>0</v>
      </c>
      <c r="AL25" s="45">
        <f>COUNTIFS(Juillet!$C25:$AG25,"a")/2+Juin!AL25</f>
        <v>0</v>
      </c>
      <c r="AM25" s="46"/>
      <c r="AN25" s="47"/>
      <c r="AO25" s="47"/>
      <c r="AP25" s="46"/>
      <c r="AQ25" s="47"/>
      <c r="AR25" s="47"/>
      <c r="AS25" s="47"/>
    </row>
    <row r="26" spans="1:45" s="63" customFormat="1" ht="12.95" customHeight="1" x14ac:dyDescent="0.25">
      <c r="A26" s="48">
        <v>38626</v>
      </c>
      <c r="B26" s="42" t="s">
        <v>16</v>
      </c>
      <c r="C26" s="67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43"/>
      <c r="AB26" s="43"/>
      <c r="AC26" s="43"/>
      <c r="AD26" s="43"/>
      <c r="AE26" s="43"/>
      <c r="AF26" s="43"/>
      <c r="AG26" s="43"/>
      <c r="AH26" s="44">
        <f>COUNTA(Juillet!$C26:$AG26)</f>
        <v>0</v>
      </c>
      <c r="AI26" s="45">
        <f>(COUNTIFS(Juillet!$C26:$AG26,("cp")))/2+Juin!AI26</f>
        <v>1</v>
      </c>
      <c r="AJ26" s="45">
        <f>COUNTIFS(Juillet!$C26:$AG26,"RTT")/2+Juin!AJ26</f>
        <v>0</v>
      </c>
      <c r="AK26" s="45">
        <f>COUNTIFS(Juillet!$C26:$AG26,"m")/2+Juin!AK26</f>
        <v>0</v>
      </c>
      <c r="AL26" s="45">
        <f>COUNTIFS(Juillet!$C26:$AG26,"a")/2+Juin!AL26</f>
        <v>0</v>
      </c>
      <c r="AM26" s="46"/>
      <c r="AN26" s="47"/>
      <c r="AO26" s="47"/>
      <c r="AP26" s="46"/>
      <c r="AQ26" s="47"/>
      <c r="AR26" s="47"/>
      <c r="AS26" s="101"/>
    </row>
    <row r="27" spans="1:45" s="63" customFormat="1" ht="12.95" customHeight="1" x14ac:dyDescent="0.25">
      <c r="A27" s="41"/>
      <c r="B27" s="42"/>
      <c r="C27" s="49" t="str">
        <f t="shared" ref="C27:AG27" si="12">IF(C25&gt;0,C25,IF(C26&gt;0,C26,""))</f>
        <v/>
      </c>
      <c r="D27" s="49" t="str">
        <f t="shared" si="12"/>
        <v/>
      </c>
      <c r="E27" s="49" t="str">
        <f t="shared" si="12"/>
        <v/>
      </c>
      <c r="F27" s="49" t="str">
        <f t="shared" si="12"/>
        <v/>
      </c>
      <c r="G27" s="49" t="str">
        <f t="shared" si="12"/>
        <v/>
      </c>
      <c r="H27" s="49" t="str">
        <f t="shared" si="12"/>
        <v/>
      </c>
      <c r="I27" s="49" t="str">
        <f t="shared" si="12"/>
        <v/>
      </c>
      <c r="J27" s="49" t="str">
        <f t="shared" si="12"/>
        <v/>
      </c>
      <c r="K27" s="49" t="str">
        <f t="shared" si="12"/>
        <v/>
      </c>
      <c r="L27" s="49" t="str">
        <f t="shared" si="12"/>
        <v/>
      </c>
      <c r="M27" s="49" t="str">
        <f t="shared" si="12"/>
        <v/>
      </c>
      <c r="N27" s="49" t="str">
        <f t="shared" si="12"/>
        <v/>
      </c>
      <c r="O27" s="49" t="str">
        <f t="shared" si="12"/>
        <v/>
      </c>
      <c r="P27" s="49" t="str">
        <f t="shared" si="12"/>
        <v/>
      </c>
      <c r="Q27" s="49" t="str">
        <f t="shared" si="12"/>
        <v/>
      </c>
      <c r="R27" s="49" t="str">
        <f t="shared" si="12"/>
        <v/>
      </c>
      <c r="S27" s="49" t="str">
        <f t="shared" si="12"/>
        <v/>
      </c>
      <c r="T27" s="49" t="str">
        <f t="shared" si="12"/>
        <v/>
      </c>
      <c r="U27" s="49" t="str">
        <f t="shared" si="12"/>
        <v/>
      </c>
      <c r="V27" s="49" t="str">
        <f t="shared" si="12"/>
        <v/>
      </c>
      <c r="W27" s="49" t="str">
        <f t="shared" si="12"/>
        <v/>
      </c>
      <c r="X27" s="49" t="str">
        <f t="shared" si="12"/>
        <v/>
      </c>
      <c r="Y27" s="49" t="str">
        <f t="shared" si="12"/>
        <v/>
      </c>
      <c r="Z27" s="49" t="str">
        <f t="shared" si="12"/>
        <v/>
      </c>
      <c r="AA27" s="49" t="str">
        <f t="shared" si="12"/>
        <v/>
      </c>
      <c r="AB27" s="49" t="str">
        <f t="shared" si="12"/>
        <v/>
      </c>
      <c r="AC27" s="49" t="str">
        <f t="shared" si="12"/>
        <v/>
      </c>
      <c r="AD27" s="49" t="str">
        <f t="shared" si="12"/>
        <v/>
      </c>
      <c r="AE27" s="49" t="str">
        <f t="shared" si="12"/>
        <v/>
      </c>
      <c r="AF27" s="49" t="str">
        <f t="shared" si="12"/>
        <v/>
      </c>
      <c r="AG27" s="49" t="str">
        <f t="shared" si="12"/>
        <v/>
      </c>
      <c r="AH27" s="44">
        <f>SUM(AH25:AH26)</f>
        <v>0</v>
      </c>
      <c r="AI27" s="45">
        <f>SUM(AI25:AI26)</f>
        <v>2</v>
      </c>
      <c r="AJ27" s="45">
        <f>SUM(AJ25:AJ26)</f>
        <v>0</v>
      </c>
      <c r="AK27" s="45">
        <f t="shared" ref="AK27:AL27" si="13">SUM(AK25:AK26)</f>
        <v>0</v>
      </c>
      <c r="AL27" s="45">
        <f t="shared" si="13"/>
        <v>0</v>
      </c>
      <c r="AM27" s="50">
        <f>+Juin!AM27</f>
        <v>28.7</v>
      </c>
      <c r="AN27" s="51">
        <f>IF(A26="","",IF(A26&gt;NomMois,0,IF(A26&lt;$A$3,2.08,(NETWORKDAYS(A26,$A$2)/21.66667)*2.08)))</f>
        <v>2.08</v>
      </c>
      <c r="AO27" s="51">
        <f>IF( AN27="",0,+AN27+Juin!AO27)</f>
        <v>4.16</v>
      </c>
      <c r="AP27" s="50"/>
      <c r="AQ27" s="45">
        <f>+AM27-AI27</f>
        <v>26.7</v>
      </c>
      <c r="AR27" s="45">
        <f>+AP27-AJ27</f>
        <v>0</v>
      </c>
      <c r="AS27" s="102">
        <f t="shared" ref="AS27" si="14">+AO27+AQ27</f>
        <v>30.86</v>
      </c>
    </row>
    <row r="28" spans="1:45" s="63" customFormat="1" ht="6.75" customHeight="1" x14ac:dyDescent="0.25">
      <c r="A28" s="60"/>
      <c r="B28" s="53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1"/>
      <c r="AI28" s="61"/>
      <c r="AJ28" s="61"/>
      <c r="AK28" s="61"/>
      <c r="AL28" s="61"/>
      <c r="AM28" s="60"/>
      <c r="AN28" s="61"/>
      <c r="AO28" s="61"/>
      <c r="AP28" s="60"/>
      <c r="AQ28" s="61"/>
      <c r="AR28" s="61"/>
      <c r="AS28" s="65"/>
    </row>
    <row r="29" spans="1:45" s="63" customFormat="1" ht="12.95" customHeight="1" x14ac:dyDescent="0.25">
      <c r="A29" s="41"/>
      <c r="B29" s="42" t="s">
        <v>15</v>
      </c>
      <c r="C29" s="67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4">
        <f>COUNTA(Juillet!$C29:$AG29)</f>
        <v>0</v>
      </c>
      <c r="AI29" s="45">
        <f>(COUNTIFS(Juillet!$C29:$AG29,("cp")))/2+Juin!AI29</f>
        <v>0</v>
      </c>
      <c r="AJ29" s="45">
        <f>COUNTIFS(Juillet!$C29:$AG29,"RTT")/2+Juin!AJ29</f>
        <v>0</v>
      </c>
      <c r="AK29" s="45">
        <f>COUNTIFS(Juillet!$C29:$AG29,"m")/2+Juin!AK29</f>
        <v>0</v>
      </c>
      <c r="AL29" s="45">
        <f>COUNTIFS(Juillet!$C29:$AG29,"a")/2+Juin!AL29</f>
        <v>0</v>
      </c>
      <c r="AM29" s="46"/>
      <c r="AN29" s="47"/>
      <c r="AO29" s="47"/>
      <c r="AP29" s="46"/>
      <c r="AQ29" s="47"/>
      <c r="AR29" s="47"/>
      <c r="AS29" s="47"/>
    </row>
    <row r="30" spans="1:45" s="63" customFormat="1" ht="12.95" customHeight="1" x14ac:dyDescent="0.25">
      <c r="A30" s="48">
        <v>36892</v>
      </c>
      <c r="B30" s="42" t="s">
        <v>16</v>
      </c>
      <c r="C30" s="67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4">
        <f>COUNTA(Juillet!$C30:$AG30)</f>
        <v>0</v>
      </c>
      <c r="AI30" s="45">
        <f>(COUNTIFS(Juillet!$C30:$AG30,("cp")))/2+Juin!AI30</f>
        <v>0</v>
      </c>
      <c r="AJ30" s="45">
        <f>COUNTIFS(Juillet!$C30:$AG30,"RTT")/2+Juin!AJ30</f>
        <v>0</v>
      </c>
      <c r="AK30" s="45">
        <f>COUNTIFS(Juillet!$C30:$AG30,"m")/2+Juin!AK30</f>
        <v>0</v>
      </c>
      <c r="AL30" s="45">
        <f>COUNTIFS(Juillet!$C30:$AG30,"a")/2+Juin!AL30</f>
        <v>0</v>
      </c>
      <c r="AM30" s="46"/>
      <c r="AN30" s="47"/>
      <c r="AO30" s="47"/>
      <c r="AP30" s="46"/>
      <c r="AQ30" s="47"/>
      <c r="AR30" s="47"/>
      <c r="AS30" s="101"/>
    </row>
    <row r="31" spans="1:45" s="63" customFormat="1" ht="12.95" customHeight="1" x14ac:dyDescent="0.25">
      <c r="A31" s="41"/>
      <c r="B31" s="42"/>
      <c r="C31" s="49" t="str">
        <f t="shared" ref="C31:AG31" si="15">IF(C29&gt;0,C29,IF(C30&gt;0,C30,""))</f>
        <v/>
      </c>
      <c r="D31" s="49" t="str">
        <f t="shared" si="15"/>
        <v/>
      </c>
      <c r="E31" s="49" t="str">
        <f t="shared" si="15"/>
        <v/>
      </c>
      <c r="F31" s="49" t="str">
        <f t="shared" si="15"/>
        <v/>
      </c>
      <c r="G31" s="49" t="str">
        <f t="shared" si="15"/>
        <v/>
      </c>
      <c r="H31" s="49" t="str">
        <f t="shared" si="15"/>
        <v/>
      </c>
      <c r="I31" s="49" t="str">
        <f t="shared" si="15"/>
        <v/>
      </c>
      <c r="J31" s="49" t="str">
        <f t="shared" si="15"/>
        <v/>
      </c>
      <c r="K31" s="49" t="str">
        <f t="shared" si="15"/>
        <v/>
      </c>
      <c r="L31" s="49" t="str">
        <f t="shared" si="15"/>
        <v/>
      </c>
      <c r="M31" s="49" t="str">
        <f t="shared" si="15"/>
        <v/>
      </c>
      <c r="N31" s="49" t="str">
        <f t="shared" si="15"/>
        <v/>
      </c>
      <c r="O31" s="49" t="str">
        <f t="shared" si="15"/>
        <v/>
      </c>
      <c r="P31" s="49" t="str">
        <f t="shared" si="15"/>
        <v/>
      </c>
      <c r="Q31" s="49" t="str">
        <f t="shared" si="15"/>
        <v/>
      </c>
      <c r="R31" s="49" t="str">
        <f t="shared" si="15"/>
        <v/>
      </c>
      <c r="S31" s="49" t="str">
        <f t="shared" si="15"/>
        <v/>
      </c>
      <c r="T31" s="49" t="str">
        <f t="shared" si="15"/>
        <v/>
      </c>
      <c r="U31" s="49" t="str">
        <f t="shared" si="15"/>
        <v/>
      </c>
      <c r="V31" s="49" t="str">
        <f t="shared" si="15"/>
        <v/>
      </c>
      <c r="W31" s="49" t="str">
        <f t="shared" si="15"/>
        <v/>
      </c>
      <c r="X31" s="49" t="str">
        <f t="shared" si="15"/>
        <v/>
      </c>
      <c r="Y31" s="49" t="str">
        <f t="shared" si="15"/>
        <v/>
      </c>
      <c r="Z31" s="49" t="str">
        <f t="shared" si="15"/>
        <v/>
      </c>
      <c r="AA31" s="49" t="str">
        <f t="shared" si="15"/>
        <v/>
      </c>
      <c r="AB31" s="49" t="str">
        <f t="shared" si="15"/>
        <v/>
      </c>
      <c r="AC31" s="49" t="str">
        <f t="shared" si="15"/>
        <v/>
      </c>
      <c r="AD31" s="49" t="str">
        <f t="shared" si="15"/>
        <v/>
      </c>
      <c r="AE31" s="49" t="str">
        <f t="shared" si="15"/>
        <v/>
      </c>
      <c r="AF31" s="49" t="str">
        <f t="shared" si="15"/>
        <v/>
      </c>
      <c r="AG31" s="49" t="str">
        <f t="shared" si="15"/>
        <v/>
      </c>
      <c r="AH31" s="44">
        <f>SUM(AH29:AH30)</f>
        <v>0</v>
      </c>
      <c r="AI31" s="45">
        <f>SUM(AI29:AI30)</f>
        <v>0</v>
      </c>
      <c r="AJ31" s="45">
        <f>SUM(AJ29:AJ30)</f>
        <v>0</v>
      </c>
      <c r="AK31" s="45">
        <f t="shared" ref="AK31:AL31" si="16">SUM(AK29:AK30)</f>
        <v>0</v>
      </c>
      <c r="AL31" s="45">
        <f t="shared" si="16"/>
        <v>0</v>
      </c>
      <c r="AM31" s="50">
        <f>+Juin!AM31</f>
        <v>30.37</v>
      </c>
      <c r="AN31" s="51">
        <f>IF(A30="","",IF(A30&gt;NomMois,0,IF(A30&lt;$A$3,2.08,(NETWORKDAYS(A30,$A$2)/21.66667)*2.08)))</f>
        <v>2.08</v>
      </c>
      <c r="AO31" s="51">
        <f>IF( AN31="",0,+AN31+Juin!AO31)</f>
        <v>4.16</v>
      </c>
      <c r="AP31" s="50"/>
      <c r="AQ31" s="45">
        <f>+AM31-AI31</f>
        <v>30.37</v>
      </c>
      <c r="AR31" s="45">
        <f>+AP31-AJ31</f>
        <v>0</v>
      </c>
      <c r="AS31" s="102">
        <f t="shared" ref="AS31:AS91" si="17">+AO31+AQ31</f>
        <v>34.53</v>
      </c>
    </row>
    <row r="32" spans="1:45" s="63" customFormat="1" ht="6.75" customHeight="1" x14ac:dyDescent="0.25">
      <c r="A32" s="60"/>
      <c r="B32" s="53"/>
      <c r="C32" s="60"/>
      <c r="D32" s="60"/>
      <c r="E32" s="60"/>
      <c r="F32" s="60"/>
      <c r="G32" s="60"/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1"/>
      <c r="AI32" s="61"/>
      <c r="AJ32" s="61"/>
      <c r="AK32" s="61"/>
      <c r="AL32" s="61"/>
      <c r="AM32" s="60"/>
      <c r="AN32" s="61"/>
      <c r="AO32" s="61"/>
      <c r="AP32" s="60"/>
      <c r="AQ32" s="69"/>
      <c r="AR32" s="69"/>
      <c r="AS32" s="65"/>
    </row>
    <row r="33" spans="1:45" s="63" customFormat="1" ht="12.95" customHeight="1" x14ac:dyDescent="0.25">
      <c r="A33" s="41"/>
      <c r="B33" s="42" t="s">
        <v>15</v>
      </c>
      <c r="C33" s="67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 t="s">
        <v>7</v>
      </c>
      <c r="T33" s="43" t="s">
        <v>7</v>
      </c>
      <c r="U33" s="43" t="s">
        <v>7</v>
      </c>
      <c r="V33" s="43" t="s">
        <v>7</v>
      </c>
      <c r="W33" s="43" t="s">
        <v>7</v>
      </c>
      <c r="X33" s="43"/>
      <c r="Y33" s="43"/>
      <c r="Z33" s="43" t="s">
        <v>7</v>
      </c>
      <c r="AA33" s="43" t="s">
        <v>7</v>
      </c>
      <c r="AB33" s="43" t="s">
        <v>7</v>
      </c>
      <c r="AC33" s="43" t="s">
        <v>7</v>
      </c>
      <c r="AD33" s="43" t="s">
        <v>7</v>
      </c>
      <c r="AE33" s="43"/>
      <c r="AF33" s="43"/>
      <c r="AG33" s="43" t="s">
        <v>7</v>
      </c>
      <c r="AH33" s="44">
        <f>COUNTA(Juillet!$C33:$AG33)</f>
        <v>11</v>
      </c>
      <c r="AI33" s="45">
        <f>(COUNTIFS(Juillet!$C33:$AG33,("cp")))/2+Juin!AI33</f>
        <v>6</v>
      </c>
      <c r="AJ33" s="45">
        <f>COUNTIFS(Juillet!$C33:$AG33,"RTT")/2+Juin!AJ33</f>
        <v>0</v>
      </c>
      <c r="AK33" s="45">
        <f>COUNTIFS(Juillet!$C33:$AG33,"m")/2+Juin!AK33</f>
        <v>0</v>
      </c>
      <c r="AL33" s="45">
        <f>COUNTIFS(Juillet!$C33:$AG33,"a")/2+Juin!AL33</f>
        <v>0</v>
      </c>
      <c r="AM33" s="46"/>
      <c r="AN33" s="47"/>
      <c r="AO33" s="47"/>
      <c r="AP33" s="46"/>
      <c r="AQ33" s="47"/>
      <c r="AR33" s="47"/>
      <c r="AS33" s="47"/>
    </row>
    <row r="34" spans="1:45" s="63" customFormat="1" ht="12.95" customHeight="1" x14ac:dyDescent="0.25">
      <c r="A34" s="48">
        <v>42110</v>
      </c>
      <c r="B34" s="42" t="s">
        <v>16</v>
      </c>
      <c r="C34" s="67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 t="s">
        <v>7</v>
      </c>
      <c r="T34" s="43" t="s">
        <v>7</v>
      </c>
      <c r="U34" s="43" t="s">
        <v>7</v>
      </c>
      <c r="V34" s="43" t="s">
        <v>7</v>
      </c>
      <c r="W34" s="43" t="s">
        <v>7</v>
      </c>
      <c r="X34" s="43"/>
      <c r="Y34" s="43"/>
      <c r="Z34" s="43" t="s">
        <v>7</v>
      </c>
      <c r="AA34" s="43" t="s">
        <v>7</v>
      </c>
      <c r="AB34" s="43" t="s">
        <v>7</v>
      </c>
      <c r="AC34" s="43" t="s">
        <v>7</v>
      </c>
      <c r="AD34" s="43" t="s">
        <v>7</v>
      </c>
      <c r="AE34" s="43"/>
      <c r="AF34" s="43"/>
      <c r="AG34" s="43" t="s">
        <v>7</v>
      </c>
      <c r="AH34" s="44">
        <f>COUNTA(Juillet!$C34:$AG34)</f>
        <v>11</v>
      </c>
      <c r="AI34" s="45">
        <f>(COUNTIFS(Juillet!$C34:$AG34,("cp")))/2+Juin!AI34</f>
        <v>6</v>
      </c>
      <c r="AJ34" s="45">
        <f>COUNTIFS(Juillet!$C34:$AG34,"RTT")/2+Juin!AJ34</f>
        <v>0</v>
      </c>
      <c r="AK34" s="45">
        <f>COUNTIFS(Juillet!$C34:$AG34,"m")/2+Juin!AK34</f>
        <v>0</v>
      </c>
      <c r="AL34" s="45">
        <f>COUNTIFS(Juillet!$C34:$AG34,"a")/2+Juin!AL34</f>
        <v>0</v>
      </c>
      <c r="AM34" s="46"/>
      <c r="AN34" s="47"/>
      <c r="AO34" s="47"/>
      <c r="AP34" s="46"/>
      <c r="AQ34" s="47"/>
      <c r="AR34" s="47"/>
      <c r="AS34" s="101"/>
    </row>
    <row r="35" spans="1:45" s="63" customFormat="1" ht="12.95" customHeight="1" x14ac:dyDescent="0.25">
      <c r="A35" s="41"/>
      <c r="B35" s="42"/>
      <c r="C35" s="49" t="str">
        <f t="shared" ref="C35:AG35" si="18">IF(C33&gt;0,C33,IF(C34&gt;0,C34,""))</f>
        <v/>
      </c>
      <c r="D35" s="49" t="str">
        <f t="shared" si="18"/>
        <v/>
      </c>
      <c r="E35" s="49" t="str">
        <f t="shared" si="18"/>
        <v/>
      </c>
      <c r="F35" s="49" t="str">
        <f t="shared" si="18"/>
        <v/>
      </c>
      <c r="G35" s="49" t="str">
        <f t="shared" si="18"/>
        <v/>
      </c>
      <c r="H35" s="49" t="str">
        <f t="shared" si="18"/>
        <v/>
      </c>
      <c r="I35" s="49" t="str">
        <f t="shared" si="18"/>
        <v/>
      </c>
      <c r="J35" s="49" t="str">
        <f t="shared" si="18"/>
        <v/>
      </c>
      <c r="K35" s="49" t="str">
        <f t="shared" si="18"/>
        <v/>
      </c>
      <c r="L35" s="49" t="str">
        <f t="shared" si="18"/>
        <v/>
      </c>
      <c r="M35" s="49" t="str">
        <f t="shared" si="18"/>
        <v/>
      </c>
      <c r="N35" s="49" t="str">
        <f t="shared" si="18"/>
        <v/>
      </c>
      <c r="O35" s="49" t="str">
        <f t="shared" si="18"/>
        <v/>
      </c>
      <c r="P35" s="49" t="str">
        <f t="shared" si="18"/>
        <v/>
      </c>
      <c r="Q35" s="49" t="str">
        <f t="shared" si="18"/>
        <v/>
      </c>
      <c r="R35" s="49" t="str">
        <f t="shared" si="18"/>
        <v/>
      </c>
      <c r="S35" s="49" t="str">
        <f t="shared" si="18"/>
        <v>CP</v>
      </c>
      <c r="T35" s="49" t="str">
        <f t="shared" si="18"/>
        <v>CP</v>
      </c>
      <c r="U35" s="49" t="str">
        <f t="shared" si="18"/>
        <v>CP</v>
      </c>
      <c r="V35" s="49" t="str">
        <f t="shared" si="18"/>
        <v>CP</v>
      </c>
      <c r="W35" s="49" t="str">
        <f t="shared" si="18"/>
        <v>CP</v>
      </c>
      <c r="X35" s="49" t="str">
        <f t="shared" si="18"/>
        <v/>
      </c>
      <c r="Y35" s="49" t="str">
        <f t="shared" si="18"/>
        <v/>
      </c>
      <c r="Z35" s="49" t="str">
        <f t="shared" si="18"/>
        <v>CP</v>
      </c>
      <c r="AA35" s="49" t="str">
        <f t="shared" si="18"/>
        <v>CP</v>
      </c>
      <c r="AB35" s="49" t="str">
        <f t="shared" si="18"/>
        <v>CP</v>
      </c>
      <c r="AC35" s="49" t="str">
        <f t="shared" si="18"/>
        <v>CP</v>
      </c>
      <c r="AD35" s="49" t="str">
        <f t="shared" si="18"/>
        <v>CP</v>
      </c>
      <c r="AE35" s="49" t="str">
        <f t="shared" si="18"/>
        <v/>
      </c>
      <c r="AF35" s="49" t="str">
        <f t="shared" si="18"/>
        <v/>
      </c>
      <c r="AG35" s="49" t="str">
        <f t="shared" si="18"/>
        <v>CP</v>
      </c>
      <c r="AH35" s="44">
        <f>SUM(AH33:AH34)</f>
        <v>22</v>
      </c>
      <c r="AI35" s="45">
        <f>SUM(AI33:AI34)</f>
        <v>12</v>
      </c>
      <c r="AJ35" s="45">
        <f>SUM(AJ33:AJ34)</f>
        <v>0</v>
      </c>
      <c r="AK35" s="45">
        <f t="shared" ref="AK35:AL35" si="19">SUM(AK33:AK34)</f>
        <v>0</v>
      </c>
      <c r="AL35" s="45">
        <f t="shared" si="19"/>
        <v>0</v>
      </c>
      <c r="AM35" s="50">
        <f>+Juin!AM35</f>
        <v>14.56</v>
      </c>
      <c r="AN35" s="51">
        <f>IF(A34="","",IF(A34&gt;NomMois,0,IF(A34&lt;$A$3,2.08,(NETWORKDAYS(A34,$A$2)/21.66667)*2.08)))</f>
        <v>2.08</v>
      </c>
      <c r="AO35" s="51">
        <f>IF( AN35="",0,+AN35+Juin!AO35)</f>
        <v>4.16</v>
      </c>
      <c r="AP35" s="50"/>
      <c r="AQ35" s="45">
        <f>+AM35-AI35</f>
        <v>2.5600000000000005</v>
      </c>
      <c r="AR35" s="45">
        <f>+AP35-AJ35</f>
        <v>0</v>
      </c>
      <c r="AS35" s="102">
        <f t="shared" si="17"/>
        <v>6.7200000000000006</v>
      </c>
    </row>
    <row r="36" spans="1:45" s="63" customFormat="1" ht="6.75" customHeight="1" x14ac:dyDescent="0.25">
      <c r="A36" s="60"/>
      <c r="B36" s="53"/>
      <c r="C36" s="60"/>
      <c r="D36" s="60"/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0"/>
      <c r="Z36" s="60"/>
      <c r="AA36" s="60"/>
      <c r="AB36" s="60"/>
      <c r="AC36" s="60"/>
      <c r="AD36" s="60"/>
      <c r="AE36" s="60"/>
      <c r="AF36" s="60"/>
      <c r="AG36" s="60"/>
      <c r="AH36" s="61"/>
      <c r="AI36" s="61"/>
      <c r="AJ36" s="61"/>
      <c r="AK36" s="61"/>
      <c r="AL36" s="61"/>
      <c r="AM36" s="60"/>
      <c r="AN36" s="61"/>
      <c r="AO36" s="61"/>
      <c r="AP36" s="60"/>
      <c r="AQ36" s="61"/>
      <c r="AR36" s="61"/>
      <c r="AS36" s="65"/>
    </row>
    <row r="37" spans="1:45" s="63" customFormat="1" ht="12.95" customHeight="1" x14ac:dyDescent="0.25">
      <c r="A37" s="41"/>
      <c r="B37" s="42" t="s">
        <v>15</v>
      </c>
      <c r="C37" s="67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  <c r="AB37" s="43"/>
      <c r="AC37" s="43"/>
      <c r="AD37" s="43"/>
      <c r="AE37" s="43"/>
      <c r="AF37" s="43"/>
      <c r="AG37" s="43"/>
      <c r="AH37" s="44">
        <f>COUNTA(Juillet!$C37:$AG37)</f>
        <v>0</v>
      </c>
      <c r="AI37" s="45">
        <f>(COUNTIFS(Juillet!$C37:$AG37,("cp")))/2+Juin!AI37</f>
        <v>0</v>
      </c>
      <c r="AJ37" s="45">
        <f>COUNTIFS(Juillet!$C37:$AG37,"RTT")/2+Juin!AJ37</f>
        <v>0</v>
      </c>
      <c r="AK37" s="45">
        <f>COUNTIFS(Juillet!$C37:$AG37,"m")/2+Juin!AK37</f>
        <v>0</v>
      </c>
      <c r="AL37" s="45">
        <f>COUNTIFS(Juillet!$C37:$AG37,"a")/2+Juin!AL37</f>
        <v>0</v>
      </c>
      <c r="AM37" s="46"/>
      <c r="AN37" s="47"/>
      <c r="AO37" s="47"/>
      <c r="AP37" s="46"/>
      <c r="AQ37" s="47"/>
      <c r="AR37" s="47"/>
      <c r="AS37" s="47"/>
    </row>
    <row r="38" spans="1:45" s="63" customFormat="1" ht="12.95" customHeight="1" x14ac:dyDescent="0.25">
      <c r="A38" s="48">
        <v>42373</v>
      </c>
      <c r="B38" s="42" t="s">
        <v>16</v>
      </c>
      <c r="C38" s="67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4">
        <f>COUNTA(Juillet!$C38:$AG38)</f>
        <v>0</v>
      </c>
      <c r="AI38" s="45">
        <f>(COUNTIFS(Juillet!$C38:$AG38,("cp")))/2+Juin!AI38</f>
        <v>0</v>
      </c>
      <c r="AJ38" s="45">
        <f>COUNTIFS(Juillet!$C38:$AG38,"RTT")/2+Juin!AJ38</f>
        <v>0</v>
      </c>
      <c r="AK38" s="45">
        <f>COUNTIFS(Juillet!$C38:$AG38,"m")/2+Juin!AK38</f>
        <v>0</v>
      </c>
      <c r="AL38" s="45">
        <f>COUNTIFS(Juillet!$C38:$AG38,"a")/2+Juin!AL38</f>
        <v>0</v>
      </c>
      <c r="AM38" s="46"/>
      <c r="AN38" s="47"/>
      <c r="AO38" s="47"/>
      <c r="AP38" s="46"/>
      <c r="AQ38" s="47"/>
      <c r="AR38" s="47"/>
      <c r="AS38" s="101"/>
    </row>
    <row r="39" spans="1:45" s="63" customFormat="1" ht="12.95" customHeight="1" x14ac:dyDescent="0.25">
      <c r="A39" s="41"/>
      <c r="B39" s="42"/>
      <c r="C39" s="49" t="str">
        <f t="shared" ref="C39:AG39" si="20">IF(C37&gt;0,C37,IF(C38&gt;0,C38,""))</f>
        <v/>
      </c>
      <c r="D39" s="49" t="str">
        <f t="shared" si="20"/>
        <v/>
      </c>
      <c r="E39" s="49" t="str">
        <f t="shared" si="20"/>
        <v/>
      </c>
      <c r="F39" s="49" t="str">
        <f t="shared" si="20"/>
        <v/>
      </c>
      <c r="G39" s="49" t="str">
        <f t="shared" si="20"/>
        <v/>
      </c>
      <c r="H39" s="49" t="str">
        <f t="shared" si="20"/>
        <v/>
      </c>
      <c r="I39" s="49" t="str">
        <f t="shared" si="20"/>
        <v/>
      </c>
      <c r="J39" s="49" t="str">
        <f t="shared" si="20"/>
        <v/>
      </c>
      <c r="K39" s="49" t="str">
        <f t="shared" si="20"/>
        <v/>
      </c>
      <c r="L39" s="49" t="str">
        <f t="shared" si="20"/>
        <v/>
      </c>
      <c r="M39" s="49" t="str">
        <f t="shared" si="20"/>
        <v/>
      </c>
      <c r="N39" s="49" t="str">
        <f t="shared" si="20"/>
        <v/>
      </c>
      <c r="O39" s="49" t="str">
        <f t="shared" si="20"/>
        <v/>
      </c>
      <c r="P39" s="49" t="str">
        <f t="shared" si="20"/>
        <v/>
      </c>
      <c r="Q39" s="49" t="str">
        <f t="shared" si="20"/>
        <v/>
      </c>
      <c r="R39" s="49" t="str">
        <f t="shared" si="20"/>
        <v/>
      </c>
      <c r="S39" s="49" t="str">
        <f t="shared" si="20"/>
        <v/>
      </c>
      <c r="T39" s="49" t="str">
        <f t="shared" si="20"/>
        <v/>
      </c>
      <c r="U39" s="49" t="str">
        <f t="shared" si="20"/>
        <v/>
      </c>
      <c r="V39" s="49" t="str">
        <f t="shared" si="20"/>
        <v/>
      </c>
      <c r="W39" s="49" t="str">
        <f t="shared" si="20"/>
        <v/>
      </c>
      <c r="X39" s="49" t="str">
        <f t="shared" si="20"/>
        <v/>
      </c>
      <c r="Y39" s="49" t="str">
        <f t="shared" si="20"/>
        <v/>
      </c>
      <c r="Z39" s="49" t="str">
        <f t="shared" si="20"/>
        <v/>
      </c>
      <c r="AA39" s="49" t="str">
        <f t="shared" si="20"/>
        <v/>
      </c>
      <c r="AB39" s="49" t="str">
        <f t="shared" si="20"/>
        <v/>
      </c>
      <c r="AC39" s="49" t="str">
        <f t="shared" si="20"/>
        <v/>
      </c>
      <c r="AD39" s="49" t="str">
        <f t="shared" si="20"/>
        <v/>
      </c>
      <c r="AE39" s="49" t="str">
        <f t="shared" si="20"/>
        <v/>
      </c>
      <c r="AF39" s="49" t="str">
        <f t="shared" si="20"/>
        <v/>
      </c>
      <c r="AG39" s="49" t="str">
        <f t="shared" si="20"/>
        <v/>
      </c>
      <c r="AH39" s="44">
        <f>SUM(AH37:AH38)</f>
        <v>0</v>
      </c>
      <c r="AI39" s="45">
        <f>SUM(AI37:AI38)</f>
        <v>0</v>
      </c>
      <c r="AJ39" s="45">
        <f>SUM(AJ37:AJ38)</f>
        <v>0</v>
      </c>
      <c r="AK39" s="45">
        <f t="shared" ref="AK39:AL39" si="21">SUM(AK37:AK38)</f>
        <v>0</v>
      </c>
      <c r="AL39" s="45">
        <f t="shared" si="21"/>
        <v>0</v>
      </c>
      <c r="AM39" s="50">
        <f>+Juin!AM39</f>
        <v>14.14</v>
      </c>
      <c r="AN39" s="51">
        <f>IF(A38="","",IF(A38&gt;NomMois,0,IF(A38&lt;$A$3,2.08,(NETWORKDAYS(A38,$A$2)/21.66667)*2.08)))</f>
        <v>2.08</v>
      </c>
      <c r="AO39" s="51">
        <f>IF( AN39="",0,+AN39+Juin!AO39)</f>
        <v>4.16</v>
      </c>
      <c r="AP39" s="50"/>
      <c r="AQ39" s="45">
        <f>+AM39-AI39</f>
        <v>14.14</v>
      </c>
      <c r="AR39" s="45">
        <f>+AP39-AJ39</f>
        <v>0</v>
      </c>
      <c r="AS39" s="102">
        <f t="shared" si="17"/>
        <v>18.3</v>
      </c>
    </row>
    <row r="40" spans="1:45" s="63" customFormat="1" ht="6.75" customHeight="1" x14ac:dyDescent="0.25">
      <c r="A40" s="60"/>
      <c r="B40" s="53"/>
      <c r="C40" s="60"/>
      <c r="D40" s="60"/>
      <c r="E40" s="60"/>
      <c r="F40" s="60"/>
      <c r="G40" s="60"/>
      <c r="H40" s="60"/>
      <c r="I40" s="60"/>
      <c r="J40" s="60"/>
      <c r="K40" s="60"/>
      <c r="L40" s="60"/>
      <c r="M40" s="60"/>
      <c r="N40" s="60"/>
      <c r="O40" s="60"/>
      <c r="P40" s="60"/>
      <c r="Q40" s="60"/>
      <c r="R40" s="60"/>
      <c r="S40" s="60"/>
      <c r="T40" s="60"/>
      <c r="U40" s="60"/>
      <c r="V40" s="60"/>
      <c r="W40" s="60"/>
      <c r="X40" s="60"/>
      <c r="Y40" s="60"/>
      <c r="Z40" s="60"/>
      <c r="AA40" s="60"/>
      <c r="AB40" s="60"/>
      <c r="AC40" s="60"/>
      <c r="AD40" s="60"/>
      <c r="AE40" s="60"/>
      <c r="AF40" s="60"/>
      <c r="AG40" s="60"/>
      <c r="AH40" s="61"/>
      <c r="AI40" s="61"/>
      <c r="AJ40" s="61"/>
      <c r="AK40" s="61"/>
      <c r="AL40" s="61"/>
      <c r="AM40" s="60"/>
      <c r="AN40" s="61"/>
      <c r="AO40" s="61"/>
      <c r="AP40" s="60"/>
      <c r="AQ40" s="61"/>
      <c r="AR40" s="61"/>
      <c r="AS40" s="65"/>
    </row>
    <row r="41" spans="1:45" s="63" customFormat="1" ht="12.95" customHeight="1" x14ac:dyDescent="0.25">
      <c r="A41" s="41"/>
      <c r="B41" s="42" t="s">
        <v>15</v>
      </c>
      <c r="C41" s="67"/>
      <c r="D41" s="43"/>
      <c r="E41" s="43" t="s">
        <v>7</v>
      </c>
      <c r="F41" s="43" t="s">
        <v>7</v>
      </c>
      <c r="G41" s="43" t="s">
        <v>7</v>
      </c>
      <c r="H41" s="43" t="s">
        <v>7</v>
      </c>
      <c r="I41" s="43" t="s">
        <v>7</v>
      </c>
      <c r="J41" s="43"/>
      <c r="K41" s="43"/>
      <c r="L41" s="43"/>
      <c r="M41" s="43"/>
      <c r="N41" s="43"/>
      <c r="O41" s="43"/>
      <c r="P41" s="43"/>
      <c r="Q41" s="43"/>
      <c r="R41" s="43"/>
      <c r="S41" s="43" t="s">
        <v>7</v>
      </c>
      <c r="T41" s="43" t="s">
        <v>7</v>
      </c>
      <c r="U41" s="43" t="s">
        <v>7</v>
      </c>
      <c r="V41" s="43" t="s">
        <v>7</v>
      </c>
      <c r="W41" s="43" t="s">
        <v>7</v>
      </c>
      <c r="X41" s="43"/>
      <c r="Y41" s="43"/>
      <c r="Z41" s="43" t="s">
        <v>7</v>
      </c>
      <c r="AA41" s="43" t="s">
        <v>7</v>
      </c>
      <c r="AB41" s="43" t="s">
        <v>7</v>
      </c>
      <c r="AC41" s="43" t="s">
        <v>7</v>
      </c>
      <c r="AD41" s="43" t="s">
        <v>7</v>
      </c>
      <c r="AE41" s="43"/>
      <c r="AF41" s="43"/>
      <c r="AG41" s="43"/>
      <c r="AH41" s="44">
        <f>COUNTA(Juillet!$C41:$AG41)</f>
        <v>15</v>
      </c>
      <c r="AI41" s="45">
        <f>(COUNTIFS(Juillet!$C41:$AG41,("cp")))/2+Juin!AI41</f>
        <v>7.5</v>
      </c>
      <c r="AJ41" s="45">
        <f>COUNTIFS(Juillet!$C41:$AG41,"RTT")/2+Juin!AJ41</f>
        <v>0</v>
      </c>
      <c r="AK41" s="45">
        <f>COUNTIFS(Juillet!$C41:$AG41,"m")/2+Juin!AK41</f>
        <v>0</v>
      </c>
      <c r="AL41" s="45">
        <f>COUNTIFS(Juillet!$C41:$AG41,"a")/2+Juin!AL41</f>
        <v>0</v>
      </c>
      <c r="AM41" s="46"/>
      <c r="AN41" s="47"/>
      <c r="AO41" s="47"/>
      <c r="AP41" s="46"/>
      <c r="AQ41" s="47"/>
      <c r="AR41" s="47"/>
      <c r="AS41" s="47"/>
    </row>
    <row r="42" spans="1:45" s="63" customFormat="1" ht="12.95" customHeight="1" x14ac:dyDescent="0.25">
      <c r="A42" s="48">
        <v>41821</v>
      </c>
      <c r="B42" s="42" t="s">
        <v>16</v>
      </c>
      <c r="C42" s="67"/>
      <c r="D42" s="43"/>
      <c r="E42" s="43" t="s">
        <v>7</v>
      </c>
      <c r="F42" s="43" t="s">
        <v>7</v>
      </c>
      <c r="G42" s="43" t="s">
        <v>7</v>
      </c>
      <c r="H42" s="43" t="s">
        <v>7</v>
      </c>
      <c r="I42" s="43" t="s">
        <v>7</v>
      </c>
      <c r="J42" s="43"/>
      <c r="K42" s="43"/>
      <c r="L42" s="43"/>
      <c r="M42" s="43"/>
      <c r="N42" s="43"/>
      <c r="O42" s="43"/>
      <c r="P42" s="43"/>
      <c r="Q42" s="43"/>
      <c r="R42" s="43"/>
      <c r="S42" s="43" t="s">
        <v>7</v>
      </c>
      <c r="T42" s="43" t="s">
        <v>7</v>
      </c>
      <c r="U42" s="43" t="s">
        <v>7</v>
      </c>
      <c r="V42" s="43" t="s">
        <v>7</v>
      </c>
      <c r="W42" s="43" t="s">
        <v>7</v>
      </c>
      <c r="X42" s="43"/>
      <c r="Y42" s="43"/>
      <c r="Z42" s="43" t="s">
        <v>7</v>
      </c>
      <c r="AA42" s="43" t="s">
        <v>7</v>
      </c>
      <c r="AB42" s="43" t="s">
        <v>7</v>
      </c>
      <c r="AC42" s="43" t="s">
        <v>7</v>
      </c>
      <c r="AD42" s="43" t="s">
        <v>7</v>
      </c>
      <c r="AE42" s="43"/>
      <c r="AF42" s="43"/>
      <c r="AG42" s="43"/>
      <c r="AH42" s="44">
        <f>COUNTA(Juillet!$C42:$AG42)</f>
        <v>15</v>
      </c>
      <c r="AI42" s="45">
        <f>(COUNTIFS(Juillet!$C42:$AG42,("cp")))/2+Juin!AI42</f>
        <v>7.5</v>
      </c>
      <c r="AJ42" s="45">
        <f>COUNTIFS(Juillet!$C42:$AG42,"RTT")/2+Juin!AJ42</f>
        <v>0</v>
      </c>
      <c r="AK42" s="45">
        <f>COUNTIFS(Juillet!$C42:$AG42,"m")/2+Juin!AK42</f>
        <v>0</v>
      </c>
      <c r="AL42" s="45">
        <f>COUNTIFS(Juillet!$C42:$AG42,"a")/2+Juin!AL42</f>
        <v>0</v>
      </c>
      <c r="AM42" s="46"/>
      <c r="AN42" s="47"/>
      <c r="AO42" s="47"/>
      <c r="AP42" s="46"/>
      <c r="AQ42" s="47"/>
      <c r="AR42" s="47"/>
      <c r="AS42" s="101"/>
    </row>
    <row r="43" spans="1:45" s="63" customFormat="1" ht="12.95" customHeight="1" x14ac:dyDescent="0.25">
      <c r="A43" s="41"/>
      <c r="B43" s="42"/>
      <c r="C43" s="49" t="str">
        <f t="shared" ref="C43:AG43" si="22">IF(C41&gt;0,C41,IF(C42&gt;0,C42,""))</f>
        <v/>
      </c>
      <c r="D43" s="49" t="str">
        <f t="shared" si="22"/>
        <v/>
      </c>
      <c r="E43" s="49" t="str">
        <f t="shared" si="22"/>
        <v>CP</v>
      </c>
      <c r="F43" s="49" t="str">
        <f t="shared" si="22"/>
        <v>CP</v>
      </c>
      <c r="G43" s="49" t="str">
        <f t="shared" si="22"/>
        <v>CP</v>
      </c>
      <c r="H43" s="49" t="str">
        <f t="shared" si="22"/>
        <v>CP</v>
      </c>
      <c r="I43" s="49" t="str">
        <f t="shared" si="22"/>
        <v>CP</v>
      </c>
      <c r="J43" s="49" t="str">
        <f t="shared" si="22"/>
        <v/>
      </c>
      <c r="K43" s="49" t="str">
        <f t="shared" si="22"/>
        <v/>
      </c>
      <c r="L43" s="49" t="str">
        <f t="shared" si="22"/>
        <v/>
      </c>
      <c r="M43" s="49" t="str">
        <f t="shared" si="22"/>
        <v/>
      </c>
      <c r="N43" s="49" t="str">
        <f t="shared" si="22"/>
        <v/>
      </c>
      <c r="O43" s="49" t="str">
        <f t="shared" si="22"/>
        <v/>
      </c>
      <c r="P43" s="49" t="str">
        <f t="shared" si="22"/>
        <v/>
      </c>
      <c r="Q43" s="49" t="str">
        <f t="shared" si="22"/>
        <v/>
      </c>
      <c r="R43" s="49" t="str">
        <f t="shared" si="22"/>
        <v/>
      </c>
      <c r="S43" s="49" t="str">
        <f t="shared" si="22"/>
        <v>CP</v>
      </c>
      <c r="T43" s="49" t="str">
        <f t="shared" si="22"/>
        <v>CP</v>
      </c>
      <c r="U43" s="49" t="str">
        <f t="shared" si="22"/>
        <v>CP</v>
      </c>
      <c r="V43" s="49" t="str">
        <f t="shared" si="22"/>
        <v>CP</v>
      </c>
      <c r="W43" s="49" t="str">
        <f t="shared" si="22"/>
        <v>CP</v>
      </c>
      <c r="X43" s="49" t="str">
        <f t="shared" si="22"/>
        <v/>
      </c>
      <c r="Y43" s="49" t="str">
        <f t="shared" si="22"/>
        <v/>
      </c>
      <c r="Z43" s="49" t="str">
        <f t="shared" si="22"/>
        <v>CP</v>
      </c>
      <c r="AA43" s="49" t="str">
        <f t="shared" si="22"/>
        <v>CP</v>
      </c>
      <c r="AB43" s="49" t="str">
        <f t="shared" si="22"/>
        <v>CP</v>
      </c>
      <c r="AC43" s="49" t="str">
        <f t="shared" si="22"/>
        <v>CP</v>
      </c>
      <c r="AD43" s="49" t="str">
        <f t="shared" si="22"/>
        <v>CP</v>
      </c>
      <c r="AE43" s="49" t="str">
        <f t="shared" si="22"/>
        <v/>
      </c>
      <c r="AF43" s="49" t="str">
        <f t="shared" si="22"/>
        <v/>
      </c>
      <c r="AG43" s="49" t="str">
        <f t="shared" si="22"/>
        <v/>
      </c>
      <c r="AH43" s="44">
        <f>SUM(AH41:AH42)</f>
        <v>30</v>
      </c>
      <c r="AI43" s="45">
        <f>SUM(AI41:AI42)</f>
        <v>15</v>
      </c>
      <c r="AJ43" s="45">
        <f>SUM(AJ41:AJ42)</f>
        <v>0</v>
      </c>
      <c r="AK43" s="45">
        <f t="shared" ref="AK43:AL43" si="23">SUM(AK41:AK42)</f>
        <v>0</v>
      </c>
      <c r="AL43" s="45">
        <f t="shared" si="23"/>
        <v>0</v>
      </c>
      <c r="AM43" s="50">
        <f>+Juin!AM43</f>
        <v>20.38</v>
      </c>
      <c r="AN43" s="51">
        <f>IF(A42="","",IF(A42&gt;NomMois,0,IF(A42&lt;$A$3,2.08,(NETWORKDAYS(A42,$A$2)/21.66667)*2.08)))</f>
        <v>2.08</v>
      </c>
      <c r="AO43" s="51">
        <f>IF( AN43="",0,+AN43+Juin!AO43)</f>
        <v>4.16</v>
      </c>
      <c r="AP43" s="50"/>
      <c r="AQ43" s="45">
        <f>+AM43-AI43</f>
        <v>5.379999999999999</v>
      </c>
      <c r="AR43" s="45">
        <f>+AP43-AJ43</f>
        <v>0</v>
      </c>
      <c r="AS43" s="102">
        <f t="shared" si="17"/>
        <v>9.5399999999999991</v>
      </c>
    </row>
    <row r="44" spans="1:45" s="63" customFormat="1" ht="6.75" customHeight="1" x14ac:dyDescent="0.25">
      <c r="A44" s="60"/>
      <c r="B44" s="53"/>
      <c r="C44" s="60"/>
      <c r="D44" s="60"/>
      <c r="E44" s="60"/>
      <c r="F44" s="60"/>
      <c r="G44" s="60"/>
      <c r="H44" s="60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61">
        <f>COUNTA(Juillet!$C44:$AG44)</f>
        <v>0</v>
      </c>
      <c r="AI44" s="61">
        <f>(COUNTIFS(Juillet!$C44:$AF44,("cp")))/2</f>
        <v>0</v>
      </c>
      <c r="AJ44" s="61">
        <f>COUNTIFS(Juillet!$C44:$AF44,"RTT")/2</f>
        <v>0</v>
      </c>
      <c r="AK44" s="61">
        <f>COUNTIFS(Juillet!$C44:$AF44,"m")/2</f>
        <v>0</v>
      </c>
      <c r="AL44" s="61">
        <f>COUNTIFS(Juillet!$C44:$AF44,"a")/2</f>
        <v>0</v>
      </c>
      <c r="AM44" s="60"/>
      <c r="AN44" s="61"/>
      <c r="AO44" s="61"/>
      <c r="AP44" s="60"/>
      <c r="AQ44" s="69"/>
      <c r="AR44" s="69"/>
      <c r="AS44" s="65"/>
    </row>
    <row r="45" spans="1:45" s="63" customFormat="1" ht="12.95" customHeight="1" x14ac:dyDescent="0.25">
      <c r="A45" s="41"/>
      <c r="B45" s="42" t="s">
        <v>15</v>
      </c>
      <c r="C45" s="67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4">
        <f>COUNTA(Juillet!$C45:$AG45)</f>
        <v>0</v>
      </c>
      <c r="AI45" s="45">
        <f>(COUNTIFS(Juillet!$C45:$AG45,("cp")))/2+Juin!AI45</f>
        <v>0</v>
      </c>
      <c r="AJ45" s="45">
        <f>COUNTIFS(Juillet!$C45:$AG45,"RTT")/2+Juin!AJ45</f>
        <v>0</v>
      </c>
      <c r="AK45" s="45">
        <f>COUNTIFS(Juillet!$C45:$AG45,"m")/2+Juin!AK45</f>
        <v>0</v>
      </c>
      <c r="AL45" s="45">
        <f>COUNTIFS(Juillet!$C45:$AG45,"a")/2+Juin!AL45</f>
        <v>0</v>
      </c>
      <c r="AM45" s="46"/>
      <c r="AN45" s="47"/>
      <c r="AO45" s="47"/>
      <c r="AP45" s="46"/>
      <c r="AQ45" s="47"/>
      <c r="AR45" s="47"/>
      <c r="AS45" s="47"/>
    </row>
    <row r="46" spans="1:45" s="63" customFormat="1" ht="12.95" customHeight="1" x14ac:dyDescent="0.25">
      <c r="A46" s="48">
        <v>40575</v>
      </c>
      <c r="B46" s="42" t="s">
        <v>16</v>
      </c>
      <c r="C46" s="67"/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3"/>
      <c r="AC46" s="43" t="s">
        <v>7</v>
      </c>
      <c r="AD46" s="43"/>
      <c r="AE46" s="43"/>
      <c r="AF46" s="43"/>
      <c r="AG46" s="43"/>
      <c r="AH46" s="44">
        <f>COUNTA(Juillet!$C46:$AG46)</f>
        <v>1</v>
      </c>
      <c r="AI46" s="45">
        <f>(COUNTIFS(Juillet!$C46:$AG46,("cp")))/2+Juin!AI46</f>
        <v>0.5</v>
      </c>
      <c r="AJ46" s="45">
        <f>COUNTIFS(Juillet!$C46:$AG46,"RTT")/2+Juin!AJ46</f>
        <v>0</v>
      </c>
      <c r="AK46" s="45">
        <f>COUNTIFS(Juillet!$C46:$AG46,"m")/2+Juin!AK46</f>
        <v>0</v>
      </c>
      <c r="AL46" s="45">
        <f>COUNTIFS(Juillet!$C46:$AG46,"a")/2+Juin!AL46</f>
        <v>0</v>
      </c>
      <c r="AM46" s="46"/>
      <c r="AN46" s="47"/>
      <c r="AO46" s="47"/>
      <c r="AP46" s="46"/>
      <c r="AQ46" s="47"/>
      <c r="AR46" s="47"/>
      <c r="AS46" s="101"/>
    </row>
    <row r="47" spans="1:45" s="63" customFormat="1" ht="12.95" customHeight="1" x14ac:dyDescent="0.25">
      <c r="A47" s="41"/>
      <c r="B47" s="42"/>
      <c r="C47" s="49" t="str">
        <f t="shared" ref="C47:AG47" si="24">IF(C45&gt;0,C45,IF(C46&gt;0,C46,""))</f>
        <v/>
      </c>
      <c r="D47" s="49" t="str">
        <f t="shared" si="24"/>
        <v/>
      </c>
      <c r="E47" s="49" t="str">
        <f t="shared" si="24"/>
        <v/>
      </c>
      <c r="F47" s="49" t="str">
        <f t="shared" si="24"/>
        <v/>
      </c>
      <c r="G47" s="49" t="str">
        <f t="shared" si="24"/>
        <v/>
      </c>
      <c r="H47" s="49" t="str">
        <f t="shared" si="24"/>
        <v/>
      </c>
      <c r="I47" s="49" t="str">
        <f t="shared" si="24"/>
        <v/>
      </c>
      <c r="J47" s="49" t="str">
        <f t="shared" si="24"/>
        <v/>
      </c>
      <c r="K47" s="49" t="str">
        <f t="shared" si="24"/>
        <v/>
      </c>
      <c r="L47" s="49" t="str">
        <f t="shared" si="24"/>
        <v/>
      </c>
      <c r="M47" s="49" t="str">
        <f t="shared" si="24"/>
        <v/>
      </c>
      <c r="N47" s="49" t="str">
        <f t="shared" si="24"/>
        <v/>
      </c>
      <c r="O47" s="49" t="str">
        <f t="shared" si="24"/>
        <v/>
      </c>
      <c r="P47" s="49" t="str">
        <f t="shared" si="24"/>
        <v/>
      </c>
      <c r="Q47" s="49" t="str">
        <f t="shared" si="24"/>
        <v/>
      </c>
      <c r="R47" s="49" t="str">
        <f t="shared" si="24"/>
        <v/>
      </c>
      <c r="S47" s="49" t="str">
        <f t="shared" si="24"/>
        <v/>
      </c>
      <c r="T47" s="49" t="str">
        <f t="shared" si="24"/>
        <v/>
      </c>
      <c r="U47" s="49" t="str">
        <f t="shared" si="24"/>
        <v/>
      </c>
      <c r="V47" s="49" t="str">
        <f t="shared" si="24"/>
        <v/>
      </c>
      <c r="W47" s="49" t="str">
        <f t="shared" si="24"/>
        <v/>
      </c>
      <c r="X47" s="49" t="str">
        <f t="shared" si="24"/>
        <v/>
      </c>
      <c r="Y47" s="49" t="str">
        <f t="shared" si="24"/>
        <v/>
      </c>
      <c r="Z47" s="49" t="str">
        <f t="shared" si="24"/>
        <v/>
      </c>
      <c r="AA47" s="49" t="str">
        <f t="shared" si="24"/>
        <v/>
      </c>
      <c r="AB47" s="49" t="str">
        <f t="shared" si="24"/>
        <v/>
      </c>
      <c r="AC47" s="49" t="str">
        <f t="shared" si="24"/>
        <v>CP</v>
      </c>
      <c r="AD47" s="49" t="str">
        <f t="shared" si="24"/>
        <v/>
      </c>
      <c r="AE47" s="49" t="str">
        <f t="shared" si="24"/>
        <v/>
      </c>
      <c r="AF47" s="49" t="str">
        <f t="shared" si="24"/>
        <v/>
      </c>
      <c r="AG47" s="49" t="str">
        <f t="shared" si="24"/>
        <v/>
      </c>
      <c r="AH47" s="44">
        <f>SUM(AH45:AH46)</f>
        <v>1</v>
      </c>
      <c r="AI47" s="45">
        <f>SUM(AI45:AI46)</f>
        <v>0.5</v>
      </c>
      <c r="AJ47" s="45">
        <f>SUM(AJ45:AJ46)</f>
        <v>0</v>
      </c>
      <c r="AK47" s="45">
        <f t="shared" ref="AK47:AL47" si="25">SUM(AK45:AK46)</f>
        <v>0</v>
      </c>
      <c r="AL47" s="45">
        <f t="shared" si="25"/>
        <v>0</v>
      </c>
      <c r="AM47" s="50">
        <f>+Juin!AM47</f>
        <v>24.96</v>
      </c>
      <c r="AN47" s="51">
        <f>IF(A46="","",IF(A46&gt;NomMois,0,IF(A46&lt;$A$3,2.08,(NETWORKDAYS(A46,$A$2)/21.66667)*2.08)))</f>
        <v>2.08</v>
      </c>
      <c r="AO47" s="51">
        <f>IF( AN47="",0,+AN47+Juin!AO47)</f>
        <v>4.16</v>
      </c>
      <c r="AP47" s="50"/>
      <c r="AQ47" s="45">
        <f>+AM47-AI47</f>
        <v>24.46</v>
      </c>
      <c r="AR47" s="45">
        <f>+AP47-AJ47</f>
        <v>0</v>
      </c>
      <c r="AS47" s="102">
        <f t="shared" si="17"/>
        <v>28.62</v>
      </c>
    </row>
    <row r="48" spans="1:45" s="63" customFormat="1" ht="6.75" customHeight="1" x14ac:dyDescent="0.25">
      <c r="A48" s="60"/>
      <c r="B48" s="53"/>
      <c r="C48" s="60"/>
      <c r="D48" s="60"/>
      <c r="E48" s="60"/>
      <c r="F48" s="60"/>
      <c r="G48" s="60"/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60"/>
      <c r="Z48" s="60"/>
      <c r="AA48" s="60"/>
      <c r="AB48" s="60"/>
      <c r="AC48" s="60"/>
      <c r="AD48" s="60"/>
      <c r="AE48" s="60"/>
      <c r="AF48" s="60"/>
      <c r="AG48" s="60"/>
      <c r="AH48" s="61"/>
      <c r="AI48" s="61"/>
      <c r="AJ48" s="61"/>
      <c r="AK48" s="61"/>
      <c r="AL48" s="61"/>
      <c r="AM48" s="60"/>
      <c r="AN48" s="61"/>
      <c r="AO48" s="61"/>
      <c r="AP48" s="60"/>
      <c r="AQ48" s="69"/>
      <c r="AR48" s="69"/>
      <c r="AS48" s="65"/>
    </row>
    <row r="49" spans="1:45" s="63" customFormat="1" ht="12.95" customHeight="1" x14ac:dyDescent="0.25">
      <c r="A49" s="41"/>
      <c r="B49" s="42" t="s">
        <v>15</v>
      </c>
      <c r="C49" s="67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 t="s">
        <v>7</v>
      </c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  <c r="AA49" s="43"/>
      <c r="AB49" s="43"/>
      <c r="AC49" s="43"/>
      <c r="AD49" s="43"/>
      <c r="AE49" s="43"/>
      <c r="AF49" s="43"/>
      <c r="AG49" s="43"/>
      <c r="AH49" s="44">
        <f>COUNTA(Juillet!$C49:$AG49)</f>
        <v>1</v>
      </c>
      <c r="AI49" s="45">
        <f>(COUNTIFS(Juillet!$C49:$AG49,("cp")))/2+Juin!AI49</f>
        <v>0.5</v>
      </c>
      <c r="AJ49" s="45">
        <f>COUNTIFS(Juillet!$C49:$AG49,"RTT")/2+Juin!AJ49</f>
        <v>0</v>
      </c>
      <c r="AK49" s="45">
        <f>COUNTIFS(Juillet!$C49:$AG49,"m")/2+Juin!AK49</f>
        <v>0</v>
      </c>
      <c r="AL49" s="45">
        <f>COUNTIFS(Juillet!$C49:$AG49,"a")/2+Juin!AL49</f>
        <v>0</v>
      </c>
      <c r="AM49" s="46"/>
      <c r="AN49" s="47"/>
      <c r="AO49" s="47"/>
      <c r="AP49" s="46"/>
      <c r="AQ49" s="47"/>
      <c r="AR49" s="47"/>
      <c r="AS49" s="47"/>
    </row>
    <row r="50" spans="1:45" s="63" customFormat="1" ht="12.95" customHeight="1" x14ac:dyDescent="0.25">
      <c r="A50" s="48">
        <v>42793</v>
      </c>
      <c r="B50" s="42" t="s">
        <v>16</v>
      </c>
      <c r="C50" s="67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 t="s">
        <v>7</v>
      </c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  <c r="AA50" s="43"/>
      <c r="AB50" s="43"/>
      <c r="AC50" s="43"/>
      <c r="AD50" s="43"/>
      <c r="AE50" s="43"/>
      <c r="AF50" s="43"/>
      <c r="AG50" s="43"/>
      <c r="AH50" s="44">
        <f>COUNTA(Juillet!$C50:$AG50)</f>
        <v>1</v>
      </c>
      <c r="AI50" s="45">
        <f>(COUNTIFS(Juillet!$C50:$AG50,("cp")))/2+Juin!AI50</f>
        <v>0.5</v>
      </c>
      <c r="AJ50" s="45">
        <f>COUNTIFS(Juillet!$C50:$AG50,"RTT")/2+Juin!AJ50</f>
        <v>0</v>
      </c>
      <c r="AK50" s="45">
        <f>COUNTIFS(Juillet!$C50:$AG50,"m")/2+Juin!AK50</f>
        <v>0</v>
      </c>
      <c r="AL50" s="45">
        <f>COUNTIFS(Juillet!$C50:$AG50,"a")/2+Juin!AL50</f>
        <v>0</v>
      </c>
      <c r="AM50" s="46"/>
      <c r="AN50" s="47"/>
      <c r="AO50" s="47"/>
      <c r="AP50" s="46"/>
      <c r="AQ50" s="47"/>
      <c r="AR50" s="47"/>
      <c r="AS50" s="101"/>
    </row>
    <row r="51" spans="1:45" s="63" customFormat="1" ht="12.95" customHeight="1" x14ac:dyDescent="0.25">
      <c r="A51" s="41"/>
      <c r="B51" s="42"/>
      <c r="C51" s="49" t="str">
        <f t="shared" ref="C51:AG51" si="26">IF(C49&gt;0,C49,IF(C50&gt;0,C50,""))</f>
        <v/>
      </c>
      <c r="D51" s="49" t="str">
        <f t="shared" si="26"/>
        <v/>
      </c>
      <c r="E51" s="49" t="str">
        <f t="shared" si="26"/>
        <v/>
      </c>
      <c r="F51" s="49" t="str">
        <f t="shared" si="26"/>
        <v/>
      </c>
      <c r="G51" s="49" t="str">
        <f t="shared" si="26"/>
        <v/>
      </c>
      <c r="H51" s="49" t="str">
        <f t="shared" si="26"/>
        <v/>
      </c>
      <c r="I51" s="49" t="str">
        <f t="shared" si="26"/>
        <v/>
      </c>
      <c r="J51" s="49" t="str">
        <f t="shared" si="26"/>
        <v/>
      </c>
      <c r="K51" s="49" t="str">
        <f t="shared" si="26"/>
        <v/>
      </c>
      <c r="L51" s="49" t="str">
        <f t="shared" si="26"/>
        <v/>
      </c>
      <c r="M51" s="49" t="str">
        <f t="shared" si="26"/>
        <v/>
      </c>
      <c r="N51" s="49" t="str">
        <f t="shared" si="26"/>
        <v/>
      </c>
      <c r="O51" s="49" t="str">
        <f t="shared" si="26"/>
        <v>CP</v>
      </c>
      <c r="P51" s="49" t="str">
        <f t="shared" si="26"/>
        <v/>
      </c>
      <c r="Q51" s="49" t="str">
        <f t="shared" si="26"/>
        <v/>
      </c>
      <c r="R51" s="49" t="str">
        <f t="shared" si="26"/>
        <v/>
      </c>
      <c r="S51" s="49" t="str">
        <f t="shared" si="26"/>
        <v/>
      </c>
      <c r="T51" s="49" t="str">
        <f t="shared" si="26"/>
        <v/>
      </c>
      <c r="U51" s="49" t="str">
        <f t="shared" si="26"/>
        <v/>
      </c>
      <c r="V51" s="49" t="str">
        <f t="shared" si="26"/>
        <v/>
      </c>
      <c r="W51" s="49" t="str">
        <f t="shared" si="26"/>
        <v/>
      </c>
      <c r="X51" s="49" t="str">
        <f t="shared" si="26"/>
        <v/>
      </c>
      <c r="Y51" s="49" t="str">
        <f t="shared" si="26"/>
        <v/>
      </c>
      <c r="Z51" s="49" t="str">
        <f t="shared" si="26"/>
        <v/>
      </c>
      <c r="AA51" s="49" t="str">
        <f t="shared" si="26"/>
        <v/>
      </c>
      <c r="AB51" s="49" t="str">
        <f t="shared" si="26"/>
        <v/>
      </c>
      <c r="AC51" s="49" t="str">
        <f t="shared" si="26"/>
        <v/>
      </c>
      <c r="AD51" s="49" t="str">
        <f t="shared" si="26"/>
        <v/>
      </c>
      <c r="AE51" s="49" t="str">
        <f t="shared" si="26"/>
        <v/>
      </c>
      <c r="AF51" s="49" t="str">
        <f t="shared" si="26"/>
        <v/>
      </c>
      <c r="AG51" s="49" t="str">
        <f t="shared" si="26"/>
        <v/>
      </c>
      <c r="AH51" s="44">
        <f>SUM(AH49:AH50)</f>
        <v>2</v>
      </c>
      <c r="AI51" s="45">
        <f>SUM(AI49:AI50)</f>
        <v>1</v>
      </c>
      <c r="AJ51" s="45">
        <f>SUM(AJ49:AJ50)</f>
        <v>0</v>
      </c>
      <c r="AK51" s="45">
        <f t="shared" ref="AK51:AL51" si="27">SUM(AK49:AK50)</f>
        <v>0</v>
      </c>
      <c r="AL51" s="45">
        <f t="shared" si="27"/>
        <v>0</v>
      </c>
      <c r="AM51" s="50">
        <f>+Juin!AM51</f>
        <v>6.41</v>
      </c>
      <c r="AN51" s="51">
        <f>IF(A50="","",IF(A50&gt;NomMois,0,IF(A50&lt;$A$3,2.08,(NETWORKDAYS(A50,$A$2)/21.66667)*2.08)))</f>
        <v>2.08</v>
      </c>
      <c r="AO51" s="51">
        <f>IF( AN51="",0,+AN51+Juin!AO51)</f>
        <v>4.16</v>
      </c>
      <c r="AP51" s="50"/>
      <c r="AQ51" s="45">
        <f>+AM51-AI51</f>
        <v>5.41</v>
      </c>
      <c r="AR51" s="45">
        <f>+AP51-AJ51</f>
        <v>0</v>
      </c>
      <c r="AS51" s="102">
        <f t="shared" si="17"/>
        <v>9.57</v>
      </c>
    </row>
    <row r="52" spans="1:45" s="63" customFormat="1" ht="6.75" customHeight="1" x14ac:dyDescent="0.25">
      <c r="A52" s="60"/>
      <c r="B52" s="53"/>
      <c r="C52" s="60"/>
      <c r="D52" s="60"/>
      <c r="E52" s="60"/>
      <c r="F52" s="60"/>
      <c r="G52" s="60"/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0"/>
      <c r="W52" s="60"/>
      <c r="X52" s="60"/>
      <c r="Y52" s="60"/>
      <c r="Z52" s="60"/>
      <c r="AA52" s="60"/>
      <c r="AB52" s="60"/>
      <c r="AC52" s="60"/>
      <c r="AD52" s="60"/>
      <c r="AE52" s="60"/>
      <c r="AF52" s="60"/>
      <c r="AG52" s="60"/>
      <c r="AH52" s="61"/>
      <c r="AI52" s="61"/>
      <c r="AJ52" s="61"/>
      <c r="AK52" s="61"/>
      <c r="AL52" s="61"/>
      <c r="AM52" s="60"/>
      <c r="AN52" s="61"/>
      <c r="AO52" s="61"/>
      <c r="AP52" s="60"/>
      <c r="AQ52" s="69"/>
      <c r="AR52" s="69"/>
      <c r="AS52" s="65"/>
    </row>
    <row r="53" spans="1:45" s="63" customFormat="1" ht="12.95" customHeight="1" x14ac:dyDescent="0.25">
      <c r="A53" s="41"/>
      <c r="B53" s="42" t="s">
        <v>15</v>
      </c>
      <c r="C53" s="67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 t="s">
        <v>7</v>
      </c>
      <c r="V53" s="43" t="s">
        <v>7</v>
      </c>
      <c r="W53" s="43" t="s">
        <v>7</v>
      </c>
      <c r="X53" s="43"/>
      <c r="Y53" s="43"/>
      <c r="Z53" s="43" t="s">
        <v>7</v>
      </c>
      <c r="AA53" s="43" t="s">
        <v>7</v>
      </c>
      <c r="AB53" s="43" t="s">
        <v>7</v>
      </c>
      <c r="AC53" s="43" t="s">
        <v>7</v>
      </c>
      <c r="AD53" s="43" t="s">
        <v>7</v>
      </c>
      <c r="AE53" s="43"/>
      <c r="AF53" s="43"/>
      <c r="AG53" s="43" t="s">
        <v>7</v>
      </c>
      <c r="AH53" s="44">
        <f>COUNTA(Juillet!$C53:$AG53)</f>
        <v>9</v>
      </c>
      <c r="AI53" s="45">
        <f>(COUNTIFS(Juillet!$C53:$AG53,("cp")))/2+Juin!AI53</f>
        <v>4.5</v>
      </c>
      <c r="AJ53" s="45">
        <f>COUNTIFS(Juillet!$C53:$AG53,"RTT")/2+Juin!AJ53</f>
        <v>0</v>
      </c>
      <c r="AK53" s="45">
        <f>COUNTIFS(Juillet!$C53:$AG53,"m")/2+Juin!AK53</f>
        <v>0</v>
      </c>
      <c r="AL53" s="45">
        <f>COUNTIFS(Juillet!$C53:$AG53,"a")/2+Juin!AL53</f>
        <v>0</v>
      </c>
      <c r="AM53" s="46"/>
      <c r="AN53" s="47"/>
      <c r="AO53" s="47"/>
      <c r="AP53" s="46"/>
      <c r="AQ53" s="47"/>
      <c r="AR53" s="47"/>
      <c r="AS53" s="47"/>
    </row>
    <row r="54" spans="1:45" s="63" customFormat="1" ht="12.95" customHeight="1" x14ac:dyDescent="0.25">
      <c r="A54" s="48">
        <v>42660</v>
      </c>
      <c r="B54" s="42" t="s">
        <v>16</v>
      </c>
      <c r="C54" s="67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 t="s">
        <v>7</v>
      </c>
      <c r="V54" s="43" t="s">
        <v>7</v>
      </c>
      <c r="W54" s="43" t="s">
        <v>7</v>
      </c>
      <c r="X54" s="43"/>
      <c r="Y54" s="43"/>
      <c r="Z54" s="43" t="s">
        <v>7</v>
      </c>
      <c r="AA54" s="43" t="s">
        <v>7</v>
      </c>
      <c r="AB54" s="43" t="s">
        <v>7</v>
      </c>
      <c r="AC54" s="43" t="s">
        <v>7</v>
      </c>
      <c r="AD54" s="43" t="s">
        <v>7</v>
      </c>
      <c r="AE54" s="43"/>
      <c r="AF54" s="43"/>
      <c r="AG54" s="43" t="s">
        <v>7</v>
      </c>
      <c r="AH54" s="44">
        <f>COUNTA(Juillet!$C54:$AG54)</f>
        <v>9</v>
      </c>
      <c r="AI54" s="45">
        <f>(COUNTIFS(Juillet!$C54:$AG54,("cp")))/2+Juin!AI54</f>
        <v>4.5</v>
      </c>
      <c r="AJ54" s="45">
        <f>COUNTIFS(Juillet!$C54:$AG54,"RTT")/2+Juin!AJ54</f>
        <v>0</v>
      </c>
      <c r="AK54" s="45">
        <f>COUNTIFS(Juillet!$C54:$AG54,"m")/2+Juin!AK54</f>
        <v>0</v>
      </c>
      <c r="AL54" s="45">
        <f>COUNTIFS(Juillet!$C54:$AG54,"a")/2+Juin!AL54</f>
        <v>0</v>
      </c>
      <c r="AM54" s="46"/>
      <c r="AN54" s="47"/>
      <c r="AO54" s="47"/>
      <c r="AP54" s="46"/>
      <c r="AQ54" s="47"/>
      <c r="AR54" s="47"/>
      <c r="AS54" s="101"/>
    </row>
    <row r="55" spans="1:45" s="63" customFormat="1" ht="12.95" customHeight="1" x14ac:dyDescent="0.25">
      <c r="A55" s="41"/>
      <c r="B55" s="42"/>
      <c r="C55" s="49" t="str">
        <f t="shared" ref="C55:AG55" si="28">IF(C53&gt;0,C53,IF(C54&gt;0,C54,""))</f>
        <v/>
      </c>
      <c r="D55" s="49" t="str">
        <f t="shared" si="28"/>
        <v/>
      </c>
      <c r="E55" s="49" t="str">
        <f t="shared" si="28"/>
        <v/>
      </c>
      <c r="F55" s="49" t="str">
        <f t="shared" si="28"/>
        <v/>
      </c>
      <c r="G55" s="49" t="str">
        <f t="shared" si="28"/>
        <v/>
      </c>
      <c r="H55" s="49" t="str">
        <f t="shared" si="28"/>
        <v/>
      </c>
      <c r="I55" s="49" t="str">
        <f t="shared" si="28"/>
        <v/>
      </c>
      <c r="J55" s="49" t="str">
        <f t="shared" si="28"/>
        <v/>
      </c>
      <c r="K55" s="49" t="str">
        <f t="shared" si="28"/>
        <v/>
      </c>
      <c r="L55" s="49" t="str">
        <f t="shared" si="28"/>
        <v/>
      </c>
      <c r="M55" s="49" t="str">
        <f t="shared" si="28"/>
        <v/>
      </c>
      <c r="N55" s="49" t="str">
        <f t="shared" si="28"/>
        <v/>
      </c>
      <c r="O55" s="49" t="str">
        <f t="shared" si="28"/>
        <v/>
      </c>
      <c r="P55" s="49" t="str">
        <f t="shared" si="28"/>
        <v/>
      </c>
      <c r="Q55" s="49" t="str">
        <f t="shared" si="28"/>
        <v/>
      </c>
      <c r="R55" s="49" t="str">
        <f t="shared" si="28"/>
        <v/>
      </c>
      <c r="S55" s="49" t="str">
        <f t="shared" si="28"/>
        <v/>
      </c>
      <c r="T55" s="49" t="str">
        <f t="shared" si="28"/>
        <v/>
      </c>
      <c r="U55" s="49" t="str">
        <f t="shared" si="28"/>
        <v>CP</v>
      </c>
      <c r="V55" s="49" t="str">
        <f t="shared" si="28"/>
        <v>CP</v>
      </c>
      <c r="W55" s="49" t="str">
        <f t="shared" si="28"/>
        <v>CP</v>
      </c>
      <c r="X55" s="49" t="str">
        <f t="shared" si="28"/>
        <v/>
      </c>
      <c r="Y55" s="49" t="str">
        <f t="shared" si="28"/>
        <v/>
      </c>
      <c r="Z55" s="49" t="str">
        <f t="shared" si="28"/>
        <v>CP</v>
      </c>
      <c r="AA55" s="49" t="str">
        <f t="shared" si="28"/>
        <v>CP</v>
      </c>
      <c r="AB55" s="49" t="str">
        <f t="shared" si="28"/>
        <v>CP</v>
      </c>
      <c r="AC55" s="49" t="str">
        <f t="shared" si="28"/>
        <v>CP</v>
      </c>
      <c r="AD55" s="49" t="str">
        <f t="shared" si="28"/>
        <v>CP</v>
      </c>
      <c r="AE55" s="49" t="str">
        <f t="shared" si="28"/>
        <v/>
      </c>
      <c r="AF55" s="49" t="str">
        <f t="shared" si="28"/>
        <v/>
      </c>
      <c r="AG55" s="49" t="str">
        <f t="shared" si="28"/>
        <v>CP</v>
      </c>
      <c r="AH55" s="44">
        <f>SUM(AH53:AH54)</f>
        <v>18</v>
      </c>
      <c r="AI55" s="45">
        <f>SUM(AI53:AI54)</f>
        <v>9</v>
      </c>
      <c r="AJ55" s="45">
        <f>SUM(AJ53:AJ54)</f>
        <v>0</v>
      </c>
      <c r="AK55" s="45">
        <f t="shared" ref="AK55:AL55" si="29">SUM(AK53:AK54)</f>
        <v>0</v>
      </c>
      <c r="AL55" s="45">
        <f t="shared" si="29"/>
        <v>0</v>
      </c>
      <c r="AM55" s="50">
        <f>+Juin!AM55</f>
        <v>15.68</v>
      </c>
      <c r="AN55" s="51">
        <f>IF(A54="","",IF(A54&gt;NomMois,0,IF(A54&lt;$A$3,2.08,(NETWORKDAYS(A54,$A$2)/21.66667)*2.08)))</f>
        <v>2.08</v>
      </c>
      <c r="AO55" s="51">
        <f>IF( AN55="",0,+AN55+Juin!AO55)</f>
        <v>4.16</v>
      </c>
      <c r="AP55" s="50"/>
      <c r="AQ55" s="45">
        <f>+AM55-AI55</f>
        <v>6.68</v>
      </c>
      <c r="AR55" s="45">
        <f>+AP55-AJ55</f>
        <v>0</v>
      </c>
      <c r="AS55" s="102">
        <f t="shared" si="17"/>
        <v>10.84</v>
      </c>
    </row>
    <row r="56" spans="1:45" s="63" customFormat="1" ht="6.75" customHeight="1" x14ac:dyDescent="0.25">
      <c r="A56" s="60"/>
      <c r="B56" s="53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60"/>
      <c r="X56" s="60"/>
      <c r="Y56" s="60"/>
      <c r="Z56" s="60"/>
      <c r="AA56" s="60"/>
      <c r="AB56" s="60"/>
      <c r="AC56" s="60"/>
      <c r="AD56" s="60"/>
      <c r="AE56" s="60"/>
      <c r="AF56" s="60"/>
      <c r="AG56" s="60"/>
      <c r="AH56" s="61"/>
      <c r="AI56" s="61"/>
      <c r="AJ56" s="61"/>
      <c r="AK56" s="61"/>
      <c r="AL56" s="61"/>
      <c r="AM56" s="60"/>
      <c r="AN56" s="61"/>
      <c r="AO56" s="61"/>
      <c r="AP56" s="60"/>
      <c r="AQ56" s="69"/>
      <c r="AR56" s="69"/>
      <c r="AS56" s="65"/>
    </row>
    <row r="57" spans="1:45" s="63" customFormat="1" ht="12.95" customHeight="1" x14ac:dyDescent="0.25">
      <c r="A57" s="41"/>
      <c r="B57" s="42" t="s">
        <v>15</v>
      </c>
      <c r="C57" s="67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3"/>
      <c r="AB57" s="43"/>
      <c r="AC57" s="43"/>
      <c r="AD57" s="43"/>
      <c r="AE57" s="43"/>
      <c r="AF57" s="43"/>
      <c r="AG57" s="43"/>
      <c r="AH57" s="44">
        <f>COUNTA(Juillet!$C57:$AG57)</f>
        <v>0</v>
      </c>
      <c r="AI57" s="45">
        <f>(COUNTIFS(Juillet!$C57:$AG57,("cp")))/2+Juin!AI57</f>
        <v>0</v>
      </c>
      <c r="AJ57" s="45">
        <f>COUNTIFS(Juillet!$C57:$AG57,"RTT")/2+Juin!AJ57</f>
        <v>0</v>
      </c>
      <c r="AK57" s="45">
        <f>COUNTIFS(Juillet!$C57:$AG57,"m")/2+Juin!AK57</f>
        <v>0</v>
      </c>
      <c r="AL57" s="45">
        <f>COUNTIFS(Juillet!$C57:$AG57,"a")/2+Juin!AL57</f>
        <v>0</v>
      </c>
      <c r="AM57" s="46"/>
      <c r="AN57" s="47"/>
      <c r="AO57" s="47"/>
      <c r="AP57" s="46"/>
      <c r="AQ57" s="47"/>
      <c r="AR57" s="47"/>
      <c r="AS57" s="47"/>
    </row>
    <row r="58" spans="1:45" s="63" customFormat="1" ht="12.95" customHeight="1" x14ac:dyDescent="0.25">
      <c r="A58" s="48">
        <v>42975</v>
      </c>
      <c r="B58" s="42" t="s">
        <v>16</v>
      </c>
      <c r="C58" s="67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3"/>
      <c r="AB58" s="43"/>
      <c r="AC58" s="43"/>
      <c r="AD58" s="43"/>
      <c r="AE58" s="43"/>
      <c r="AF58" s="43"/>
      <c r="AG58" s="43"/>
      <c r="AH58" s="44">
        <f>COUNTA(Juillet!$C58:$AG58)</f>
        <v>0</v>
      </c>
      <c r="AI58" s="45">
        <f>(COUNTIFS(Juillet!$C58:$AG58,("cp")))/2+Juin!AI58</f>
        <v>0</v>
      </c>
      <c r="AJ58" s="45">
        <f>COUNTIFS(Juillet!$C58:$AG58,"RTT")/2+Juin!AJ58</f>
        <v>0</v>
      </c>
      <c r="AK58" s="45">
        <f>COUNTIFS(Juillet!$C58:$AG58,"m")/2+Juin!AK58</f>
        <v>0</v>
      </c>
      <c r="AL58" s="45">
        <f>COUNTIFS(Juillet!$C58:$AG58,"a")/2+Juin!AL58</f>
        <v>0</v>
      </c>
      <c r="AM58" s="46"/>
      <c r="AN58" s="47"/>
      <c r="AO58" s="47"/>
      <c r="AP58" s="46"/>
      <c r="AQ58" s="47"/>
      <c r="AR58" s="47"/>
      <c r="AS58" s="101"/>
    </row>
    <row r="59" spans="1:45" s="63" customFormat="1" ht="12.95" customHeight="1" x14ac:dyDescent="0.25">
      <c r="A59" s="41"/>
      <c r="B59" s="42"/>
      <c r="C59" s="49" t="str">
        <f t="shared" ref="C59:AG59" si="30">IF(C57&gt;0,C57,IF(C58&gt;0,C58,""))</f>
        <v/>
      </c>
      <c r="D59" s="49" t="str">
        <f t="shared" si="30"/>
        <v/>
      </c>
      <c r="E59" s="49" t="str">
        <f t="shared" si="30"/>
        <v/>
      </c>
      <c r="F59" s="49" t="str">
        <f t="shared" si="30"/>
        <v/>
      </c>
      <c r="G59" s="49" t="str">
        <f t="shared" si="30"/>
        <v/>
      </c>
      <c r="H59" s="49" t="str">
        <f t="shared" si="30"/>
        <v/>
      </c>
      <c r="I59" s="49" t="str">
        <f t="shared" si="30"/>
        <v/>
      </c>
      <c r="J59" s="49" t="str">
        <f t="shared" si="30"/>
        <v/>
      </c>
      <c r="K59" s="49" t="str">
        <f t="shared" si="30"/>
        <v/>
      </c>
      <c r="L59" s="49" t="str">
        <f t="shared" si="30"/>
        <v/>
      </c>
      <c r="M59" s="49" t="str">
        <f t="shared" si="30"/>
        <v/>
      </c>
      <c r="N59" s="49" t="str">
        <f t="shared" si="30"/>
        <v/>
      </c>
      <c r="O59" s="49" t="str">
        <f t="shared" si="30"/>
        <v/>
      </c>
      <c r="P59" s="49" t="str">
        <f t="shared" si="30"/>
        <v/>
      </c>
      <c r="Q59" s="49" t="str">
        <f t="shared" si="30"/>
        <v/>
      </c>
      <c r="R59" s="49" t="str">
        <f t="shared" si="30"/>
        <v/>
      </c>
      <c r="S59" s="49" t="str">
        <f t="shared" si="30"/>
        <v/>
      </c>
      <c r="T59" s="49" t="str">
        <f t="shared" si="30"/>
        <v/>
      </c>
      <c r="U59" s="49" t="str">
        <f t="shared" si="30"/>
        <v/>
      </c>
      <c r="V59" s="49" t="str">
        <f t="shared" si="30"/>
        <v/>
      </c>
      <c r="W59" s="49" t="str">
        <f t="shared" si="30"/>
        <v/>
      </c>
      <c r="X59" s="49" t="str">
        <f t="shared" si="30"/>
        <v/>
      </c>
      <c r="Y59" s="49" t="str">
        <f t="shared" si="30"/>
        <v/>
      </c>
      <c r="Z59" s="49" t="str">
        <f t="shared" si="30"/>
        <v/>
      </c>
      <c r="AA59" s="49" t="str">
        <f t="shared" si="30"/>
        <v/>
      </c>
      <c r="AB59" s="49" t="str">
        <f t="shared" si="30"/>
        <v/>
      </c>
      <c r="AC59" s="49" t="str">
        <f t="shared" si="30"/>
        <v/>
      </c>
      <c r="AD59" s="49" t="str">
        <f t="shared" si="30"/>
        <v/>
      </c>
      <c r="AE59" s="49" t="str">
        <f t="shared" si="30"/>
        <v/>
      </c>
      <c r="AF59" s="49" t="str">
        <f t="shared" si="30"/>
        <v/>
      </c>
      <c r="AG59" s="49" t="str">
        <f t="shared" si="30"/>
        <v/>
      </c>
      <c r="AH59" s="44">
        <f>SUM(AH57:AH58)</f>
        <v>0</v>
      </c>
      <c r="AI59" s="45">
        <f>SUM(AI57:AI58)</f>
        <v>0</v>
      </c>
      <c r="AJ59" s="45">
        <f>SUM(AJ57:AJ58)</f>
        <v>0</v>
      </c>
      <c r="AK59" s="45">
        <f t="shared" ref="AK59:AL59" si="31">SUM(AK57:AK58)</f>
        <v>0</v>
      </c>
      <c r="AL59" s="45">
        <f t="shared" si="31"/>
        <v>0</v>
      </c>
      <c r="AM59" s="50">
        <f>+Juin!AM59</f>
        <v>0</v>
      </c>
      <c r="AN59" s="51">
        <f>IF(A58="","",IF(A58&gt;NomMois,0,IF(A58&lt;$A$3,2.08,(NETWORKDAYS(A58,$A$2)/21.66667)*2.08)))</f>
        <v>0</v>
      </c>
      <c r="AO59" s="51">
        <f>IF( AN59="",0,+AN59+Juin!AO59)</f>
        <v>0</v>
      </c>
      <c r="AP59" s="50"/>
      <c r="AQ59" s="45">
        <f>+AM59-AI59</f>
        <v>0</v>
      </c>
      <c r="AR59" s="45">
        <f>+AP59-AJ59</f>
        <v>0</v>
      </c>
      <c r="AS59" s="102">
        <f t="shared" si="17"/>
        <v>0</v>
      </c>
    </row>
    <row r="60" spans="1:45" s="63" customFormat="1" ht="6.75" customHeight="1" x14ac:dyDescent="0.25">
      <c r="A60" s="60"/>
      <c r="B60" s="42"/>
      <c r="C60" s="64"/>
      <c r="D60" s="64"/>
      <c r="E60" s="64"/>
      <c r="F60" s="64"/>
      <c r="G60" s="64"/>
      <c r="H60" s="64"/>
      <c r="I60" s="64"/>
      <c r="J60" s="64"/>
      <c r="K60" s="64"/>
      <c r="L60" s="64"/>
      <c r="M60" s="64"/>
      <c r="N60" s="64"/>
      <c r="O60" s="64"/>
      <c r="P60" s="64"/>
      <c r="Q60" s="64"/>
      <c r="R60" s="64"/>
      <c r="S60" s="64"/>
      <c r="T60" s="64"/>
      <c r="U60" s="64"/>
      <c r="V60" s="64"/>
      <c r="W60" s="64"/>
      <c r="X60" s="64"/>
      <c r="Y60" s="64"/>
      <c r="Z60" s="64"/>
      <c r="AA60" s="64"/>
      <c r="AB60" s="64"/>
      <c r="AC60" s="64"/>
      <c r="AD60" s="64"/>
      <c r="AE60" s="64"/>
      <c r="AF60" s="64"/>
      <c r="AG60" s="64"/>
      <c r="AH60" s="65"/>
      <c r="AI60" s="65"/>
      <c r="AJ60" s="65"/>
      <c r="AK60" s="65"/>
      <c r="AL60" s="65"/>
      <c r="AM60" s="64"/>
      <c r="AN60" s="65"/>
      <c r="AO60" s="65"/>
      <c r="AP60" s="64"/>
      <c r="AQ60" s="69"/>
      <c r="AR60" s="69"/>
      <c r="AS60" s="65"/>
    </row>
    <row r="61" spans="1:45" s="63" customFormat="1" ht="12.95" customHeight="1" x14ac:dyDescent="0.25">
      <c r="A61" s="41"/>
      <c r="B61" s="42" t="s">
        <v>15</v>
      </c>
      <c r="C61" s="67"/>
      <c r="D61" s="43"/>
      <c r="E61" s="43" t="s">
        <v>7</v>
      </c>
      <c r="F61" s="43" t="s">
        <v>7</v>
      </c>
      <c r="G61" s="43" t="s">
        <v>7</v>
      </c>
      <c r="H61" s="43" t="s">
        <v>7</v>
      </c>
      <c r="I61" s="43" t="s">
        <v>7</v>
      </c>
      <c r="J61" s="43"/>
      <c r="K61" s="43"/>
      <c r="L61" s="43"/>
      <c r="M61" s="43"/>
      <c r="N61" s="43"/>
      <c r="O61" s="43"/>
      <c r="P61" s="43"/>
      <c r="Q61" s="43"/>
      <c r="R61" s="43"/>
      <c r="S61" s="43" t="s">
        <v>7</v>
      </c>
      <c r="T61" s="43" t="s">
        <v>7</v>
      </c>
      <c r="U61" s="43" t="s">
        <v>7</v>
      </c>
      <c r="V61" s="43"/>
      <c r="W61" s="43"/>
      <c r="X61" s="43"/>
      <c r="Y61" s="43"/>
      <c r="Z61" s="43"/>
      <c r="AA61" s="43"/>
      <c r="AB61" s="43"/>
      <c r="AC61" s="43"/>
      <c r="AD61" s="43"/>
      <c r="AE61" s="43"/>
      <c r="AF61" s="43"/>
      <c r="AG61" s="43"/>
      <c r="AH61" s="44">
        <f>COUNTA(Juillet!$C61:$AG61)</f>
        <v>8</v>
      </c>
      <c r="AI61" s="45">
        <f>(COUNTIFS(Juillet!$C61:$AG61,("cp")))/2+Juin!AI61</f>
        <v>4</v>
      </c>
      <c r="AJ61" s="45">
        <f>COUNTIFS(Juillet!$C61:$AG61,"RTT")/2+Juin!AJ61</f>
        <v>0</v>
      </c>
      <c r="AK61" s="45">
        <f>COUNTIFS(Juillet!$C61:$AG61,"m")/2+Juin!AK61</f>
        <v>0</v>
      </c>
      <c r="AL61" s="45">
        <f>COUNTIFS(Juillet!$C61:$AG61,"a")/2+Juin!AL61</f>
        <v>0</v>
      </c>
      <c r="AM61" s="46"/>
      <c r="AN61" s="47"/>
      <c r="AO61" s="47"/>
      <c r="AP61" s="46"/>
      <c r="AQ61" s="47"/>
      <c r="AR61" s="47"/>
      <c r="AS61" s="47"/>
    </row>
    <row r="62" spans="1:45" s="63" customFormat="1" ht="12.95" customHeight="1" x14ac:dyDescent="0.25">
      <c r="A62" s="48">
        <v>42646</v>
      </c>
      <c r="B62" s="42" t="s">
        <v>16</v>
      </c>
      <c r="C62" s="67"/>
      <c r="D62" s="43"/>
      <c r="E62" s="43" t="s">
        <v>7</v>
      </c>
      <c r="F62" s="43" t="s">
        <v>7</v>
      </c>
      <c r="G62" s="43" t="s">
        <v>7</v>
      </c>
      <c r="H62" s="43" t="s">
        <v>7</v>
      </c>
      <c r="I62" s="43" t="s">
        <v>7</v>
      </c>
      <c r="J62" s="43"/>
      <c r="K62" s="43"/>
      <c r="L62" s="43"/>
      <c r="M62" s="43"/>
      <c r="N62" s="43"/>
      <c r="O62" s="43"/>
      <c r="P62" s="43"/>
      <c r="Q62" s="43"/>
      <c r="R62" s="43"/>
      <c r="S62" s="43" t="s">
        <v>7</v>
      </c>
      <c r="T62" s="43" t="s">
        <v>7</v>
      </c>
      <c r="U62" s="43" t="s">
        <v>7</v>
      </c>
      <c r="V62" s="43"/>
      <c r="W62" s="43"/>
      <c r="X62" s="43"/>
      <c r="Y62" s="43"/>
      <c r="Z62" s="43"/>
      <c r="AA62" s="43"/>
      <c r="AB62" s="43"/>
      <c r="AC62" s="43"/>
      <c r="AD62" s="43"/>
      <c r="AE62" s="43"/>
      <c r="AF62" s="43"/>
      <c r="AG62" s="43"/>
      <c r="AH62" s="44">
        <f>COUNTA(Juillet!$C62:$AG62)</f>
        <v>8</v>
      </c>
      <c r="AI62" s="45">
        <f>(COUNTIFS(Juillet!$C62:$AG62,("cp")))/2+Juin!AI62</f>
        <v>4</v>
      </c>
      <c r="AJ62" s="45">
        <f>COUNTIFS(Juillet!$C62:$AG62,"RTT")/2+Juin!AJ62</f>
        <v>0</v>
      </c>
      <c r="AK62" s="45">
        <f>COUNTIFS(Juillet!$C62:$AG62,"m")/2+Juin!AK62</f>
        <v>0</v>
      </c>
      <c r="AL62" s="45">
        <f>COUNTIFS(Juillet!$C62:$AG62,"a")/2+Juin!AL62</f>
        <v>0</v>
      </c>
      <c r="AM62" s="46"/>
      <c r="AN62" s="47"/>
      <c r="AO62" s="47"/>
      <c r="AP62" s="46"/>
      <c r="AQ62" s="47"/>
      <c r="AR62" s="47"/>
      <c r="AS62" s="101"/>
    </row>
    <row r="63" spans="1:45" s="63" customFormat="1" ht="12.95" customHeight="1" x14ac:dyDescent="0.25">
      <c r="A63" s="41"/>
      <c r="B63" s="42"/>
      <c r="C63" s="49" t="str">
        <f t="shared" ref="C63:AG63" si="32">IF(C61&gt;0,C61,IF(C62&gt;0,C62,""))</f>
        <v/>
      </c>
      <c r="D63" s="49" t="str">
        <f t="shared" si="32"/>
        <v/>
      </c>
      <c r="E63" s="49" t="str">
        <f t="shared" si="32"/>
        <v>CP</v>
      </c>
      <c r="F63" s="49" t="str">
        <f t="shared" si="32"/>
        <v>CP</v>
      </c>
      <c r="G63" s="49" t="str">
        <f t="shared" si="32"/>
        <v>CP</v>
      </c>
      <c r="H63" s="49" t="str">
        <f t="shared" si="32"/>
        <v>CP</v>
      </c>
      <c r="I63" s="49" t="str">
        <f t="shared" si="32"/>
        <v>CP</v>
      </c>
      <c r="J63" s="49" t="str">
        <f t="shared" si="32"/>
        <v/>
      </c>
      <c r="K63" s="49" t="str">
        <f t="shared" si="32"/>
        <v/>
      </c>
      <c r="L63" s="49" t="str">
        <f t="shared" si="32"/>
        <v/>
      </c>
      <c r="M63" s="49" t="str">
        <f t="shared" si="32"/>
        <v/>
      </c>
      <c r="N63" s="49" t="str">
        <f t="shared" si="32"/>
        <v/>
      </c>
      <c r="O63" s="49" t="str">
        <f t="shared" si="32"/>
        <v/>
      </c>
      <c r="P63" s="49" t="str">
        <f t="shared" si="32"/>
        <v/>
      </c>
      <c r="Q63" s="49" t="str">
        <f t="shared" si="32"/>
        <v/>
      </c>
      <c r="R63" s="49" t="str">
        <f t="shared" si="32"/>
        <v/>
      </c>
      <c r="S63" s="49" t="str">
        <f t="shared" si="32"/>
        <v>CP</v>
      </c>
      <c r="T63" s="49" t="str">
        <f t="shared" si="32"/>
        <v>CP</v>
      </c>
      <c r="U63" s="49" t="str">
        <f t="shared" si="32"/>
        <v>CP</v>
      </c>
      <c r="V63" s="49" t="str">
        <f t="shared" si="32"/>
        <v/>
      </c>
      <c r="W63" s="49" t="str">
        <f t="shared" si="32"/>
        <v/>
      </c>
      <c r="X63" s="49" t="str">
        <f t="shared" si="32"/>
        <v/>
      </c>
      <c r="Y63" s="49" t="str">
        <f t="shared" si="32"/>
        <v/>
      </c>
      <c r="Z63" s="49" t="str">
        <f t="shared" si="32"/>
        <v/>
      </c>
      <c r="AA63" s="49" t="str">
        <f t="shared" si="32"/>
        <v/>
      </c>
      <c r="AB63" s="49" t="str">
        <f t="shared" si="32"/>
        <v/>
      </c>
      <c r="AC63" s="49" t="str">
        <f t="shared" si="32"/>
        <v/>
      </c>
      <c r="AD63" s="49" t="str">
        <f t="shared" si="32"/>
        <v/>
      </c>
      <c r="AE63" s="49" t="str">
        <f t="shared" si="32"/>
        <v/>
      </c>
      <c r="AF63" s="49" t="str">
        <f t="shared" si="32"/>
        <v/>
      </c>
      <c r="AG63" s="49" t="str">
        <f t="shared" si="32"/>
        <v/>
      </c>
      <c r="AH63" s="44">
        <f>SUM(AH61:AH62)</f>
        <v>16</v>
      </c>
      <c r="AI63" s="45">
        <f>SUM(AI61:AI62)</f>
        <v>8</v>
      </c>
      <c r="AJ63" s="45">
        <f>SUM(AJ61:AJ62)</f>
        <v>0</v>
      </c>
      <c r="AK63" s="45">
        <f t="shared" ref="AK63:AL63" si="33">SUM(AK61:AK62)</f>
        <v>0</v>
      </c>
      <c r="AL63" s="45">
        <f t="shared" si="33"/>
        <v>0</v>
      </c>
      <c r="AM63" s="50">
        <f>+Juin!AM63</f>
        <v>16.64</v>
      </c>
      <c r="AN63" s="51">
        <f>IF(A62="","",IF(A62&gt;NomMois,0,IF(A62&lt;$A$3,2.08,(NETWORKDAYS(A62,$A$2)/21.66667)*2.08)))</f>
        <v>2.08</v>
      </c>
      <c r="AO63" s="51">
        <f>IF( AN63="",0,+AN63+Juin!AO63)</f>
        <v>4.16</v>
      </c>
      <c r="AP63" s="50"/>
      <c r="AQ63" s="45">
        <f>+AM63-AI63</f>
        <v>8.64</v>
      </c>
      <c r="AR63" s="45">
        <f>+AP63-AJ63</f>
        <v>0</v>
      </c>
      <c r="AS63" s="102">
        <f t="shared" si="17"/>
        <v>12.8</v>
      </c>
    </row>
    <row r="64" spans="1:45" s="63" customFormat="1" ht="6.75" customHeight="1" x14ac:dyDescent="0.25">
      <c r="A64" s="60"/>
      <c r="B64" s="53"/>
      <c r="C64" s="60"/>
      <c r="D64" s="60"/>
      <c r="E64" s="60"/>
      <c r="F64" s="60"/>
      <c r="G64" s="60"/>
      <c r="H64" s="60"/>
      <c r="I64" s="60"/>
      <c r="J64" s="60"/>
      <c r="K64" s="60"/>
      <c r="L64" s="60"/>
      <c r="M64" s="60"/>
      <c r="N64" s="60"/>
      <c r="O64" s="60"/>
      <c r="P64" s="60"/>
      <c r="Q64" s="60"/>
      <c r="R64" s="60"/>
      <c r="S64" s="60"/>
      <c r="T64" s="60"/>
      <c r="U64" s="60"/>
      <c r="V64" s="60"/>
      <c r="W64" s="60"/>
      <c r="X64" s="60"/>
      <c r="Y64" s="60"/>
      <c r="Z64" s="60"/>
      <c r="AA64" s="60"/>
      <c r="AB64" s="60"/>
      <c r="AC64" s="60"/>
      <c r="AD64" s="60"/>
      <c r="AE64" s="60"/>
      <c r="AF64" s="60"/>
      <c r="AG64" s="60"/>
      <c r="AH64" s="61">
        <v>0</v>
      </c>
      <c r="AI64" s="61">
        <v>0</v>
      </c>
      <c r="AJ64" s="61">
        <v>0</v>
      </c>
      <c r="AK64" s="61">
        <v>0</v>
      </c>
      <c r="AL64" s="61">
        <v>0</v>
      </c>
      <c r="AM64" s="60"/>
      <c r="AN64" s="61"/>
      <c r="AO64" s="61"/>
      <c r="AP64" s="60"/>
      <c r="AQ64" s="69"/>
      <c r="AR64" s="69"/>
      <c r="AS64" s="65"/>
    </row>
    <row r="65" spans="1:45" s="63" customFormat="1" ht="12.95" customHeight="1" x14ac:dyDescent="0.25">
      <c r="A65" s="41"/>
      <c r="B65" s="42" t="s">
        <v>15</v>
      </c>
      <c r="C65" s="67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 t="s">
        <v>7</v>
      </c>
      <c r="O65" s="43" t="s">
        <v>7</v>
      </c>
      <c r="P65" s="43"/>
      <c r="Q65" s="43"/>
      <c r="R65" s="43"/>
      <c r="S65" s="43" t="s">
        <v>7</v>
      </c>
      <c r="T65" s="43" t="s">
        <v>7</v>
      </c>
      <c r="U65" s="43" t="s">
        <v>7</v>
      </c>
      <c r="V65" s="43" t="s">
        <v>7</v>
      </c>
      <c r="W65" s="43" t="s">
        <v>7</v>
      </c>
      <c r="X65" s="43"/>
      <c r="Y65" s="43"/>
      <c r="Z65" s="43" t="s">
        <v>7</v>
      </c>
      <c r="AA65" s="43" t="s">
        <v>7</v>
      </c>
      <c r="AB65" s="43"/>
      <c r="AC65" s="43"/>
      <c r="AD65" s="43"/>
      <c r="AE65" s="43"/>
      <c r="AF65" s="43"/>
      <c r="AG65" s="43"/>
      <c r="AH65" s="44">
        <f>COUNTA(Juillet!$C65:$AG65)</f>
        <v>9</v>
      </c>
      <c r="AI65" s="45">
        <f>(COUNTIFS(Juillet!$C65:$AG65,("cp")))/2+Juin!AI65</f>
        <v>4.5</v>
      </c>
      <c r="AJ65" s="45">
        <f>COUNTIFS(Juillet!$C65:$AG65,"RTT")/2+Juin!AJ65</f>
        <v>0</v>
      </c>
      <c r="AK65" s="45">
        <f>COUNTIFS(Juillet!$C65:$AG65,"m")/2+Juin!AK65</f>
        <v>0</v>
      </c>
      <c r="AL65" s="45">
        <f>COUNTIFS(Juillet!$C65:$AG65,"a")/2+Juin!AL65</f>
        <v>0</v>
      </c>
      <c r="AM65" s="46"/>
      <c r="AN65" s="47"/>
      <c r="AO65" s="47"/>
      <c r="AP65" s="46"/>
      <c r="AQ65" s="47"/>
      <c r="AR65" s="47"/>
      <c r="AS65" s="47"/>
    </row>
    <row r="66" spans="1:45" s="63" customFormat="1" ht="12.95" customHeight="1" x14ac:dyDescent="0.25">
      <c r="A66" s="48">
        <v>42410</v>
      </c>
      <c r="B66" s="42" t="s">
        <v>16</v>
      </c>
      <c r="C66" s="67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 t="s">
        <v>7</v>
      </c>
      <c r="O66" s="43" t="s">
        <v>7</v>
      </c>
      <c r="P66" s="43"/>
      <c r="Q66" s="43"/>
      <c r="R66" s="43"/>
      <c r="S66" s="43" t="s">
        <v>7</v>
      </c>
      <c r="T66" s="43" t="s">
        <v>7</v>
      </c>
      <c r="U66" s="43" t="s">
        <v>7</v>
      </c>
      <c r="V66" s="43" t="s">
        <v>7</v>
      </c>
      <c r="W66" s="43" t="s">
        <v>7</v>
      </c>
      <c r="X66" s="43"/>
      <c r="Y66" s="43"/>
      <c r="Z66" s="43" t="s">
        <v>7</v>
      </c>
      <c r="AA66" s="43" t="s">
        <v>7</v>
      </c>
      <c r="AB66" s="43"/>
      <c r="AC66" s="43"/>
      <c r="AD66" s="43"/>
      <c r="AE66" s="43"/>
      <c r="AF66" s="43"/>
      <c r="AG66" s="43"/>
      <c r="AH66" s="44">
        <f>COUNTA(Juillet!$C66:$AG66)</f>
        <v>9</v>
      </c>
      <c r="AI66" s="45">
        <f>(COUNTIFS(Juillet!$C66:$AG66,("cp")))/2+Juin!AI66</f>
        <v>4.5</v>
      </c>
      <c r="AJ66" s="45">
        <f>COUNTIFS(Juillet!$C66:$AG66,"RTT")/2+Juin!AJ66</f>
        <v>0</v>
      </c>
      <c r="AK66" s="45">
        <f>COUNTIFS(Juillet!$C66:$AG66,"m")/2+Juin!AK66</f>
        <v>0</v>
      </c>
      <c r="AL66" s="45">
        <f>COUNTIFS(Juillet!$C66:$AG66,"a")/2+Juin!AL66</f>
        <v>0</v>
      </c>
      <c r="AM66" s="46"/>
      <c r="AN66" s="47"/>
      <c r="AO66" s="47"/>
      <c r="AP66" s="46"/>
      <c r="AQ66" s="47"/>
      <c r="AR66" s="47"/>
      <c r="AS66" s="101"/>
    </row>
    <row r="67" spans="1:45" s="63" customFormat="1" ht="12.95" customHeight="1" x14ac:dyDescent="0.25">
      <c r="A67" s="41"/>
      <c r="B67" s="42"/>
      <c r="C67" s="49" t="str">
        <f t="shared" ref="C67:AG67" si="34">IF(C65&gt;0,C65,IF(C66&gt;0,C66,""))</f>
        <v/>
      </c>
      <c r="D67" s="49" t="str">
        <f t="shared" si="34"/>
        <v/>
      </c>
      <c r="E67" s="49" t="str">
        <f t="shared" si="34"/>
        <v/>
      </c>
      <c r="F67" s="49" t="str">
        <f t="shared" si="34"/>
        <v/>
      </c>
      <c r="G67" s="49" t="str">
        <f t="shared" si="34"/>
        <v/>
      </c>
      <c r="H67" s="49" t="str">
        <f t="shared" si="34"/>
        <v/>
      </c>
      <c r="I67" s="49" t="str">
        <f t="shared" si="34"/>
        <v/>
      </c>
      <c r="J67" s="49" t="str">
        <f t="shared" si="34"/>
        <v/>
      </c>
      <c r="K67" s="49" t="str">
        <f t="shared" si="34"/>
        <v/>
      </c>
      <c r="L67" s="49" t="str">
        <f t="shared" si="34"/>
        <v/>
      </c>
      <c r="M67" s="49" t="str">
        <f t="shared" si="34"/>
        <v/>
      </c>
      <c r="N67" s="49" t="str">
        <f t="shared" si="34"/>
        <v>CP</v>
      </c>
      <c r="O67" s="49" t="str">
        <f t="shared" si="34"/>
        <v>CP</v>
      </c>
      <c r="P67" s="49" t="str">
        <f t="shared" si="34"/>
        <v/>
      </c>
      <c r="Q67" s="49" t="str">
        <f t="shared" si="34"/>
        <v/>
      </c>
      <c r="R67" s="49" t="str">
        <f t="shared" si="34"/>
        <v/>
      </c>
      <c r="S67" s="49" t="str">
        <f t="shared" si="34"/>
        <v>CP</v>
      </c>
      <c r="T67" s="49" t="str">
        <f t="shared" si="34"/>
        <v>CP</v>
      </c>
      <c r="U67" s="49" t="str">
        <f t="shared" si="34"/>
        <v>CP</v>
      </c>
      <c r="V67" s="49" t="str">
        <f t="shared" si="34"/>
        <v>CP</v>
      </c>
      <c r="W67" s="49" t="str">
        <f t="shared" si="34"/>
        <v>CP</v>
      </c>
      <c r="X67" s="49" t="str">
        <f t="shared" si="34"/>
        <v/>
      </c>
      <c r="Y67" s="49" t="str">
        <f t="shared" si="34"/>
        <v/>
      </c>
      <c r="Z67" s="49" t="str">
        <f t="shared" si="34"/>
        <v>CP</v>
      </c>
      <c r="AA67" s="49" t="str">
        <f t="shared" si="34"/>
        <v>CP</v>
      </c>
      <c r="AB67" s="49" t="str">
        <f t="shared" si="34"/>
        <v/>
      </c>
      <c r="AC67" s="49" t="str">
        <f t="shared" si="34"/>
        <v/>
      </c>
      <c r="AD67" s="49" t="str">
        <f t="shared" si="34"/>
        <v/>
      </c>
      <c r="AE67" s="49" t="str">
        <f t="shared" si="34"/>
        <v/>
      </c>
      <c r="AF67" s="49" t="str">
        <f t="shared" si="34"/>
        <v/>
      </c>
      <c r="AG67" s="49" t="str">
        <f t="shared" si="34"/>
        <v/>
      </c>
      <c r="AH67" s="44">
        <f>SUM(AH65:AH66)</f>
        <v>18</v>
      </c>
      <c r="AI67" s="45">
        <f>SUM(AI65:AI66)</f>
        <v>9</v>
      </c>
      <c r="AJ67" s="45">
        <f>SUM(AJ65:AJ66)</f>
        <v>0</v>
      </c>
      <c r="AK67" s="45">
        <f t="shared" ref="AK67:AL67" si="35">SUM(AK65:AK66)</f>
        <v>0</v>
      </c>
      <c r="AL67" s="45">
        <f t="shared" si="35"/>
        <v>0</v>
      </c>
      <c r="AM67" s="50">
        <f>+Juin!AM67</f>
        <v>22.46</v>
      </c>
      <c r="AN67" s="51">
        <f>IF(A66="","",IF(A66&gt;NomMois,0,IF(A66&lt;$A$3,2.08,(NETWORKDAYS(A66,$A$2)/21.66667)*2.08)))</f>
        <v>2.08</v>
      </c>
      <c r="AO67" s="51">
        <f>IF( AN67="",0,+AN67+Juin!AO67)</f>
        <v>4.16</v>
      </c>
      <c r="AP67" s="50"/>
      <c r="AQ67" s="45">
        <f>+AM67-AI67</f>
        <v>13.46</v>
      </c>
      <c r="AR67" s="45">
        <f>+AP67-AJ67</f>
        <v>0</v>
      </c>
      <c r="AS67" s="102">
        <f t="shared" si="17"/>
        <v>17.62</v>
      </c>
    </row>
    <row r="68" spans="1:45" s="63" customFormat="1" ht="6.75" customHeight="1" x14ac:dyDescent="0.25">
      <c r="A68" s="64"/>
      <c r="B68" s="42"/>
      <c r="C68" s="64"/>
      <c r="D68" s="64"/>
      <c r="E68" s="64"/>
      <c r="F68" s="64"/>
      <c r="G68" s="64"/>
      <c r="H68" s="64"/>
      <c r="I68" s="64"/>
      <c r="J68" s="64"/>
      <c r="K68" s="64"/>
      <c r="L68" s="64"/>
      <c r="M68" s="64"/>
      <c r="N68" s="64"/>
      <c r="O68" s="64"/>
      <c r="P68" s="64"/>
      <c r="Q68" s="64"/>
      <c r="R68" s="64"/>
      <c r="S68" s="64"/>
      <c r="T68" s="64"/>
      <c r="U68" s="64"/>
      <c r="V68" s="64"/>
      <c r="W68" s="64"/>
      <c r="X68" s="64"/>
      <c r="Y68" s="64"/>
      <c r="Z68" s="64"/>
      <c r="AA68" s="64"/>
      <c r="AB68" s="64"/>
      <c r="AC68" s="64"/>
      <c r="AD68" s="64"/>
      <c r="AE68" s="64"/>
      <c r="AF68" s="64"/>
      <c r="AG68" s="64"/>
      <c r="AH68" s="65"/>
      <c r="AI68" s="65"/>
      <c r="AJ68" s="65"/>
      <c r="AK68" s="65"/>
      <c r="AL68" s="65"/>
      <c r="AM68" s="64"/>
      <c r="AN68" s="65"/>
      <c r="AO68" s="65"/>
      <c r="AP68" s="64"/>
      <c r="AQ68" s="69"/>
      <c r="AR68" s="69"/>
      <c r="AS68" s="65"/>
    </row>
    <row r="69" spans="1:45" s="63" customFormat="1" ht="12.95" customHeight="1" x14ac:dyDescent="0.25">
      <c r="A69" s="41"/>
      <c r="B69" s="42" t="s">
        <v>15</v>
      </c>
      <c r="C69" s="67"/>
      <c r="D69" s="43"/>
      <c r="E69" s="43" t="s">
        <v>10</v>
      </c>
      <c r="F69" s="43" t="s">
        <v>10</v>
      </c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43"/>
      <c r="AA69" s="43"/>
      <c r="AB69" s="43"/>
      <c r="AC69" s="43" t="s">
        <v>7</v>
      </c>
      <c r="AD69" s="43" t="s">
        <v>7</v>
      </c>
      <c r="AE69" s="43"/>
      <c r="AF69" s="43"/>
      <c r="AG69" s="43" t="s">
        <v>7</v>
      </c>
      <c r="AH69" s="44">
        <f>COUNTA(Juillet!$C69:$AG69)</f>
        <v>5</v>
      </c>
      <c r="AI69" s="45">
        <f>(COUNTIFS(Juillet!$C69:$AG69,("cp")))/2+Juin!AI69</f>
        <v>1.5</v>
      </c>
      <c r="AJ69" s="45">
        <f>COUNTIFS(Juillet!$C69:$AG69,"RTT")/2+Juin!AJ69</f>
        <v>0</v>
      </c>
      <c r="AK69" s="45">
        <f>COUNTIFS(Juillet!$C69:$AG69,"m")/2+Juin!AK69</f>
        <v>0</v>
      </c>
      <c r="AL69" s="45">
        <f>COUNTIFS(Juillet!$C69:$AG69,"a")/2+Juin!AL69</f>
        <v>1</v>
      </c>
      <c r="AM69" s="46"/>
      <c r="AN69" s="47"/>
      <c r="AO69" s="47"/>
      <c r="AP69" s="46"/>
      <c r="AQ69" s="47"/>
      <c r="AR69" s="47"/>
      <c r="AS69" s="47"/>
    </row>
    <row r="70" spans="1:45" s="63" customFormat="1" ht="12.95" customHeight="1" x14ac:dyDescent="0.25">
      <c r="A70" s="48">
        <v>41701</v>
      </c>
      <c r="B70" s="42" t="s">
        <v>16</v>
      </c>
      <c r="C70" s="67"/>
      <c r="D70" s="43"/>
      <c r="E70" s="43" t="s">
        <v>10</v>
      </c>
      <c r="F70" s="43" t="s">
        <v>10</v>
      </c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  <c r="S70" s="43"/>
      <c r="T70" s="43"/>
      <c r="U70" s="43"/>
      <c r="V70" s="43"/>
      <c r="W70" s="43"/>
      <c r="X70" s="43"/>
      <c r="Y70" s="43"/>
      <c r="Z70" s="43"/>
      <c r="AA70" s="43"/>
      <c r="AB70" s="43"/>
      <c r="AC70" s="43" t="s">
        <v>7</v>
      </c>
      <c r="AD70" s="43" t="s">
        <v>7</v>
      </c>
      <c r="AE70" s="43"/>
      <c r="AF70" s="43"/>
      <c r="AG70" s="43" t="s">
        <v>7</v>
      </c>
      <c r="AH70" s="44">
        <f>COUNTA(Juillet!$C70:$AG70)</f>
        <v>5</v>
      </c>
      <c r="AI70" s="45">
        <f>(COUNTIFS(Juillet!$C70:$AG70,("cp")))/2+Juin!AI70</f>
        <v>1.5</v>
      </c>
      <c r="AJ70" s="45">
        <f>COUNTIFS(Juillet!$C70:$AG70,"RTT")/2+Juin!AJ70</f>
        <v>0</v>
      </c>
      <c r="AK70" s="45">
        <f>COUNTIFS(Juillet!$C70:$AG70,"m")/2+Juin!AK70</f>
        <v>0</v>
      </c>
      <c r="AL70" s="45">
        <f>COUNTIFS(Juillet!$C70:$AG70,"a")/2+Juin!AL70</f>
        <v>1</v>
      </c>
      <c r="AM70" s="46"/>
      <c r="AN70" s="47"/>
      <c r="AO70" s="47"/>
      <c r="AP70" s="46"/>
      <c r="AQ70" s="47"/>
      <c r="AR70" s="47"/>
      <c r="AS70" s="101"/>
    </row>
    <row r="71" spans="1:45" s="63" customFormat="1" ht="12.95" customHeight="1" x14ac:dyDescent="0.25">
      <c r="A71" s="41"/>
      <c r="B71" s="42"/>
      <c r="C71" s="49" t="str">
        <f t="shared" ref="C71:AB71" si="36">IF(C69&gt;0,C69,IF(C70&gt;0,C70,""))</f>
        <v/>
      </c>
      <c r="D71" s="49" t="str">
        <f t="shared" si="36"/>
        <v/>
      </c>
      <c r="E71" s="49" t="str">
        <f t="shared" si="36"/>
        <v>A</v>
      </c>
      <c r="F71" s="49" t="str">
        <f t="shared" si="36"/>
        <v>A</v>
      </c>
      <c r="G71" s="49" t="str">
        <f t="shared" si="36"/>
        <v/>
      </c>
      <c r="H71" s="49" t="str">
        <f t="shared" si="36"/>
        <v/>
      </c>
      <c r="I71" s="49" t="str">
        <f t="shared" si="36"/>
        <v/>
      </c>
      <c r="J71" s="49" t="str">
        <f t="shared" si="36"/>
        <v/>
      </c>
      <c r="K71" s="49" t="str">
        <f t="shared" si="36"/>
        <v/>
      </c>
      <c r="L71" s="49" t="str">
        <f t="shared" si="36"/>
        <v/>
      </c>
      <c r="M71" s="49" t="str">
        <f t="shared" si="36"/>
        <v/>
      </c>
      <c r="N71" s="49" t="str">
        <f t="shared" si="36"/>
        <v/>
      </c>
      <c r="O71" s="49" t="str">
        <f t="shared" si="36"/>
        <v/>
      </c>
      <c r="P71" s="49" t="str">
        <f t="shared" si="36"/>
        <v/>
      </c>
      <c r="Q71" s="49" t="str">
        <f t="shared" si="36"/>
        <v/>
      </c>
      <c r="R71" s="49" t="str">
        <f t="shared" si="36"/>
        <v/>
      </c>
      <c r="S71" s="49" t="str">
        <f t="shared" si="36"/>
        <v/>
      </c>
      <c r="T71" s="49" t="str">
        <f t="shared" si="36"/>
        <v/>
      </c>
      <c r="U71" s="49" t="str">
        <f t="shared" si="36"/>
        <v/>
      </c>
      <c r="V71" s="49" t="str">
        <f t="shared" si="36"/>
        <v/>
      </c>
      <c r="W71" s="49" t="str">
        <f t="shared" si="36"/>
        <v/>
      </c>
      <c r="X71" s="49" t="str">
        <f t="shared" si="36"/>
        <v/>
      </c>
      <c r="Y71" s="49" t="str">
        <f t="shared" si="36"/>
        <v/>
      </c>
      <c r="Z71" s="49" t="str">
        <f t="shared" si="36"/>
        <v/>
      </c>
      <c r="AA71" s="49" t="str">
        <f t="shared" si="36"/>
        <v/>
      </c>
      <c r="AB71" s="49" t="str">
        <f t="shared" si="36"/>
        <v/>
      </c>
      <c r="AC71" s="43" t="s">
        <v>7</v>
      </c>
      <c r="AD71" s="49" t="str">
        <f>IF(AD69&gt;0,AD69,IF(AD70&gt;0,AD70,""))</f>
        <v>CP</v>
      </c>
      <c r="AE71" s="49"/>
      <c r="AF71" s="49" t="str">
        <f>IF(AF69&gt;0,AF69,IF(AF70&gt;0,AF70,""))</f>
        <v/>
      </c>
      <c r="AG71" s="49" t="str">
        <f>IF(AG69&gt;0,AG69,IF(AG70&gt;0,AG70,""))</f>
        <v>CP</v>
      </c>
      <c r="AH71" s="44">
        <f>SUM(AH69:AH70)</f>
        <v>10</v>
      </c>
      <c r="AI71" s="45">
        <f>SUM(AI69:AI70)</f>
        <v>3</v>
      </c>
      <c r="AJ71" s="45">
        <f>SUM(AJ69:AJ70)</f>
        <v>0</v>
      </c>
      <c r="AK71" s="45">
        <f t="shared" ref="AK71:AL71" si="37">SUM(AK69:AK70)</f>
        <v>0</v>
      </c>
      <c r="AL71" s="45">
        <f t="shared" si="37"/>
        <v>2</v>
      </c>
      <c r="AM71" s="50">
        <f>+Juin!AM71</f>
        <v>45.34</v>
      </c>
      <c r="AN71" s="51">
        <f>IF(A70="","",IF(A70&gt;NomMois,0,IF(A70&lt;$A$3,2.08,(NETWORKDAYS(A70,$A$2)/21.66667)*2.08)))</f>
        <v>2.08</v>
      </c>
      <c r="AO71" s="51">
        <f>IF( AN71="",0,+AN71+Juin!AO71)</f>
        <v>4.16</v>
      </c>
      <c r="AP71" s="50"/>
      <c r="AQ71" s="45">
        <f>+AM71-AI71</f>
        <v>42.34</v>
      </c>
      <c r="AR71" s="45">
        <f>+AP71-AJ71</f>
        <v>0</v>
      </c>
      <c r="AS71" s="102">
        <f t="shared" si="17"/>
        <v>46.5</v>
      </c>
    </row>
    <row r="72" spans="1:45" s="63" customFormat="1" ht="6.75" customHeight="1" x14ac:dyDescent="0.25">
      <c r="A72" s="60"/>
      <c r="B72" s="53"/>
      <c r="C72" s="60"/>
      <c r="D72" s="60"/>
      <c r="E72" s="60"/>
      <c r="F72" s="60"/>
      <c r="G72" s="60"/>
      <c r="H72" s="60"/>
      <c r="I72" s="60"/>
      <c r="J72" s="60"/>
      <c r="K72" s="60"/>
      <c r="L72" s="60"/>
      <c r="M72" s="60"/>
      <c r="N72" s="60"/>
      <c r="O72" s="60"/>
      <c r="P72" s="60"/>
      <c r="Q72" s="60"/>
      <c r="R72" s="60"/>
      <c r="S72" s="60"/>
      <c r="T72" s="60"/>
      <c r="U72" s="60"/>
      <c r="V72" s="60"/>
      <c r="W72" s="60"/>
      <c r="X72" s="60"/>
      <c r="Y72" s="60"/>
      <c r="Z72" s="60"/>
      <c r="AA72" s="60"/>
      <c r="AB72" s="60"/>
      <c r="AC72" s="60"/>
      <c r="AD72" s="60"/>
      <c r="AE72" s="60"/>
      <c r="AF72" s="60"/>
      <c r="AG72" s="60"/>
      <c r="AH72" s="61"/>
      <c r="AI72" s="61"/>
      <c r="AJ72" s="61"/>
      <c r="AK72" s="61"/>
      <c r="AL72" s="61"/>
      <c r="AM72" s="60"/>
      <c r="AN72" s="61"/>
      <c r="AO72" s="61"/>
      <c r="AP72" s="60"/>
      <c r="AQ72" s="69"/>
      <c r="AR72" s="69"/>
      <c r="AS72" s="65"/>
    </row>
    <row r="73" spans="1:45" s="63" customFormat="1" ht="12.95" customHeight="1" x14ac:dyDescent="0.25">
      <c r="A73" s="41"/>
      <c r="B73" s="42" t="s">
        <v>15</v>
      </c>
      <c r="C73" s="67"/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43"/>
      <c r="AH73" s="44">
        <f>COUNTA(Juillet!$C73:$AG73)</f>
        <v>0</v>
      </c>
      <c r="AI73" s="45">
        <f>(COUNTIFS(Juillet!$C73:$AG73,("cp")))/2+Juin!AI73</f>
        <v>0</v>
      </c>
      <c r="AJ73" s="45">
        <f>COUNTIFS(Juillet!$C73:$AG73,"RTT")/2+Juin!AJ73</f>
        <v>0</v>
      </c>
      <c r="AK73" s="45">
        <f>COUNTIFS(Juillet!$C73:$AG73,"m")/2+Juin!AK73</f>
        <v>0</v>
      </c>
      <c r="AL73" s="45">
        <f>COUNTIFS(Juillet!$C73:$AG73,"a")/2+Juin!AL73</f>
        <v>0</v>
      </c>
      <c r="AM73" s="46"/>
      <c r="AN73" s="47"/>
      <c r="AO73" s="47"/>
      <c r="AP73" s="46"/>
      <c r="AQ73" s="47"/>
      <c r="AR73" s="47"/>
      <c r="AS73" s="47"/>
    </row>
    <row r="74" spans="1:45" s="63" customFormat="1" ht="12.95" customHeight="1" x14ac:dyDescent="0.25">
      <c r="A74" s="48">
        <v>42979</v>
      </c>
      <c r="B74" s="42" t="s">
        <v>16</v>
      </c>
      <c r="C74" s="67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43"/>
      <c r="AH74" s="44">
        <f>COUNTA(Juillet!$C74:$AG74)</f>
        <v>0</v>
      </c>
      <c r="AI74" s="45">
        <f>(COUNTIFS(Juillet!$C74:$AG74,("cp")))/2+Juin!AI74</f>
        <v>0</v>
      </c>
      <c r="AJ74" s="45">
        <f>COUNTIFS(Juillet!$C74:$AG74,"RTT")/2+Juin!AJ74</f>
        <v>0</v>
      </c>
      <c r="AK74" s="45">
        <f>COUNTIFS(Juillet!$C74:$AG74,"m")/2+Juin!AK74</f>
        <v>0</v>
      </c>
      <c r="AL74" s="45">
        <f>COUNTIFS(Juillet!$C74:$AG74,"a")/2+Juin!AL74</f>
        <v>0</v>
      </c>
      <c r="AM74" s="46"/>
      <c r="AN74" s="47"/>
      <c r="AO74" s="47"/>
      <c r="AP74" s="46"/>
      <c r="AQ74" s="47"/>
      <c r="AR74" s="47"/>
      <c r="AS74" s="101"/>
    </row>
    <row r="75" spans="1:45" s="63" customFormat="1" ht="12.95" customHeight="1" x14ac:dyDescent="0.25">
      <c r="A75" s="41"/>
      <c r="B75" s="42"/>
      <c r="C75" s="49" t="str">
        <f t="shared" ref="C75:AG75" si="38">IF(C73&gt;0,C73,IF(C74&gt;0,C74,""))</f>
        <v/>
      </c>
      <c r="D75" s="49" t="str">
        <f t="shared" si="38"/>
        <v/>
      </c>
      <c r="E75" s="49" t="str">
        <f t="shared" si="38"/>
        <v/>
      </c>
      <c r="F75" s="49" t="str">
        <f t="shared" si="38"/>
        <v/>
      </c>
      <c r="G75" s="49" t="str">
        <f t="shared" si="38"/>
        <v/>
      </c>
      <c r="H75" s="49" t="str">
        <f t="shared" si="38"/>
        <v/>
      </c>
      <c r="I75" s="49" t="str">
        <f t="shared" si="38"/>
        <v/>
      </c>
      <c r="J75" s="49" t="str">
        <f t="shared" si="38"/>
        <v/>
      </c>
      <c r="K75" s="49" t="str">
        <f t="shared" si="38"/>
        <v/>
      </c>
      <c r="L75" s="49" t="str">
        <f t="shared" si="38"/>
        <v/>
      </c>
      <c r="M75" s="49" t="str">
        <f t="shared" si="38"/>
        <v/>
      </c>
      <c r="N75" s="49" t="str">
        <f t="shared" si="38"/>
        <v/>
      </c>
      <c r="O75" s="49" t="str">
        <f t="shared" si="38"/>
        <v/>
      </c>
      <c r="P75" s="49" t="str">
        <f t="shared" si="38"/>
        <v/>
      </c>
      <c r="Q75" s="49" t="str">
        <f t="shared" si="38"/>
        <v/>
      </c>
      <c r="R75" s="49" t="str">
        <f t="shared" si="38"/>
        <v/>
      </c>
      <c r="S75" s="49" t="str">
        <f t="shared" si="38"/>
        <v/>
      </c>
      <c r="T75" s="49" t="str">
        <f t="shared" si="38"/>
        <v/>
      </c>
      <c r="U75" s="49" t="str">
        <f t="shared" si="38"/>
        <v/>
      </c>
      <c r="V75" s="49" t="str">
        <f t="shared" si="38"/>
        <v/>
      </c>
      <c r="W75" s="49" t="str">
        <f t="shared" si="38"/>
        <v/>
      </c>
      <c r="X75" s="49" t="str">
        <f t="shared" si="38"/>
        <v/>
      </c>
      <c r="Y75" s="49" t="str">
        <f t="shared" si="38"/>
        <v/>
      </c>
      <c r="Z75" s="49" t="str">
        <f t="shared" si="38"/>
        <v/>
      </c>
      <c r="AA75" s="49" t="str">
        <f t="shared" si="38"/>
        <v/>
      </c>
      <c r="AB75" s="49" t="str">
        <f t="shared" si="38"/>
        <v/>
      </c>
      <c r="AC75" s="49" t="str">
        <f t="shared" si="38"/>
        <v/>
      </c>
      <c r="AD75" s="49" t="str">
        <f t="shared" si="38"/>
        <v/>
      </c>
      <c r="AE75" s="49" t="str">
        <f t="shared" si="38"/>
        <v/>
      </c>
      <c r="AF75" s="49" t="str">
        <f t="shared" si="38"/>
        <v/>
      </c>
      <c r="AG75" s="49" t="str">
        <f t="shared" si="38"/>
        <v/>
      </c>
      <c r="AH75" s="44">
        <f>SUM(AH73:AH74)</f>
        <v>0</v>
      </c>
      <c r="AI75" s="45">
        <f>SUM(AI73:AI74)</f>
        <v>0</v>
      </c>
      <c r="AJ75" s="45">
        <f>SUM(AJ73:AJ74)</f>
        <v>0</v>
      </c>
      <c r="AK75" s="45">
        <f t="shared" ref="AK75:AL75" si="39">SUM(AK73:AK74)</f>
        <v>0</v>
      </c>
      <c r="AL75" s="45">
        <f t="shared" si="39"/>
        <v>0</v>
      </c>
      <c r="AM75" s="50">
        <f>+Juin!AM75</f>
        <v>0</v>
      </c>
      <c r="AN75" s="51">
        <f>IF(A74="","",IF(A74&gt;NomMois,0,IF(A74&lt;$A$3,2.08,(NETWORKDAYS(A74,$A$2)/21.66667)*2.08)))</f>
        <v>0</v>
      </c>
      <c r="AO75" s="51">
        <f>IF( AN75="",0,+AN75+Juin!AO75)</f>
        <v>0</v>
      </c>
      <c r="AP75" s="50"/>
      <c r="AQ75" s="45">
        <f>+AM75-AI75</f>
        <v>0</v>
      </c>
      <c r="AR75" s="45">
        <f>+AP75-AJ75</f>
        <v>0</v>
      </c>
      <c r="AS75" s="102">
        <f t="shared" si="17"/>
        <v>0</v>
      </c>
    </row>
    <row r="76" spans="1:45" s="63" customFormat="1" ht="6.75" customHeight="1" x14ac:dyDescent="0.25">
      <c r="A76" s="64"/>
      <c r="B76" s="42"/>
      <c r="C76" s="64"/>
      <c r="D76" s="64"/>
      <c r="E76" s="64"/>
      <c r="F76" s="64"/>
      <c r="G76" s="64"/>
      <c r="H76" s="64"/>
      <c r="I76" s="64"/>
      <c r="J76" s="64"/>
      <c r="K76" s="64"/>
      <c r="L76" s="64"/>
      <c r="M76" s="64"/>
      <c r="N76" s="64"/>
      <c r="O76" s="64"/>
      <c r="P76" s="64"/>
      <c r="Q76" s="64"/>
      <c r="R76" s="64"/>
      <c r="S76" s="64"/>
      <c r="T76" s="64"/>
      <c r="U76" s="64"/>
      <c r="V76" s="64"/>
      <c r="W76" s="64"/>
      <c r="X76" s="64"/>
      <c r="Y76" s="64"/>
      <c r="Z76" s="64"/>
      <c r="AA76" s="64"/>
      <c r="AB76" s="64"/>
      <c r="AC76" s="64"/>
      <c r="AD76" s="64"/>
      <c r="AE76" s="64"/>
      <c r="AF76" s="64"/>
      <c r="AG76" s="64"/>
      <c r="AH76" s="65"/>
      <c r="AI76" s="65"/>
      <c r="AJ76" s="65"/>
      <c r="AK76" s="65"/>
      <c r="AL76" s="65"/>
      <c r="AM76" s="64"/>
      <c r="AN76" s="65"/>
      <c r="AO76" s="65"/>
      <c r="AP76" s="64"/>
      <c r="AQ76" s="69"/>
      <c r="AR76" s="69"/>
      <c r="AS76" s="65"/>
    </row>
    <row r="77" spans="1:45" s="63" customFormat="1" ht="12.95" customHeight="1" x14ac:dyDescent="0.25">
      <c r="A77" s="41"/>
      <c r="B77" s="42" t="s">
        <v>15</v>
      </c>
      <c r="C77" s="67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43"/>
      <c r="AH77" s="44">
        <f>COUNTA(Juillet!$C77:$AG77)</f>
        <v>0</v>
      </c>
      <c r="AI77" s="45">
        <f>(COUNTIFS(Juillet!$C77:$AG77,("cp")))/2+Juin!AI77</f>
        <v>0</v>
      </c>
      <c r="AJ77" s="45">
        <f>COUNTIFS(Juillet!$C77:$AG77,"RTT")/2+Juin!AJ77</f>
        <v>0</v>
      </c>
      <c r="AK77" s="45">
        <f>COUNTIFS(Juillet!$C77:$AG77,"m")/2+Juin!AK77</f>
        <v>0</v>
      </c>
      <c r="AL77" s="45">
        <f>COUNTIFS(Juillet!$C77:$AG77,"a")/2+Juin!AL77</f>
        <v>0</v>
      </c>
      <c r="AM77" s="46"/>
      <c r="AN77" s="47"/>
      <c r="AO77" s="47"/>
      <c r="AP77" s="46"/>
      <c r="AQ77" s="47"/>
      <c r="AR77" s="47"/>
      <c r="AS77" s="47"/>
    </row>
    <row r="78" spans="1:45" s="63" customFormat="1" ht="12.95" customHeight="1" x14ac:dyDescent="0.25">
      <c r="A78" s="48">
        <v>43059</v>
      </c>
      <c r="B78" s="42" t="s">
        <v>16</v>
      </c>
      <c r="C78" s="67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  <c r="AA78" s="43"/>
      <c r="AB78" s="43"/>
      <c r="AC78" s="43"/>
      <c r="AD78" s="43"/>
      <c r="AE78" s="43"/>
      <c r="AF78" s="43"/>
      <c r="AG78" s="43"/>
      <c r="AH78" s="44">
        <f>COUNTA(Juillet!$C78:$AG78)</f>
        <v>0</v>
      </c>
      <c r="AI78" s="45">
        <f>(COUNTIFS(Juillet!$C78:$AG78,("cp")))/2+Juin!AI78</f>
        <v>0</v>
      </c>
      <c r="AJ78" s="45">
        <f>COUNTIFS(Juillet!$C78:$AG78,"RTT")/2+Juin!AJ78</f>
        <v>0</v>
      </c>
      <c r="AK78" s="45">
        <f>COUNTIFS(Juillet!$C78:$AG78,"m")/2+Juin!AK78</f>
        <v>0</v>
      </c>
      <c r="AL78" s="45">
        <f>COUNTIFS(Juillet!$C78:$AG78,"a")/2+Juin!AL78</f>
        <v>0</v>
      </c>
      <c r="AM78" s="46"/>
      <c r="AN78" s="47"/>
      <c r="AO78" s="47"/>
      <c r="AP78" s="46"/>
      <c r="AQ78" s="47"/>
      <c r="AR78" s="47"/>
      <c r="AS78" s="101"/>
    </row>
    <row r="79" spans="1:45" s="63" customFormat="1" ht="12.95" customHeight="1" x14ac:dyDescent="0.25">
      <c r="A79" s="41"/>
      <c r="B79" s="42"/>
      <c r="C79" s="49" t="str">
        <f t="shared" ref="C79:AG79" si="40">IF(C77&gt;0,C77,IF(C78&gt;0,C78,""))</f>
        <v/>
      </c>
      <c r="D79" s="49" t="str">
        <f t="shared" si="40"/>
        <v/>
      </c>
      <c r="E79" s="49" t="str">
        <f t="shared" si="40"/>
        <v/>
      </c>
      <c r="F79" s="49" t="str">
        <f t="shared" si="40"/>
        <v/>
      </c>
      <c r="G79" s="49" t="str">
        <f t="shared" si="40"/>
        <v/>
      </c>
      <c r="H79" s="49" t="str">
        <f t="shared" si="40"/>
        <v/>
      </c>
      <c r="I79" s="49" t="str">
        <f t="shared" si="40"/>
        <v/>
      </c>
      <c r="J79" s="49" t="str">
        <f t="shared" si="40"/>
        <v/>
      </c>
      <c r="K79" s="49" t="str">
        <f t="shared" si="40"/>
        <v/>
      </c>
      <c r="L79" s="49" t="str">
        <f t="shared" si="40"/>
        <v/>
      </c>
      <c r="M79" s="49" t="str">
        <f t="shared" si="40"/>
        <v/>
      </c>
      <c r="N79" s="49" t="str">
        <f t="shared" si="40"/>
        <v/>
      </c>
      <c r="O79" s="49" t="str">
        <f t="shared" si="40"/>
        <v/>
      </c>
      <c r="P79" s="49" t="str">
        <f t="shared" si="40"/>
        <v/>
      </c>
      <c r="Q79" s="49" t="str">
        <f t="shared" si="40"/>
        <v/>
      </c>
      <c r="R79" s="49" t="str">
        <f t="shared" si="40"/>
        <v/>
      </c>
      <c r="S79" s="49" t="str">
        <f t="shared" si="40"/>
        <v/>
      </c>
      <c r="T79" s="49" t="str">
        <f t="shared" si="40"/>
        <v/>
      </c>
      <c r="U79" s="49" t="str">
        <f t="shared" si="40"/>
        <v/>
      </c>
      <c r="V79" s="49" t="str">
        <f t="shared" si="40"/>
        <v/>
      </c>
      <c r="W79" s="49" t="str">
        <f t="shared" si="40"/>
        <v/>
      </c>
      <c r="X79" s="49" t="str">
        <f t="shared" si="40"/>
        <v/>
      </c>
      <c r="Y79" s="49" t="str">
        <f t="shared" si="40"/>
        <v/>
      </c>
      <c r="Z79" s="49" t="str">
        <f t="shared" si="40"/>
        <v/>
      </c>
      <c r="AA79" s="49" t="str">
        <f t="shared" si="40"/>
        <v/>
      </c>
      <c r="AB79" s="49" t="str">
        <f t="shared" si="40"/>
        <v/>
      </c>
      <c r="AC79" s="49" t="str">
        <f t="shared" si="40"/>
        <v/>
      </c>
      <c r="AD79" s="49" t="str">
        <f t="shared" si="40"/>
        <v/>
      </c>
      <c r="AE79" s="49" t="str">
        <f t="shared" si="40"/>
        <v/>
      </c>
      <c r="AF79" s="49" t="str">
        <f t="shared" si="40"/>
        <v/>
      </c>
      <c r="AG79" s="49" t="str">
        <f t="shared" si="40"/>
        <v/>
      </c>
      <c r="AH79" s="44">
        <f>SUM(AH77:AH78)</f>
        <v>0</v>
      </c>
      <c r="AI79" s="45">
        <f>SUM(AI77:AI78)</f>
        <v>0</v>
      </c>
      <c r="AJ79" s="45">
        <f>SUM(AJ77:AJ78)</f>
        <v>0</v>
      </c>
      <c r="AK79" s="45">
        <f t="shared" ref="AK79:AL79" si="41">SUM(AK77:AK78)</f>
        <v>0</v>
      </c>
      <c r="AL79" s="45">
        <f t="shared" si="41"/>
        <v>0</v>
      </c>
      <c r="AM79" s="50">
        <f>+Juin!AM79</f>
        <v>0</v>
      </c>
      <c r="AN79" s="51">
        <f>IF(A78="","",IF(A78&gt;NomMois,0,IF(A78&lt;$A$3,2.08,(NETWORKDAYS(A78,$A$2)/21.66667)*2.08)))</f>
        <v>0</v>
      </c>
      <c r="AO79" s="51">
        <f>IF( AN79="",0,+AN79+Juin!AO79)</f>
        <v>0</v>
      </c>
      <c r="AP79" s="50"/>
      <c r="AQ79" s="45">
        <f>+AM79-AI79</f>
        <v>0</v>
      </c>
      <c r="AR79" s="45">
        <f>+AP79-AJ79</f>
        <v>0</v>
      </c>
      <c r="AS79" s="102">
        <f t="shared" si="17"/>
        <v>0</v>
      </c>
    </row>
    <row r="80" spans="1:45" s="63" customFormat="1" ht="6.75" customHeight="1" x14ac:dyDescent="0.25">
      <c r="A80" s="64"/>
      <c r="B80" s="42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  <c r="X80" s="64"/>
      <c r="Y80" s="64"/>
      <c r="Z80" s="64"/>
      <c r="AA80" s="64"/>
      <c r="AB80" s="64"/>
      <c r="AC80" s="64"/>
      <c r="AD80" s="64"/>
      <c r="AE80" s="64"/>
      <c r="AF80" s="64"/>
      <c r="AG80" s="64"/>
      <c r="AH80" s="65"/>
      <c r="AI80" s="65"/>
      <c r="AJ80" s="65"/>
      <c r="AK80" s="65"/>
      <c r="AL80" s="65"/>
      <c r="AM80" s="64"/>
      <c r="AN80" s="65"/>
      <c r="AO80" s="65"/>
      <c r="AP80" s="64"/>
      <c r="AQ80" s="69"/>
      <c r="AR80" s="69"/>
      <c r="AS80" s="65"/>
    </row>
    <row r="81" spans="1:45" s="63" customFormat="1" ht="12.95" customHeight="1" x14ac:dyDescent="0.25">
      <c r="A81" s="41"/>
      <c r="B81" s="42" t="s">
        <v>15</v>
      </c>
      <c r="C81" s="67"/>
      <c r="D81" s="43"/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  <c r="AA81" s="43"/>
      <c r="AB81" s="43"/>
      <c r="AC81" s="43"/>
      <c r="AD81" s="43"/>
      <c r="AE81" s="43"/>
      <c r="AF81" s="43"/>
      <c r="AG81" s="43"/>
      <c r="AH81" s="44">
        <f>COUNTA(Juillet!$C81:$AG81)</f>
        <v>0</v>
      </c>
      <c r="AI81" s="45">
        <f>(COUNTIFS(Juillet!$C81:$AG81,("cp")))/2+Juin!AI81</f>
        <v>0</v>
      </c>
      <c r="AJ81" s="45">
        <f>COUNTIFS(Juillet!$C81:$AG81,"RTT")/2+Juin!AJ81</f>
        <v>0</v>
      </c>
      <c r="AK81" s="45">
        <f>COUNTIFS(Juillet!$C81:$AG81,"m")/2+Juin!AK81</f>
        <v>0</v>
      </c>
      <c r="AL81" s="45">
        <f>COUNTIFS(Juillet!$C81:$AG81,"a")/2+Juin!AL81</f>
        <v>0</v>
      </c>
      <c r="AM81" s="46"/>
      <c r="AN81" s="47"/>
      <c r="AO81" s="47"/>
      <c r="AP81" s="46"/>
      <c r="AQ81" s="47"/>
      <c r="AR81" s="47"/>
      <c r="AS81" s="47"/>
    </row>
    <row r="82" spans="1:45" s="63" customFormat="1" ht="12.95" customHeight="1" x14ac:dyDescent="0.25">
      <c r="A82" s="48">
        <v>42506</v>
      </c>
      <c r="B82" s="42" t="s">
        <v>16</v>
      </c>
      <c r="C82" s="67"/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  <c r="S82" s="43"/>
      <c r="T82" s="43"/>
      <c r="U82" s="43"/>
      <c r="V82" s="43"/>
      <c r="W82" s="43"/>
      <c r="X82" s="43"/>
      <c r="Y82" s="43"/>
      <c r="Z82" s="43"/>
      <c r="AA82" s="43"/>
      <c r="AB82" s="43"/>
      <c r="AC82" s="43"/>
      <c r="AD82" s="43"/>
      <c r="AE82" s="43"/>
      <c r="AF82" s="43"/>
      <c r="AG82" s="43"/>
      <c r="AH82" s="44">
        <f>COUNTA(Juillet!$C82:$AG82)</f>
        <v>0</v>
      </c>
      <c r="AI82" s="45">
        <f>(COUNTIFS(Juillet!$C82:$AG82,("cp")))/2+Juin!AI82</f>
        <v>0</v>
      </c>
      <c r="AJ82" s="45">
        <f>COUNTIFS(Juillet!$C82:$AG82,"RTT")/2+Juin!AJ82</f>
        <v>0</v>
      </c>
      <c r="AK82" s="45">
        <f>COUNTIFS(Juillet!$C82:$AG82,"m")/2+Juin!AK82</f>
        <v>0</v>
      </c>
      <c r="AL82" s="45">
        <f>COUNTIFS(Juillet!$C82:$AG82,"a")/2+Juin!AL82</f>
        <v>0</v>
      </c>
      <c r="AM82" s="46"/>
      <c r="AN82" s="47"/>
      <c r="AO82" s="47"/>
      <c r="AP82" s="46"/>
      <c r="AQ82" s="47"/>
      <c r="AR82" s="47"/>
      <c r="AS82" s="101"/>
    </row>
    <row r="83" spans="1:45" s="63" customFormat="1" ht="12.95" customHeight="1" x14ac:dyDescent="0.25">
      <c r="A83" s="41"/>
      <c r="B83" s="42"/>
      <c r="C83" s="49" t="str">
        <f t="shared" ref="C83:AG83" si="42">IF(C81&gt;0,C81,IF(C82&gt;0,C82,""))</f>
        <v/>
      </c>
      <c r="D83" s="49" t="str">
        <f t="shared" si="42"/>
        <v/>
      </c>
      <c r="E83" s="49" t="str">
        <f t="shared" si="42"/>
        <v/>
      </c>
      <c r="F83" s="49" t="str">
        <f t="shared" si="42"/>
        <v/>
      </c>
      <c r="G83" s="49" t="str">
        <f t="shared" si="42"/>
        <v/>
      </c>
      <c r="H83" s="49" t="str">
        <f t="shared" si="42"/>
        <v/>
      </c>
      <c r="I83" s="49" t="str">
        <f t="shared" si="42"/>
        <v/>
      </c>
      <c r="J83" s="49" t="str">
        <f t="shared" si="42"/>
        <v/>
      </c>
      <c r="K83" s="49" t="str">
        <f t="shared" si="42"/>
        <v/>
      </c>
      <c r="L83" s="49" t="str">
        <f t="shared" si="42"/>
        <v/>
      </c>
      <c r="M83" s="49" t="str">
        <f t="shared" si="42"/>
        <v/>
      </c>
      <c r="N83" s="49" t="str">
        <f t="shared" si="42"/>
        <v/>
      </c>
      <c r="O83" s="49" t="str">
        <f t="shared" si="42"/>
        <v/>
      </c>
      <c r="P83" s="49" t="str">
        <f t="shared" si="42"/>
        <v/>
      </c>
      <c r="Q83" s="49" t="str">
        <f t="shared" si="42"/>
        <v/>
      </c>
      <c r="R83" s="49" t="str">
        <f t="shared" si="42"/>
        <v/>
      </c>
      <c r="S83" s="49" t="str">
        <f t="shared" si="42"/>
        <v/>
      </c>
      <c r="T83" s="49" t="str">
        <f t="shared" si="42"/>
        <v/>
      </c>
      <c r="U83" s="49" t="str">
        <f t="shared" si="42"/>
        <v/>
      </c>
      <c r="V83" s="49" t="str">
        <f t="shared" si="42"/>
        <v/>
      </c>
      <c r="W83" s="49" t="str">
        <f t="shared" si="42"/>
        <v/>
      </c>
      <c r="X83" s="49" t="str">
        <f t="shared" si="42"/>
        <v/>
      </c>
      <c r="Y83" s="49" t="str">
        <f t="shared" si="42"/>
        <v/>
      </c>
      <c r="Z83" s="49" t="str">
        <f t="shared" si="42"/>
        <v/>
      </c>
      <c r="AA83" s="49" t="str">
        <f t="shared" si="42"/>
        <v/>
      </c>
      <c r="AB83" s="49" t="str">
        <f t="shared" si="42"/>
        <v/>
      </c>
      <c r="AC83" s="49" t="str">
        <f t="shared" si="42"/>
        <v/>
      </c>
      <c r="AD83" s="49" t="str">
        <f t="shared" si="42"/>
        <v/>
      </c>
      <c r="AE83" s="49" t="str">
        <f t="shared" si="42"/>
        <v/>
      </c>
      <c r="AF83" s="49" t="str">
        <f t="shared" si="42"/>
        <v/>
      </c>
      <c r="AG83" s="49" t="str">
        <f t="shared" si="42"/>
        <v/>
      </c>
      <c r="AH83" s="44">
        <f>SUM(AH81:AH82)</f>
        <v>0</v>
      </c>
      <c r="AI83" s="45">
        <f>SUM(AI81:AI82)</f>
        <v>0</v>
      </c>
      <c r="AJ83" s="45">
        <f>SUM(AJ81:AJ82)</f>
        <v>0</v>
      </c>
      <c r="AK83" s="45">
        <f t="shared" ref="AK83:AL83" si="43">SUM(AK81:AK82)</f>
        <v>0</v>
      </c>
      <c r="AL83" s="45">
        <f t="shared" si="43"/>
        <v>0</v>
      </c>
      <c r="AM83" s="50">
        <f>+Juin!AM83</f>
        <v>-9.98</v>
      </c>
      <c r="AN83" s="51">
        <f>IF(A82="","",IF(A82&gt;NomMois,0,IF(A82&lt;$A$3,2.08,(NETWORKDAYS(A82,$A$2)/21.66667)*2.08)))</f>
        <v>2.08</v>
      </c>
      <c r="AO83" s="51">
        <f>IF( AN83="",0,+AN83+Juin!AO83)</f>
        <v>4.16</v>
      </c>
      <c r="AP83" s="50"/>
      <c r="AQ83" s="45">
        <f>+AM83-AI83</f>
        <v>-9.98</v>
      </c>
      <c r="AR83" s="45">
        <f>+AP83-AJ83</f>
        <v>0</v>
      </c>
      <c r="AS83" s="102">
        <f t="shared" si="17"/>
        <v>-5.82</v>
      </c>
    </row>
    <row r="84" spans="1:45" s="63" customFormat="1" ht="6.75" customHeight="1" x14ac:dyDescent="0.25">
      <c r="A84" s="64"/>
      <c r="B84" s="42"/>
      <c r="C84" s="64"/>
      <c r="D84" s="64"/>
      <c r="E84" s="64"/>
      <c r="F84" s="64"/>
      <c r="G84" s="64"/>
      <c r="H84" s="64"/>
      <c r="I84" s="64"/>
      <c r="J84" s="64"/>
      <c r="K84" s="64"/>
      <c r="L84" s="64"/>
      <c r="M84" s="64"/>
      <c r="N84" s="64"/>
      <c r="O84" s="64"/>
      <c r="P84" s="64"/>
      <c r="Q84" s="64"/>
      <c r="R84" s="64"/>
      <c r="S84" s="64"/>
      <c r="T84" s="64"/>
      <c r="U84" s="64"/>
      <c r="V84" s="64"/>
      <c r="W84" s="64"/>
      <c r="X84" s="64"/>
      <c r="Y84" s="64"/>
      <c r="Z84" s="64"/>
      <c r="AA84" s="64"/>
      <c r="AB84" s="64"/>
      <c r="AC84" s="64"/>
      <c r="AD84" s="64"/>
      <c r="AE84" s="64"/>
      <c r="AF84" s="64"/>
      <c r="AG84" s="64"/>
      <c r="AH84" s="65"/>
      <c r="AI84" s="65"/>
      <c r="AJ84" s="65"/>
      <c r="AK84" s="65"/>
      <c r="AL84" s="65"/>
      <c r="AM84" s="64"/>
      <c r="AN84" s="65"/>
      <c r="AO84" s="65"/>
      <c r="AP84" s="64"/>
      <c r="AQ84" s="69"/>
      <c r="AR84" s="69"/>
      <c r="AS84" s="65"/>
    </row>
    <row r="85" spans="1:45" s="63" customFormat="1" ht="12.95" customHeight="1" x14ac:dyDescent="0.25">
      <c r="A85" s="41"/>
      <c r="B85" s="42" t="s">
        <v>15</v>
      </c>
      <c r="C85" s="67"/>
      <c r="D85" s="43"/>
      <c r="E85" s="43"/>
      <c r="F85" s="43"/>
      <c r="G85" s="43"/>
      <c r="H85" s="43"/>
      <c r="I85" s="43"/>
      <c r="J85" s="43"/>
      <c r="K85" s="43"/>
      <c r="L85" s="43"/>
      <c r="M85" s="43"/>
      <c r="N85" s="43"/>
      <c r="O85" s="43"/>
      <c r="P85" s="43"/>
      <c r="Q85" s="43"/>
      <c r="R85" s="43"/>
      <c r="S85" s="43" t="s">
        <v>7</v>
      </c>
      <c r="T85" s="43" t="s">
        <v>7</v>
      </c>
      <c r="U85" s="43" t="s">
        <v>7</v>
      </c>
      <c r="V85" s="43" t="s">
        <v>7</v>
      </c>
      <c r="W85" s="43" t="s">
        <v>7</v>
      </c>
      <c r="X85" s="43"/>
      <c r="Y85" s="43"/>
      <c r="Z85" s="43" t="s">
        <v>7</v>
      </c>
      <c r="AA85" s="43" t="s">
        <v>7</v>
      </c>
      <c r="AB85" s="43" t="s">
        <v>7</v>
      </c>
      <c r="AC85" s="43" t="s">
        <v>7</v>
      </c>
      <c r="AD85" s="43" t="s">
        <v>7</v>
      </c>
      <c r="AE85" s="43" t="s">
        <v>7</v>
      </c>
      <c r="AF85" s="43"/>
      <c r="AG85" s="43" t="s">
        <v>7</v>
      </c>
      <c r="AH85" s="44">
        <f>COUNTA(Juillet!$C85:$AG85)</f>
        <v>12</v>
      </c>
      <c r="AI85" s="45">
        <f>(COUNTIFS(Juillet!$C85:$AG85,("cp")))/2+Juin!AI85</f>
        <v>6</v>
      </c>
      <c r="AJ85" s="45">
        <f>COUNTIFS(Juillet!$C85:$AG85,"RTT")/2+Juin!AJ85</f>
        <v>0</v>
      </c>
      <c r="AK85" s="45">
        <f>COUNTIFS(Juillet!$C85:$AG85,"m")/2+Juin!AK85</f>
        <v>0</v>
      </c>
      <c r="AL85" s="45">
        <f>COUNTIFS(Juillet!$C85:$AG85,"a")/2+Juin!AL85</f>
        <v>0</v>
      </c>
      <c r="AM85" s="46"/>
      <c r="AN85" s="47"/>
      <c r="AO85" s="47"/>
      <c r="AP85" s="46"/>
      <c r="AQ85" s="47"/>
      <c r="AR85" s="47"/>
      <c r="AS85" s="47"/>
    </row>
    <row r="86" spans="1:45" s="63" customFormat="1" ht="12.95" customHeight="1" x14ac:dyDescent="0.25">
      <c r="A86" s="48">
        <v>42303</v>
      </c>
      <c r="B86" s="42" t="s">
        <v>16</v>
      </c>
      <c r="C86" s="67"/>
      <c r="D86" s="43"/>
      <c r="E86" s="43"/>
      <c r="F86" s="43"/>
      <c r="G86" s="43"/>
      <c r="H86" s="43"/>
      <c r="I86" s="43"/>
      <c r="J86" s="43"/>
      <c r="K86" s="43"/>
      <c r="L86" s="43"/>
      <c r="M86" s="43"/>
      <c r="N86" s="43"/>
      <c r="O86" s="43"/>
      <c r="P86" s="43"/>
      <c r="Q86" s="43"/>
      <c r="R86" s="43"/>
      <c r="S86" s="43" t="s">
        <v>7</v>
      </c>
      <c r="T86" s="43" t="s">
        <v>7</v>
      </c>
      <c r="U86" s="43" t="s">
        <v>7</v>
      </c>
      <c r="V86" s="43" t="s">
        <v>7</v>
      </c>
      <c r="W86" s="43" t="s">
        <v>7</v>
      </c>
      <c r="X86" s="43"/>
      <c r="Y86" s="43"/>
      <c r="Z86" s="43" t="s">
        <v>7</v>
      </c>
      <c r="AA86" s="43" t="s">
        <v>7</v>
      </c>
      <c r="AB86" s="43" t="s">
        <v>7</v>
      </c>
      <c r="AC86" s="43" t="s">
        <v>7</v>
      </c>
      <c r="AD86" s="43" t="s">
        <v>7</v>
      </c>
      <c r="AE86" s="43" t="s">
        <v>7</v>
      </c>
      <c r="AF86" s="43"/>
      <c r="AG86" s="43" t="s">
        <v>7</v>
      </c>
      <c r="AH86" s="44">
        <f>COUNTA(Juillet!$C86:$AG86)</f>
        <v>12</v>
      </c>
      <c r="AI86" s="45">
        <f>(COUNTIFS(Juillet!$C86:$AG86,("cp")))/2+Juin!AI86</f>
        <v>6</v>
      </c>
      <c r="AJ86" s="45">
        <f>COUNTIFS(Juillet!$C86:$AG86,"RTT")/2+Juin!AJ86</f>
        <v>0</v>
      </c>
      <c r="AK86" s="45">
        <f>COUNTIFS(Juillet!$C86:$AG86,"m")/2+Juin!AK86</f>
        <v>0</v>
      </c>
      <c r="AL86" s="45">
        <f>COUNTIFS(Juillet!$C86:$AG86,"a")/2+Juin!AL86</f>
        <v>0</v>
      </c>
      <c r="AM86" s="46"/>
      <c r="AN86" s="47"/>
      <c r="AO86" s="47"/>
      <c r="AP86" s="46"/>
      <c r="AQ86" s="47"/>
      <c r="AR86" s="47"/>
      <c r="AS86" s="101"/>
    </row>
    <row r="87" spans="1:45" s="63" customFormat="1" ht="12.95" customHeight="1" x14ac:dyDescent="0.25">
      <c r="A87" s="41"/>
      <c r="B87" s="42"/>
      <c r="C87" s="49" t="str">
        <f t="shared" ref="C87:AG87" si="44">IF(C85&gt;0,C85,IF(C86&gt;0,C86,""))</f>
        <v/>
      </c>
      <c r="D87" s="49" t="str">
        <f t="shared" si="44"/>
        <v/>
      </c>
      <c r="E87" s="49" t="str">
        <f t="shared" si="44"/>
        <v/>
      </c>
      <c r="F87" s="49" t="str">
        <f t="shared" si="44"/>
        <v/>
      </c>
      <c r="G87" s="49" t="str">
        <f t="shared" si="44"/>
        <v/>
      </c>
      <c r="H87" s="49" t="str">
        <f t="shared" si="44"/>
        <v/>
      </c>
      <c r="I87" s="49" t="str">
        <f t="shared" si="44"/>
        <v/>
      </c>
      <c r="J87" s="49" t="str">
        <f t="shared" si="44"/>
        <v/>
      </c>
      <c r="K87" s="49" t="str">
        <f t="shared" si="44"/>
        <v/>
      </c>
      <c r="L87" s="49" t="str">
        <f t="shared" si="44"/>
        <v/>
      </c>
      <c r="M87" s="49" t="str">
        <f t="shared" si="44"/>
        <v/>
      </c>
      <c r="N87" s="49" t="str">
        <f t="shared" si="44"/>
        <v/>
      </c>
      <c r="O87" s="49" t="str">
        <f t="shared" si="44"/>
        <v/>
      </c>
      <c r="P87" s="49" t="str">
        <f t="shared" si="44"/>
        <v/>
      </c>
      <c r="Q87" s="49" t="str">
        <f t="shared" si="44"/>
        <v/>
      </c>
      <c r="R87" s="49" t="str">
        <f t="shared" si="44"/>
        <v/>
      </c>
      <c r="S87" s="49" t="str">
        <f t="shared" si="44"/>
        <v>CP</v>
      </c>
      <c r="T87" s="49" t="str">
        <f t="shared" si="44"/>
        <v>CP</v>
      </c>
      <c r="U87" s="49" t="str">
        <f t="shared" si="44"/>
        <v>CP</v>
      </c>
      <c r="V87" s="49" t="str">
        <f t="shared" si="44"/>
        <v>CP</v>
      </c>
      <c r="W87" s="49" t="str">
        <f t="shared" si="44"/>
        <v>CP</v>
      </c>
      <c r="X87" s="49" t="str">
        <f t="shared" si="44"/>
        <v/>
      </c>
      <c r="Y87" s="49" t="str">
        <f t="shared" si="44"/>
        <v/>
      </c>
      <c r="Z87" s="49" t="str">
        <f t="shared" si="44"/>
        <v>CP</v>
      </c>
      <c r="AA87" s="49" t="str">
        <f t="shared" si="44"/>
        <v>CP</v>
      </c>
      <c r="AB87" s="49" t="str">
        <f t="shared" si="44"/>
        <v>CP</v>
      </c>
      <c r="AC87" s="49" t="str">
        <f t="shared" si="44"/>
        <v>CP</v>
      </c>
      <c r="AD87" s="49" t="str">
        <f t="shared" si="44"/>
        <v>CP</v>
      </c>
      <c r="AE87" s="49" t="str">
        <f t="shared" si="44"/>
        <v>CP</v>
      </c>
      <c r="AF87" s="49" t="str">
        <f t="shared" si="44"/>
        <v/>
      </c>
      <c r="AG87" s="49" t="str">
        <f t="shared" si="44"/>
        <v>CP</v>
      </c>
      <c r="AH87" s="44">
        <f>SUM(AH85:AH86)</f>
        <v>24</v>
      </c>
      <c r="AI87" s="45">
        <f>SUM(AI85:AI86)</f>
        <v>12</v>
      </c>
      <c r="AJ87" s="45">
        <f>SUM(AJ85:AJ86)</f>
        <v>0</v>
      </c>
      <c r="AK87" s="45">
        <f t="shared" ref="AK87:AL87" si="45">SUM(AK85:AK86)</f>
        <v>0</v>
      </c>
      <c r="AL87" s="45">
        <f t="shared" si="45"/>
        <v>0</v>
      </c>
      <c r="AM87" s="50">
        <f>+Juin!AM87</f>
        <v>12.02</v>
      </c>
      <c r="AN87" s="51">
        <f>IF(A86="","",IF(A86&gt;NomMois,0,IF(A86&lt;$A$3,2.5,(NETWORKDAYS(A86,$A$2)/21.66667)*2.5)))</f>
        <v>2.5</v>
      </c>
      <c r="AO87" s="51">
        <f>IF( AN87="",0,+AN87+Juin!AO87)</f>
        <v>5</v>
      </c>
      <c r="AP87" s="50"/>
      <c r="AQ87" s="45">
        <f>+AM87-AI87</f>
        <v>1.9999999999999574E-2</v>
      </c>
      <c r="AR87" s="45">
        <f>+AP87-AJ87</f>
        <v>0</v>
      </c>
      <c r="AS87" s="102">
        <f t="shared" si="17"/>
        <v>5.0199999999999996</v>
      </c>
    </row>
    <row r="88" spans="1:45" s="63" customFormat="1" ht="6.75" customHeight="1" x14ac:dyDescent="0.25">
      <c r="A88" s="64"/>
      <c r="B88" s="42"/>
      <c r="C88" s="64"/>
      <c r="D88" s="64"/>
      <c r="E88" s="64"/>
      <c r="F88" s="64"/>
      <c r="G88" s="64"/>
      <c r="H88" s="64"/>
      <c r="I88" s="64"/>
      <c r="J88" s="64"/>
      <c r="K88" s="64"/>
      <c r="L88" s="64"/>
      <c r="M88" s="64"/>
      <c r="N88" s="64"/>
      <c r="O88" s="64"/>
      <c r="P88" s="64"/>
      <c r="Q88" s="64"/>
      <c r="R88" s="64"/>
      <c r="S88" s="64"/>
      <c r="T88" s="64"/>
      <c r="U88" s="64"/>
      <c r="V88" s="64"/>
      <c r="W88" s="64"/>
      <c r="X88" s="64"/>
      <c r="Y88" s="64"/>
      <c r="Z88" s="64"/>
      <c r="AA88" s="64"/>
      <c r="AB88" s="64"/>
      <c r="AC88" s="64"/>
      <c r="AD88" s="64"/>
      <c r="AE88" s="64"/>
      <c r="AF88" s="64"/>
      <c r="AG88" s="64"/>
      <c r="AH88" s="65"/>
      <c r="AI88" s="65"/>
      <c r="AJ88" s="65"/>
      <c r="AK88" s="65"/>
      <c r="AL88" s="65"/>
      <c r="AM88" s="64"/>
      <c r="AN88" s="65"/>
      <c r="AO88" s="65"/>
      <c r="AP88" s="64"/>
      <c r="AQ88" s="69"/>
      <c r="AR88" s="69"/>
      <c r="AS88" s="65"/>
    </row>
    <row r="89" spans="1:45" s="63" customFormat="1" ht="12.95" customHeight="1" x14ac:dyDescent="0.25">
      <c r="A89" s="41"/>
      <c r="B89" s="42" t="s">
        <v>15</v>
      </c>
      <c r="C89" s="67"/>
      <c r="D89" s="43"/>
      <c r="E89" s="43"/>
      <c r="F89" s="43"/>
      <c r="G89" s="43"/>
      <c r="H89" s="43"/>
      <c r="I89" s="43"/>
      <c r="J89" s="43"/>
      <c r="K89" s="43"/>
      <c r="L89" s="43"/>
      <c r="M89" s="43"/>
      <c r="N89" s="43"/>
      <c r="O89" s="43"/>
      <c r="P89" s="43"/>
      <c r="Q89" s="43"/>
      <c r="R89" s="43"/>
      <c r="S89" s="43"/>
      <c r="T89" s="43"/>
      <c r="U89" s="43"/>
      <c r="V89" s="43"/>
      <c r="W89" s="43"/>
      <c r="X89" s="43"/>
      <c r="Y89" s="43"/>
      <c r="Z89" s="43"/>
      <c r="AA89" s="43"/>
      <c r="AB89" s="43"/>
      <c r="AC89" s="43"/>
      <c r="AD89" s="43"/>
      <c r="AE89" s="43"/>
      <c r="AF89" s="43"/>
      <c r="AG89" s="43"/>
      <c r="AH89" s="44">
        <f>COUNTA(Juillet!$C89:$AG89)</f>
        <v>0</v>
      </c>
      <c r="AI89" s="45">
        <f>(COUNTIFS(Juillet!$C89:$AG89,("cp")))/2+Juin!AI89</f>
        <v>0</v>
      </c>
      <c r="AJ89" s="45">
        <f>COUNTIFS(Juillet!$C89:$AG89,"RTT")/2+Juin!AJ89</f>
        <v>0</v>
      </c>
      <c r="AK89" s="45">
        <f>COUNTIFS(Juillet!$C89:$AG89,"m")/2+Juin!AK89</f>
        <v>0</v>
      </c>
      <c r="AL89" s="45">
        <f>COUNTIFS(Juillet!$C89:$AG89,"a")/2+Juin!AL89</f>
        <v>0</v>
      </c>
      <c r="AM89" s="46"/>
      <c r="AN89" s="47"/>
      <c r="AO89" s="47"/>
      <c r="AP89" s="46"/>
      <c r="AQ89" s="47"/>
      <c r="AR89" s="47"/>
      <c r="AS89" s="47"/>
    </row>
    <row r="90" spans="1:45" s="63" customFormat="1" ht="12.95" customHeight="1" x14ac:dyDescent="0.25">
      <c r="A90" s="48">
        <v>42303</v>
      </c>
      <c r="B90" s="42" t="s">
        <v>16</v>
      </c>
      <c r="C90" s="67"/>
      <c r="D90" s="43"/>
      <c r="E90" s="43"/>
      <c r="F90" s="43"/>
      <c r="G90" s="43"/>
      <c r="H90" s="43"/>
      <c r="I90" s="43"/>
      <c r="J90" s="43"/>
      <c r="K90" s="43"/>
      <c r="L90" s="43"/>
      <c r="M90" s="43"/>
      <c r="N90" s="43"/>
      <c r="O90" s="43"/>
      <c r="P90" s="43"/>
      <c r="Q90" s="43"/>
      <c r="R90" s="43"/>
      <c r="S90" s="43"/>
      <c r="T90" s="43"/>
      <c r="U90" s="43"/>
      <c r="V90" s="43"/>
      <c r="W90" s="43"/>
      <c r="X90" s="43"/>
      <c r="Y90" s="43"/>
      <c r="Z90" s="43"/>
      <c r="AA90" s="43"/>
      <c r="AB90" s="43"/>
      <c r="AC90" s="43"/>
      <c r="AD90" s="43"/>
      <c r="AE90" s="43"/>
      <c r="AF90" s="43"/>
      <c r="AG90" s="43"/>
      <c r="AH90" s="44">
        <f>COUNTA(Juillet!$C90:$AG90)</f>
        <v>0</v>
      </c>
      <c r="AI90" s="45">
        <f>(COUNTIFS(Juillet!$C90:$AG90,("cp")))/2+Juin!AI90</f>
        <v>0</v>
      </c>
      <c r="AJ90" s="45">
        <f>COUNTIFS(Juillet!$C90:$AG90,"RTT")/2+Juin!AJ90</f>
        <v>0</v>
      </c>
      <c r="AK90" s="45">
        <f>COUNTIFS(Juillet!$C90:$AG90,"m")/2+Juin!AK90</f>
        <v>0</v>
      </c>
      <c r="AL90" s="45">
        <f>COUNTIFS(Juillet!$C90:$AG90,"a")/2+Juin!AL90</f>
        <v>0</v>
      </c>
      <c r="AM90" s="46"/>
      <c r="AN90" s="47"/>
      <c r="AO90" s="47"/>
      <c r="AP90" s="46"/>
      <c r="AQ90" s="47"/>
      <c r="AR90" s="47"/>
      <c r="AS90" s="101"/>
    </row>
    <row r="91" spans="1:45" s="63" customFormat="1" ht="12.95" customHeight="1" x14ac:dyDescent="0.25">
      <c r="A91" s="41"/>
      <c r="B91" s="42"/>
      <c r="C91" s="49" t="str">
        <f t="shared" ref="C91:AG91" si="46">IF(C89&gt;0,C89,IF(C90&gt;0,C90,""))</f>
        <v/>
      </c>
      <c r="D91" s="49" t="str">
        <f t="shared" si="46"/>
        <v/>
      </c>
      <c r="E91" s="49" t="str">
        <f t="shared" si="46"/>
        <v/>
      </c>
      <c r="F91" s="49" t="str">
        <f t="shared" si="46"/>
        <v/>
      </c>
      <c r="G91" s="49" t="str">
        <f t="shared" si="46"/>
        <v/>
      </c>
      <c r="H91" s="49" t="str">
        <f t="shared" si="46"/>
        <v/>
      </c>
      <c r="I91" s="49" t="str">
        <f t="shared" si="46"/>
        <v/>
      </c>
      <c r="J91" s="49" t="str">
        <f t="shared" si="46"/>
        <v/>
      </c>
      <c r="K91" s="49" t="str">
        <f t="shared" si="46"/>
        <v/>
      </c>
      <c r="L91" s="49" t="str">
        <f t="shared" si="46"/>
        <v/>
      </c>
      <c r="M91" s="49" t="str">
        <f t="shared" si="46"/>
        <v/>
      </c>
      <c r="N91" s="49" t="str">
        <f t="shared" si="46"/>
        <v/>
      </c>
      <c r="O91" s="49" t="str">
        <f t="shared" si="46"/>
        <v/>
      </c>
      <c r="P91" s="49" t="str">
        <f t="shared" si="46"/>
        <v/>
      </c>
      <c r="Q91" s="49" t="str">
        <f t="shared" si="46"/>
        <v/>
      </c>
      <c r="R91" s="49" t="str">
        <f t="shared" si="46"/>
        <v/>
      </c>
      <c r="S91" s="49" t="str">
        <f t="shared" si="46"/>
        <v/>
      </c>
      <c r="T91" s="49" t="str">
        <f t="shared" si="46"/>
        <v/>
      </c>
      <c r="U91" s="49" t="str">
        <f t="shared" si="46"/>
        <v/>
      </c>
      <c r="V91" s="49" t="str">
        <f t="shared" si="46"/>
        <v/>
      </c>
      <c r="W91" s="49" t="str">
        <f t="shared" si="46"/>
        <v/>
      </c>
      <c r="X91" s="49" t="str">
        <f t="shared" si="46"/>
        <v/>
      </c>
      <c r="Y91" s="49" t="str">
        <f t="shared" si="46"/>
        <v/>
      </c>
      <c r="Z91" s="49" t="str">
        <f t="shared" si="46"/>
        <v/>
      </c>
      <c r="AA91" s="49" t="str">
        <f t="shared" si="46"/>
        <v/>
      </c>
      <c r="AB91" s="49" t="str">
        <f t="shared" si="46"/>
        <v/>
      </c>
      <c r="AC91" s="49" t="str">
        <f t="shared" si="46"/>
        <v/>
      </c>
      <c r="AD91" s="49" t="str">
        <f t="shared" si="46"/>
        <v/>
      </c>
      <c r="AE91" s="49" t="str">
        <f t="shared" si="46"/>
        <v/>
      </c>
      <c r="AF91" s="49" t="str">
        <f t="shared" si="46"/>
        <v/>
      </c>
      <c r="AG91" s="49" t="str">
        <f t="shared" si="46"/>
        <v/>
      </c>
      <c r="AH91" s="44">
        <f>SUM(AH89:AH90)</f>
        <v>0</v>
      </c>
      <c r="AI91" s="45">
        <f>SUM(AI89:AI90)</f>
        <v>0</v>
      </c>
      <c r="AJ91" s="45">
        <f>SUM(AJ89:AJ90)</f>
        <v>0</v>
      </c>
      <c r="AK91" s="45">
        <f t="shared" ref="AK91:AL91" si="47">SUM(AK89:AK90)</f>
        <v>0</v>
      </c>
      <c r="AL91" s="45">
        <f t="shared" si="47"/>
        <v>0</v>
      </c>
      <c r="AM91" s="50">
        <f>+Juin!AM91</f>
        <v>-0.82</v>
      </c>
      <c r="AN91" s="51">
        <f>IF(A90="","",IF(A90&gt;NomMois,0,IF(A90&lt;$A$3,2.5,(NETWORKDAYS(A90,$A$2)/21.66667)*2.5)))</f>
        <v>2.5</v>
      </c>
      <c r="AO91" s="51">
        <f>IF( AN91="",0,+AN91+Juin!AO91)</f>
        <v>5</v>
      </c>
      <c r="AP91" s="50"/>
      <c r="AQ91" s="45">
        <f>+AM91-AI91</f>
        <v>-0.82</v>
      </c>
      <c r="AR91" s="45">
        <f>+AP91-AJ91</f>
        <v>0</v>
      </c>
      <c r="AS91" s="102">
        <f t="shared" si="17"/>
        <v>4.18</v>
      </c>
    </row>
    <row r="92" spans="1:45" s="63" customFormat="1" ht="6.75" customHeight="1" x14ac:dyDescent="0.25">
      <c r="A92" s="64"/>
      <c r="B92" s="42"/>
      <c r="C92" s="64"/>
      <c r="D92" s="64"/>
      <c r="E92" s="64"/>
      <c r="F92" s="64"/>
      <c r="G92" s="64"/>
      <c r="H92" s="64"/>
      <c r="I92" s="64"/>
      <c r="J92" s="64"/>
      <c r="K92" s="64"/>
      <c r="L92" s="64"/>
      <c r="M92" s="64"/>
      <c r="N92" s="64"/>
      <c r="O92" s="64"/>
      <c r="P92" s="64"/>
      <c r="Q92" s="64"/>
      <c r="R92" s="64"/>
      <c r="S92" s="64"/>
      <c r="T92" s="64"/>
      <c r="U92" s="64"/>
      <c r="V92" s="64"/>
      <c r="W92" s="64"/>
      <c r="X92" s="64"/>
      <c r="Y92" s="64"/>
      <c r="Z92" s="64"/>
      <c r="AA92" s="64"/>
      <c r="AB92" s="64"/>
      <c r="AC92" s="64"/>
      <c r="AD92" s="64"/>
      <c r="AE92" s="64"/>
      <c r="AF92" s="64"/>
      <c r="AG92" s="64"/>
      <c r="AH92" s="65"/>
      <c r="AI92" s="65"/>
      <c r="AJ92" s="65"/>
      <c r="AK92" s="65"/>
      <c r="AL92" s="65"/>
      <c r="AM92" s="64"/>
      <c r="AN92" s="65"/>
      <c r="AO92" s="65"/>
      <c r="AP92" s="64"/>
      <c r="AQ92" s="69"/>
      <c r="AR92" s="69"/>
      <c r="AS92" s="65"/>
    </row>
    <row r="93" spans="1:45" ht="12.95" customHeight="1" x14ac:dyDescent="0.25">
      <c r="A93" s="41"/>
      <c r="B93" s="42" t="s">
        <v>15</v>
      </c>
      <c r="C93" s="67"/>
      <c r="D93" s="43"/>
      <c r="E93" s="43"/>
      <c r="F93" s="43"/>
      <c r="G93" s="43"/>
      <c r="H93" s="43"/>
      <c r="I93" s="43"/>
      <c r="J93" s="43"/>
      <c r="K93" s="43"/>
      <c r="L93" s="43"/>
      <c r="M93" s="43"/>
      <c r="N93" s="43"/>
      <c r="O93" s="43"/>
      <c r="P93" s="43"/>
      <c r="Q93" s="43"/>
      <c r="R93" s="43"/>
      <c r="S93" s="43"/>
      <c r="T93" s="43"/>
      <c r="U93" s="43"/>
      <c r="V93" s="43"/>
      <c r="W93" s="43"/>
      <c r="X93" s="43"/>
      <c r="Y93" s="43"/>
      <c r="Z93" s="43"/>
      <c r="AA93" s="43" t="s">
        <v>9</v>
      </c>
      <c r="AB93" s="43" t="s">
        <v>9</v>
      </c>
      <c r="AC93" s="43" t="s">
        <v>9</v>
      </c>
      <c r="AD93" s="43"/>
      <c r="AE93" s="43"/>
      <c r="AF93" s="43"/>
      <c r="AG93" s="43"/>
      <c r="AH93" s="44">
        <f>COUNTA(Juillet!$C93:$AG93)</f>
        <v>3</v>
      </c>
      <c r="AI93" s="45">
        <f>(COUNTIFS(Juillet!$C93:$AG93,("cp")))/2+Juin!AI93</f>
        <v>0</v>
      </c>
      <c r="AJ93" s="45">
        <f>COUNTIFS(Juillet!$C93:$AG93,"RTT")/2+Juin!AJ93</f>
        <v>0</v>
      </c>
      <c r="AK93" s="45">
        <f>COUNTIFS(Juillet!$C93:$AG93,"m")/2+Juin!AK93</f>
        <v>1.5</v>
      </c>
      <c r="AL93" s="45">
        <f>COUNTIFS(Juillet!$C93:$AG93,"a")/2+Juin!AL93</f>
        <v>0</v>
      </c>
      <c r="AM93" s="46"/>
      <c r="AN93" s="47"/>
      <c r="AO93" s="47"/>
      <c r="AP93" s="46"/>
      <c r="AQ93" s="47"/>
      <c r="AR93" s="47"/>
      <c r="AS93" s="47"/>
    </row>
    <row r="94" spans="1:45" s="79" customFormat="1" ht="12.95" customHeight="1" x14ac:dyDescent="0.25">
      <c r="A94" s="48">
        <v>42921</v>
      </c>
      <c r="B94" s="42" t="s">
        <v>16</v>
      </c>
      <c r="C94" s="67"/>
      <c r="D94" s="43"/>
      <c r="E94" s="43"/>
      <c r="F94" s="43"/>
      <c r="G94" s="43"/>
      <c r="H94" s="43"/>
      <c r="I94" s="43"/>
      <c r="J94" s="43"/>
      <c r="K94" s="43"/>
      <c r="L94" s="43"/>
      <c r="M94" s="43"/>
      <c r="N94" s="43"/>
      <c r="O94" s="43"/>
      <c r="P94" s="43"/>
      <c r="Q94" s="43"/>
      <c r="R94" s="43"/>
      <c r="S94" s="43"/>
      <c r="T94" s="43"/>
      <c r="U94" s="43"/>
      <c r="V94" s="43"/>
      <c r="W94" s="43"/>
      <c r="X94" s="43"/>
      <c r="Y94" s="43"/>
      <c r="Z94" s="43"/>
      <c r="AA94" s="43" t="s">
        <v>9</v>
      </c>
      <c r="AB94" s="43" t="s">
        <v>9</v>
      </c>
      <c r="AC94" s="43" t="s">
        <v>9</v>
      </c>
      <c r="AD94" s="43"/>
      <c r="AE94" s="43"/>
      <c r="AF94" s="43"/>
      <c r="AG94" s="43"/>
      <c r="AH94" s="44">
        <f>COUNTA(Juillet!$C94:$AG94)</f>
        <v>3</v>
      </c>
      <c r="AI94" s="45">
        <f>(COUNTIFS(Juillet!$C94:$AG94,("cp")))/2+Juin!AI94</f>
        <v>0</v>
      </c>
      <c r="AJ94" s="45">
        <f>COUNTIFS(Juillet!$C94:$AG94,"RTT")/2+Juin!AJ94</f>
        <v>0</v>
      </c>
      <c r="AK94" s="45">
        <f>COUNTIFS(Juillet!$C94:$AG94,"m")/2+Juin!AK94</f>
        <v>1.5</v>
      </c>
      <c r="AL94" s="45">
        <f>COUNTIFS(Juillet!$C94:$AG94,"a")/2+Juin!AL94</f>
        <v>0</v>
      </c>
      <c r="AM94" s="46"/>
      <c r="AN94" s="47"/>
      <c r="AO94" s="47"/>
      <c r="AP94" s="46"/>
      <c r="AQ94" s="47"/>
      <c r="AR94" s="47"/>
      <c r="AS94" s="101"/>
    </row>
    <row r="95" spans="1:45" s="79" customFormat="1" ht="12.95" customHeight="1" x14ac:dyDescent="0.25">
      <c r="A95" s="41"/>
      <c r="B95" s="42"/>
      <c r="C95" s="49" t="str">
        <f t="shared" ref="C95:AG95" si="48">IF(C93&gt;0,C93,IF(C94&gt;0,C94,""))</f>
        <v/>
      </c>
      <c r="D95" s="49" t="str">
        <f t="shared" si="48"/>
        <v/>
      </c>
      <c r="E95" s="49" t="str">
        <f t="shared" si="48"/>
        <v/>
      </c>
      <c r="F95" s="49" t="str">
        <f t="shared" si="48"/>
        <v/>
      </c>
      <c r="G95" s="49" t="str">
        <f t="shared" si="48"/>
        <v/>
      </c>
      <c r="H95" s="49" t="str">
        <f t="shared" si="48"/>
        <v/>
      </c>
      <c r="I95" s="49" t="str">
        <f t="shared" si="48"/>
        <v/>
      </c>
      <c r="J95" s="49" t="str">
        <f t="shared" si="48"/>
        <v/>
      </c>
      <c r="K95" s="49" t="str">
        <f t="shared" si="48"/>
        <v/>
      </c>
      <c r="L95" s="49" t="str">
        <f t="shared" si="48"/>
        <v/>
      </c>
      <c r="M95" s="49" t="str">
        <f t="shared" si="48"/>
        <v/>
      </c>
      <c r="N95" s="49" t="str">
        <f t="shared" si="48"/>
        <v/>
      </c>
      <c r="O95" s="49" t="str">
        <f t="shared" si="48"/>
        <v/>
      </c>
      <c r="P95" s="49" t="str">
        <f t="shared" si="48"/>
        <v/>
      </c>
      <c r="Q95" s="49" t="str">
        <f t="shared" si="48"/>
        <v/>
      </c>
      <c r="R95" s="49" t="str">
        <f t="shared" si="48"/>
        <v/>
      </c>
      <c r="S95" s="49" t="str">
        <f t="shared" si="48"/>
        <v/>
      </c>
      <c r="T95" s="49" t="str">
        <f t="shared" si="48"/>
        <v/>
      </c>
      <c r="U95" s="49" t="str">
        <f t="shared" si="48"/>
        <v/>
      </c>
      <c r="V95" s="49" t="str">
        <f t="shared" si="48"/>
        <v/>
      </c>
      <c r="W95" s="49" t="str">
        <f t="shared" si="48"/>
        <v/>
      </c>
      <c r="X95" s="49" t="str">
        <f t="shared" si="48"/>
        <v/>
      </c>
      <c r="Y95" s="49" t="str">
        <f t="shared" si="48"/>
        <v/>
      </c>
      <c r="Z95" s="49" t="str">
        <f t="shared" si="48"/>
        <v/>
      </c>
      <c r="AA95" s="49" t="str">
        <f t="shared" si="48"/>
        <v>M</v>
      </c>
      <c r="AB95" s="49" t="str">
        <f t="shared" si="48"/>
        <v>M</v>
      </c>
      <c r="AC95" s="49" t="str">
        <f t="shared" si="48"/>
        <v>M</v>
      </c>
      <c r="AD95" s="49" t="str">
        <f t="shared" si="48"/>
        <v/>
      </c>
      <c r="AE95" s="49" t="str">
        <f t="shared" si="48"/>
        <v/>
      </c>
      <c r="AF95" s="49" t="str">
        <f t="shared" si="48"/>
        <v/>
      </c>
      <c r="AG95" s="49" t="str">
        <f t="shared" si="48"/>
        <v/>
      </c>
      <c r="AH95" s="44">
        <f>SUM(AH93:AH94)</f>
        <v>6</v>
      </c>
      <c r="AI95" s="45">
        <f>SUM(AI93:AI94)</f>
        <v>0</v>
      </c>
      <c r="AJ95" s="45">
        <f>SUM(AJ93:AJ94)</f>
        <v>0</v>
      </c>
      <c r="AK95" s="45">
        <f t="shared" ref="AK95:AL95" si="49">SUM(AK93:AK94)</f>
        <v>3</v>
      </c>
      <c r="AL95" s="45">
        <f t="shared" si="49"/>
        <v>0</v>
      </c>
      <c r="AM95" s="50">
        <f>+Juin!AM95</f>
        <v>0</v>
      </c>
      <c r="AN95" s="51">
        <f>IF(A94="","",IF(A94&gt;NomMois,0,IF(A94&lt;$A$3,2.08,(NETWORKDAYS(A94,$A$2)/21.66667)*2.08)))</f>
        <v>1.8239997193846587</v>
      </c>
      <c r="AO95" s="51">
        <f>IF( AN95="",0,+AN95+Juin!AO95)</f>
        <v>1.8239997193846587</v>
      </c>
      <c r="AP95" s="50"/>
      <c r="AQ95" s="45">
        <f>+AM95-AI95</f>
        <v>0</v>
      </c>
      <c r="AR95" s="45">
        <f>+AP95-AJ95</f>
        <v>0</v>
      </c>
      <c r="AS95" s="102">
        <f t="shared" ref="AS95:AS123" si="50">+AO95+AQ95</f>
        <v>1.8239997193846587</v>
      </c>
    </row>
    <row r="96" spans="1:45" s="63" customFormat="1" ht="6.75" customHeight="1" x14ac:dyDescent="0.25">
      <c r="A96" s="64"/>
      <c r="B96" s="42"/>
      <c r="C96" s="64"/>
      <c r="D96" s="64"/>
      <c r="E96" s="64"/>
      <c r="F96" s="64"/>
      <c r="G96" s="64"/>
      <c r="H96" s="64"/>
      <c r="I96" s="64"/>
      <c r="J96" s="64"/>
      <c r="K96" s="64"/>
      <c r="L96" s="64"/>
      <c r="M96" s="64"/>
      <c r="N96" s="64"/>
      <c r="O96" s="64"/>
      <c r="P96" s="64"/>
      <c r="Q96" s="64"/>
      <c r="R96" s="64"/>
      <c r="S96" s="64"/>
      <c r="T96" s="64"/>
      <c r="U96" s="64"/>
      <c r="V96" s="64"/>
      <c r="W96" s="64"/>
      <c r="X96" s="64"/>
      <c r="Y96" s="64"/>
      <c r="Z96" s="64"/>
      <c r="AA96" s="64"/>
      <c r="AB96" s="64"/>
      <c r="AC96" s="64"/>
      <c r="AD96" s="64"/>
      <c r="AE96" s="64"/>
      <c r="AF96" s="64"/>
      <c r="AG96" s="64"/>
      <c r="AH96" s="65"/>
      <c r="AI96" s="65"/>
      <c r="AJ96" s="65"/>
      <c r="AK96" s="65"/>
      <c r="AL96" s="65"/>
      <c r="AM96" s="64"/>
      <c r="AN96" s="65"/>
      <c r="AO96" s="65"/>
      <c r="AP96" s="64"/>
      <c r="AQ96" s="69"/>
      <c r="AR96" s="69"/>
      <c r="AS96" s="65"/>
    </row>
    <row r="97" spans="1:45" s="79" customFormat="1" ht="12.95" customHeight="1" x14ac:dyDescent="0.25">
      <c r="A97" s="70"/>
      <c r="B97" s="42" t="s">
        <v>15</v>
      </c>
      <c r="C97" s="71"/>
      <c r="D97" s="71"/>
      <c r="E97" s="71"/>
      <c r="F97" s="71"/>
      <c r="G97" s="71"/>
      <c r="H97" s="71"/>
      <c r="I97" s="71"/>
      <c r="J97" s="71"/>
      <c r="K97" s="71"/>
      <c r="L97" s="71"/>
      <c r="M97" s="71"/>
      <c r="N97" s="71"/>
      <c r="O97" s="71"/>
      <c r="P97" s="71"/>
      <c r="Q97" s="71"/>
      <c r="R97" s="71"/>
      <c r="S97" s="71" t="s">
        <v>7</v>
      </c>
      <c r="T97" s="71" t="s">
        <v>7</v>
      </c>
      <c r="U97" s="71" t="s">
        <v>7</v>
      </c>
      <c r="V97" s="71" t="s">
        <v>7</v>
      </c>
      <c r="W97" s="71" t="s">
        <v>7</v>
      </c>
      <c r="X97" s="71"/>
      <c r="Y97" s="71"/>
      <c r="Z97" s="71" t="s">
        <v>7</v>
      </c>
      <c r="AA97" s="71" t="s">
        <v>7</v>
      </c>
      <c r="AB97" s="71" t="s">
        <v>7</v>
      </c>
      <c r="AC97" s="71" t="s">
        <v>7</v>
      </c>
      <c r="AD97" s="71" t="s">
        <v>7</v>
      </c>
      <c r="AE97" s="71" t="s">
        <v>7</v>
      </c>
      <c r="AF97" s="71"/>
      <c r="AG97" s="71"/>
      <c r="AH97" s="72">
        <f>COUNTA(Juillet!$C97:$AG97)</f>
        <v>11</v>
      </c>
      <c r="AI97" s="45">
        <f>(COUNTIFS(Juillet!$C97:$AG97,("cp")))/2+Juin!AI97</f>
        <v>7</v>
      </c>
      <c r="AJ97" s="45">
        <f>COUNTIFS(Juillet!$C97:$AG97,"RTT")/2+Juin!AJ97</f>
        <v>0</v>
      </c>
      <c r="AK97" s="45">
        <f>COUNTIFS(Juillet!$C97:$AG97,"m")/2+Juin!AK97</f>
        <v>0</v>
      </c>
      <c r="AL97" s="45">
        <f>COUNTIFS(Juillet!$C97:$AG97,"a")/2+Juin!AL97</f>
        <v>0</v>
      </c>
      <c r="AM97" s="46"/>
      <c r="AN97" s="47"/>
      <c r="AO97" s="47"/>
      <c r="AP97" s="46"/>
      <c r="AQ97" s="47"/>
      <c r="AR97" s="47"/>
      <c r="AS97" s="47"/>
    </row>
    <row r="98" spans="1:45" s="79" customFormat="1" ht="12.95" customHeight="1" x14ac:dyDescent="0.25">
      <c r="A98" s="73">
        <v>42736</v>
      </c>
      <c r="B98" s="42" t="s">
        <v>16</v>
      </c>
      <c r="C98" s="71"/>
      <c r="D98" s="71"/>
      <c r="E98" s="71"/>
      <c r="F98" s="71"/>
      <c r="G98" s="71"/>
      <c r="H98" s="71"/>
      <c r="I98" s="71"/>
      <c r="J98" s="71"/>
      <c r="K98" s="71"/>
      <c r="L98" s="71"/>
      <c r="M98" s="71"/>
      <c r="N98" s="71"/>
      <c r="O98" s="71"/>
      <c r="P98" s="71"/>
      <c r="Q98" s="71"/>
      <c r="R98" s="71"/>
      <c r="S98" s="71" t="s">
        <v>7</v>
      </c>
      <c r="T98" s="71" t="s">
        <v>7</v>
      </c>
      <c r="U98" s="71" t="s">
        <v>7</v>
      </c>
      <c r="V98" s="71" t="s">
        <v>7</v>
      </c>
      <c r="W98" s="71" t="s">
        <v>7</v>
      </c>
      <c r="X98" s="71"/>
      <c r="Y98" s="71"/>
      <c r="Z98" s="71" t="s">
        <v>7</v>
      </c>
      <c r="AA98" s="71" t="s">
        <v>7</v>
      </c>
      <c r="AB98" s="71" t="s">
        <v>7</v>
      </c>
      <c r="AC98" s="71" t="s">
        <v>7</v>
      </c>
      <c r="AD98" s="71" t="s">
        <v>7</v>
      </c>
      <c r="AE98" s="71" t="s">
        <v>7</v>
      </c>
      <c r="AF98" s="71"/>
      <c r="AG98" s="71"/>
      <c r="AH98" s="72">
        <f>COUNTA(Juillet!$C98:$AG98)</f>
        <v>11</v>
      </c>
      <c r="AI98" s="45">
        <f>(COUNTIFS(Juillet!$C98:$AG98,("cp")))/2+Juin!AI98</f>
        <v>7</v>
      </c>
      <c r="AJ98" s="45">
        <f>COUNTIFS(Juillet!$C98:$AG98,"RTT")/2+Juin!AJ98</f>
        <v>0</v>
      </c>
      <c r="AK98" s="45">
        <f>COUNTIFS(Juillet!$C98:$AG98,"m")/2+Juin!AK98</f>
        <v>0</v>
      </c>
      <c r="AL98" s="45">
        <f>COUNTIFS(Juillet!$C98:$AG98,"a")/2+Juin!AL98</f>
        <v>0</v>
      </c>
      <c r="AM98" s="46"/>
      <c r="AN98" s="47"/>
      <c r="AO98" s="47"/>
      <c r="AP98" s="46"/>
      <c r="AQ98" s="47"/>
      <c r="AR98" s="47"/>
      <c r="AS98" s="101"/>
    </row>
    <row r="99" spans="1:45" s="79" customFormat="1" ht="12.95" customHeight="1" x14ac:dyDescent="0.25">
      <c r="A99" s="70"/>
      <c r="B99" s="42"/>
      <c r="C99" s="71" t="str">
        <f t="shared" ref="C99:W99" si="51">IF(C97&gt;0,C97,IF(C98&gt;0,C98,""))</f>
        <v/>
      </c>
      <c r="D99" s="71" t="str">
        <f t="shared" si="51"/>
        <v/>
      </c>
      <c r="E99" s="71" t="str">
        <f t="shared" si="51"/>
        <v/>
      </c>
      <c r="F99" s="71" t="str">
        <f t="shared" si="51"/>
        <v/>
      </c>
      <c r="G99" s="71" t="str">
        <f t="shared" si="51"/>
        <v/>
      </c>
      <c r="H99" s="71" t="str">
        <f t="shared" si="51"/>
        <v/>
      </c>
      <c r="I99" s="71" t="str">
        <f t="shared" si="51"/>
        <v/>
      </c>
      <c r="J99" s="71" t="str">
        <f t="shared" si="51"/>
        <v/>
      </c>
      <c r="K99" s="71" t="str">
        <f t="shared" si="51"/>
        <v/>
      </c>
      <c r="L99" s="71" t="str">
        <f t="shared" si="51"/>
        <v/>
      </c>
      <c r="M99" s="71" t="str">
        <f t="shared" si="51"/>
        <v/>
      </c>
      <c r="N99" s="71" t="str">
        <f t="shared" si="51"/>
        <v/>
      </c>
      <c r="O99" s="71" t="str">
        <f t="shared" si="51"/>
        <v/>
      </c>
      <c r="P99" s="71" t="str">
        <f t="shared" si="51"/>
        <v/>
      </c>
      <c r="Q99" s="71" t="str">
        <f t="shared" si="51"/>
        <v/>
      </c>
      <c r="R99" s="71" t="str">
        <f t="shared" si="51"/>
        <v/>
      </c>
      <c r="S99" s="71" t="str">
        <f t="shared" si="51"/>
        <v>CP</v>
      </c>
      <c r="T99" s="71" t="str">
        <f t="shared" si="51"/>
        <v>CP</v>
      </c>
      <c r="U99" s="71" t="str">
        <f t="shared" si="51"/>
        <v>CP</v>
      </c>
      <c r="V99" s="71" t="str">
        <f t="shared" si="51"/>
        <v>CP</v>
      </c>
      <c r="W99" s="71" t="str">
        <f t="shared" si="51"/>
        <v>CP</v>
      </c>
      <c r="X99" s="71"/>
      <c r="Y99" s="71"/>
      <c r="Z99" s="71" t="str">
        <f t="shared" ref="Z99:AE99" si="52">IF(Z97&gt;0,Z97,IF(Z98&gt;0,Z98,""))</f>
        <v>CP</v>
      </c>
      <c r="AA99" s="71" t="str">
        <f t="shared" si="52"/>
        <v>CP</v>
      </c>
      <c r="AB99" s="71" t="str">
        <f t="shared" si="52"/>
        <v>CP</v>
      </c>
      <c r="AC99" s="71" t="str">
        <f t="shared" si="52"/>
        <v>CP</v>
      </c>
      <c r="AD99" s="71" t="str">
        <f t="shared" si="52"/>
        <v>CP</v>
      </c>
      <c r="AE99" s="71" t="str">
        <f t="shared" si="52"/>
        <v>CP</v>
      </c>
      <c r="AF99" s="71"/>
      <c r="AG99" s="71" t="str">
        <f t="shared" ref="AG99" si="53">IF(AG97&gt;0,AG97,IF(AG98&gt;0,AG98,""))</f>
        <v/>
      </c>
      <c r="AH99" s="72">
        <f>SUM(AH97:AH98)</f>
        <v>22</v>
      </c>
      <c r="AI99" s="45">
        <f>SUM(AI97:AI98)</f>
        <v>14</v>
      </c>
      <c r="AJ99" s="45">
        <f>SUM(AJ97:AJ98)</f>
        <v>0</v>
      </c>
      <c r="AK99" s="45">
        <f t="shared" ref="AK99:AL99" si="54">SUM(AK97:AK98)</f>
        <v>0</v>
      </c>
      <c r="AL99" s="45">
        <f t="shared" si="54"/>
        <v>0</v>
      </c>
      <c r="AM99" s="50">
        <f>+Juin!AM99</f>
        <v>5.41</v>
      </c>
      <c r="AN99" s="51">
        <f>IF(A98="","",IF(A98&gt;NomMois,0,IF(A98&lt;$A$3,2.08,(NETWORKDAYS(A98,$A$2)/21.66667)*2.08)))</f>
        <v>2.08</v>
      </c>
      <c r="AO99" s="51">
        <f>IF( AN99="",0,+AN99+Juin!AO99)</f>
        <v>4.16</v>
      </c>
      <c r="AP99" s="50"/>
      <c r="AQ99" s="45">
        <f>+AM99-AI99</f>
        <v>-8.59</v>
      </c>
      <c r="AR99" s="45">
        <f>+AP99-AJ99</f>
        <v>0</v>
      </c>
      <c r="AS99" s="102">
        <f t="shared" si="50"/>
        <v>-4.43</v>
      </c>
    </row>
    <row r="100" spans="1:45" s="63" customFormat="1" ht="6.75" customHeight="1" x14ac:dyDescent="0.25">
      <c r="A100" s="64"/>
      <c r="B100" s="42"/>
      <c r="C100" s="64"/>
      <c r="D100" s="64"/>
      <c r="E100" s="64"/>
      <c r="F100" s="64"/>
      <c r="G100" s="64"/>
      <c r="H100" s="64"/>
      <c r="I100" s="64"/>
      <c r="J100" s="64"/>
      <c r="K100" s="64"/>
      <c r="L100" s="64"/>
      <c r="M100" s="64"/>
      <c r="N100" s="64"/>
      <c r="O100" s="64"/>
      <c r="P100" s="64"/>
      <c r="Q100" s="64"/>
      <c r="R100" s="64"/>
      <c r="S100" s="64"/>
      <c r="T100" s="64"/>
      <c r="U100" s="64"/>
      <c r="V100" s="64"/>
      <c r="W100" s="64"/>
      <c r="X100" s="64"/>
      <c r="Y100" s="64"/>
      <c r="Z100" s="64"/>
      <c r="AA100" s="64"/>
      <c r="AB100" s="64"/>
      <c r="AC100" s="64"/>
      <c r="AD100" s="64"/>
      <c r="AE100" s="64"/>
      <c r="AF100" s="64"/>
      <c r="AG100" s="64"/>
      <c r="AH100" s="65"/>
      <c r="AI100" s="65"/>
      <c r="AJ100" s="65"/>
      <c r="AK100" s="65"/>
      <c r="AL100" s="65"/>
      <c r="AM100" s="64"/>
      <c r="AN100" s="65"/>
      <c r="AO100" s="65"/>
      <c r="AP100" s="64"/>
      <c r="AQ100" s="69"/>
      <c r="AR100" s="69"/>
      <c r="AS100" s="65"/>
    </row>
    <row r="101" spans="1:45" s="79" customFormat="1" ht="12.95" customHeight="1" x14ac:dyDescent="0.25">
      <c r="A101" s="70"/>
      <c r="B101" s="42" t="s">
        <v>15</v>
      </c>
      <c r="C101" s="71"/>
      <c r="D101" s="71"/>
      <c r="E101" s="71"/>
      <c r="F101" s="71"/>
      <c r="G101" s="71"/>
      <c r="H101" s="71"/>
      <c r="I101" s="71"/>
      <c r="J101" s="71"/>
      <c r="K101" s="71"/>
      <c r="L101" s="71"/>
      <c r="M101" s="71"/>
      <c r="N101" s="71"/>
      <c r="O101" s="71"/>
      <c r="P101" s="71"/>
      <c r="Q101" s="71"/>
      <c r="R101" s="71"/>
      <c r="S101" s="71"/>
      <c r="T101" s="71"/>
      <c r="U101" s="71"/>
      <c r="V101" s="71"/>
      <c r="W101" s="71"/>
      <c r="X101" s="71"/>
      <c r="Y101" s="71"/>
      <c r="Z101" s="71"/>
      <c r="AA101" s="71"/>
      <c r="AB101" s="71"/>
      <c r="AC101" s="71"/>
      <c r="AD101" s="71"/>
      <c r="AE101" s="71"/>
      <c r="AF101" s="71"/>
      <c r="AG101" s="71"/>
      <c r="AH101" s="72">
        <f>COUNTA(Juillet!$C101:$AG101)</f>
        <v>0</v>
      </c>
      <c r="AI101" s="45">
        <f>(COUNTIFS(Juillet!$C101:$AG101,("cp")))/2+Juin!AI101</f>
        <v>0</v>
      </c>
      <c r="AJ101" s="45">
        <f>COUNTIFS(Juillet!$C101:$AG101,"RTT")/2+Juin!AJ101</f>
        <v>0</v>
      </c>
      <c r="AK101" s="45">
        <f>COUNTIFS(Juillet!$C101:$AG101,"m")/2+Juin!AK101</f>
        <v>0</v>
      </c>
      <c r="AL101" s="45">
        <f>COUNTIFS(Juillet!$C101:$AG101,"a")/2+Juin!AL101</f>
        <v>0</v>
      </c>
      <c r="AM101" s="46"/>
      <c r="AN101" s="47"/>
      <c r="AO101" s="47"/>
      <c r="AP101" s="46"/>
      <c r="AQ101" s="47"/>
      <c r="AR101" s="47"/>
      <c r="AS101" s="47"/>
    </row>
    <row r="102" spans="1:45" s="79" customFormat="1" ht="12.95" customHeight="1" x14ac:dyDescent="0.25">
      <c r="A102" s="73">
        <v>42814</v>
      </c>
      <c r="B102" s="42" t="s">
        <v>16</v>
      </c>
      <c r="C102" s="71"/>
      <c r="D102" s="71"/>
      <c r="E102" s="71"/>
      <c r="F102" s="71"/>
      <c r="G102" s="71"/>
      <c r="H102" s="71"/>
      <c r="I102" s="71"/>
      <c r="J102" s="71"/>
      <c r="K102" s="71"/>
      <c r="L102" s="71"/>
      <c r="M102" s="71"/>
      <c r="N102" s="71"/>
      <c r="O102" s="71"/>
      <c r="P102" s="71"/>
      <c r="Q102" s="71"/>
      <c r="R102" s="71"/>
      <c r="S102" s="71"/>
      <c r="T102" s="71"/>
      <c r="U102" s="71"/>
      <c r="V102" s="71"/>
      <c r="W102" s="71"/>
      <c r="X102" s="71"/>
      <c r="Y102" s="71"/>
      <c r="Z102" s="71"/>
      <c r="AA102" s="71"/>
      <c r="AB102" s="71"/>
      <c r="AC102" s="71"/>
      <c r="AD102" s="71"/>
      <c r="AE102" s="71"/>
      <c r="AF102" s="71"/>
      <c r="AG102" s="71"/>
      <c r="AH102" s="72">
        <f>COUNTA(Juillet!$C102:$AG102)</f>
        <v>0</v>
      </c>
      <c r="AI102" s="45">
        <f>(COUNTIFS(Juillet!$C102:$AG102,("cp")))/2+Juin!AI102</f>
        <v>0</v>
      </c>
      <c r="AJ102" s="45">
        <f>COUNTIFS(Juillet!$C102:$AG102,"RTT")/2+Juin!AJ102</f>
        <v>0</v>
      </c>
      <c r="AK102" s="45">
        <f>COUNTIFS(Juillet!$C102:$AG102,"m")/2+Juin!AK102</f>
        <v>0</v>
      </c>
      <c r="AL102" s="45">
        <f>COUNTIFS(Juillet!$C102:$AG102,"a")/2+Juin!AL102</f>
        <v>0</v>
      </c>
      <c r="AM102" s="46"/>
      <c r="AN102" s="47"/>
      <c r="AO102" s="47"/>
      <c r="AP102" s="46"/>
      <c r="AQ102" s="47"/>
      <c r="AR102" s="47"/>
      <c r="AS102" s="101"/>
    </row>
    <row r="103" spans="1:45" s="79" customFormat="1" ht="12.95" customHeight="1" x14ac:dyDescent="0.25">
      <c r="A103" s="70"/>
      <c r="B103" s="42"/>
      <c r="C103" s="71" t="str">
        <f t="shared" ref="C103:AG103" si="55">IF(C101&gt;0,C101,IF(C102&gt;0,C102,""))</f>
        <v/>
      </c>
      <c r="D103" s="71" t="str">
        <f t="shared" si="55"/>
        <v/>
      </c>
      <c r="E103" s="71" t="str">
        <f t="shared" si="55"/>
        <v/>
      </c>
      <c r="F103" s="71" t="str">
        <f t="shared" si="55"/>
        <v/>
      </c>
      <c r="G103" s="71" t="str">
        <f t="shared" si="55"/>
        <v/>
      </c>
      <c r="H103" s="71" t="str">
        <f t="shared" si="55"/>
        <v/>
      </c>
      <c r="I103" s="71" t="str">
        <f t="shared" si="55"/>
        <v/>
      </c>
      <c r="J103" s="71" t="str">
        <f t="shared" si="55"/>
        <v/>
      </c>
      <c r="K103" s="71" t="str">
        <f t="shared" si="55"/>
        <v/>
      </c>
      <c r="L103" s="71" t="str">
        <f t="shared" si="55"/>
        <v/>
      </c>
      <c r="M103" s="71" t="str">
        <f t="shared" si="55"/>
        <v/>
      </c>
      <c r="N103" s="71" t="str">
        <f t="shared" si="55"/>
        <v/>
      </c>
      <c r="O103" s="71" t="str">
        <f t="shared" si="55"/>
        <v/>
      </c>
      <c r="P103" s="71" t="str">
        <f t="shared" si="55"/>
        <v/>
      </c>
      <c r="Q103" s="71" t="str">
        <f t="shared" si="55"/>
        <v/>
      </c>
      <c r="R103" s="71" t="str">
        <f t="shared" si="55"/>
        <v/>
      </c>
      <c r="S103" s="71" t="str">
        <f t="shared" si="55"/>
        <v/>
      </c>
      <c r="T103" s="71" t="str">
        <f t="shared" si="55"/>
        <v/>
      </c>
      <c r="U103" s="71" t="str">
        <f t="shared" si="55"/>
        <v/>
      </c>
      <c r="V103" s="71" t="str">
        <f t="shared" si="55"/>
        <v/>
      </c>
      <c r="W103" s="71" t="str">
        <f t="shared" si="55"/>
        <v/>
      </c>
      <c r="X103" s="71" t="str">
        <f t="shared" si="55"/>
        <v/>
      </c>
      <c r="Y103" s="71" t="str">
        <f t="shared" si="55"/>
        <v/>
      </c>
      <c r="Z103" s="71" t="str">
        <f t="shared" si="55"/>
        <v/>
      </c>
      <c r="AA103" s="71" t="str">
        <f t="shared" si="55"/>
        <v/>
      </c>
      <c r="AB103" s="71" t="str">
        <f t="shared" si="55"/>
        <v/>
      </c>
      <c r="AC103" s="71" t="str">
        <f t="shared" si="55"/>
        <v/>
      </c>
      <c r="AD103" s="71" t="str">
        <f t="shared" si="55"/>
        <v/>
      </c>
      <c r="AE103" s="71" t="str">
        <f t="shared" si="55"/>
        <v/>
      </c>
      <c r="AF103" s="71" t="str">
        <f t="shared" si="55"/>
        <v/>
      </c>
      <c r="AG103" s="71" t="str">
        <f t="shared" si="55"/>
        <v/>
      </c>
      <c r="AH103" s="72">
        <f>SUM(AH101:AH102)</f>
        <v>0</v>
      </c>
      <c r="AI103" s="45">
        <f>SUM(AI101:AI102)</f>
        <v>0</v>
      </c>
      <c r="AJ103" s="45">
        <f>SUM(AJ101:AJ102)</f>
        <v>0</v>
      </c>
      <c r="AK103" s="45">
        <f t="shared" ref="AK103:AL103" si="56">SUM(AK101:AK102)</f>
        <v>0</v>
      </c>
      <c r="AL103" s="45">
        <f t="shared" si="56"/>
        <v>0</v>
      </c>
      <c r="AM103" s="50">
        <f>+Juin!AM103</f>
        <v>2.65</v>
      </c>
      <c r="AN103" s="51">
        <f>IF(A102="","",IF(A102&gt;NomMois,0,IF(A102&lt;$A$3,2.08,(NETWORKDAYS(A102,$A$2)/21.66667)*2.08)))</f>
        <v>2.08</v>
      </c>
      <c r="AO103" s="51">
        <f>IF( AN103="",0,+AN103+Juin!AO103)</f>
        <v>4.16</v>
      </c>
      <c r="AP103" s="50"/>
      <c r="AQ103" s="45">
        <f>+AM103-AI103</f>
        <v>2.65</v>
      </c>
      <c r="AR103" s="45">
        <f>+AP103-AJ103</f>
        <v>0</v>
      </c>
      <c r="AS103" s="102">
        <f t="shared" si="50"/>
        <v>6.8100000000000005</v>
      </c>
    </row>
    <row r="104" spans="1:45" s="79" customFormat="1" ht="8.25" customHeight="1" x14ac:dyDescent="0.25">
      <c r="A104" s="64"/>
      <c r="B104" s="42"/>
      <c r="C104" s="64"/>
      <c r="D104" s="64"/>
      <c r="E104" s="64"/>
      <c r="F104" s="64"/>
      <c r="G104" s="64"/>
      <c r="H104" s="64"/>
      <c r="I104" s="64"/>
      <c r="J104" s="64"/>
      <c r="K104" s="64"/>
      <c r="L104" s="64"/>
      <c r="M104" s="64"/>
      <c r="N104" s="64"/>
      <c r="O104" s="64"/>
      <c r="P104" s="64"/>
      <c r="Q104" s="64"/>
      <c r="R104" s="64"/>
      <c r="S104" s="64"/>
      <c r="T104" s="64"/>
      <c r="U104" s="64"/>
      <c r="V104" s="64"/>
      <c r="W104" s="64"/>
      <c r="X104" s="64"/>
      <c r="Y104" s="64"/>
      <c r="Z104" s="64"/>
      <c r="AA104" s="64"/>
      <c r="AB104" s="64"/>
      <c r="AC104" s="64"/>
      <c r="AD104" s="64"/>
      <c r="AE104" s="64"/>
      <c r="AF104" s="64"/>
      <c r="AG104" s="64"/>
      <c r="AH104" s="65"/>
      <c r="AI104" s="65"/>
      <c r="AJ104" s="65"/>
      <c r="AK104" s="65"/>
      <c r="AL104" s="65"/>
      <c r="AM104" s="64"/>
      <c r="AN104" s="65"/>
      <c r="AO104" s="65"/>
      <c r="AP104" s="64"/>
      <c r="AQ104" s="69"/>
      <c r="AR104" s="69"/>
      <c r="AS104" s="65"/>
    </row>
    <row r="105" spans="1:45" s="79" customFormat="1" ht="12.95" customHeight="1" x14ac:dyDescent="0.25">
      <c r="A105" s="41"/>
      <c r="B105" s="42" t="s">
        <v>15</v>
      </c>
      <c r="C105" s="67"/>
      <c r="D105" s="43"/>
      <c r="E105" s="43"/>
      <c r="F105" s="43"/>
      <c r="G105" s="43"/>
      <c r="H105" s="43"/>
      <c r="I105" s="43"/>
      <c r="J105" s="43"/>
      <c r="K105" s="43"/>
      <c r="L105" s="43"/>
      <c r="M105" s="43"/>
      <c r="N105" s="43"/>
      <c r="O105" s="43"/>
      <c r="P105" s="43"/>
      <c r="Q105" s="43"/>
      <c r="R105" s="43"/>
      <c r="S105" s="43"/>
      <c r="T105" s="43"/>
      <c r="U105" s="43"/>
      <c r="V105" s="43"/>
      <c r="W105" s="43"/>
      <c r="X105" s="43"/>
      <c r="Y105" s="43"/>
      <c r="Z105" s="43"/>
      <c r="AA105" s="43"/>
      <c r="AB105" s="43"/>
      <c r="AC105" s="43"/>
      <c r="AD105" s="43"/>
      <c r="AE105" s="43"/>
      <c r="AF105" s="43"/>
      <c r="AG105" s="43"/>
      <c r="AH105" s="44">
        <f>COUNTA(Juillet!$C105:$AG105)</f>
        <v>0</v>
      </c>
      <c r="AI105" s="45">
        <f>(COUNTIFS(Juillet!$C105:$AG105,("cp")))/2+Juin!AI105</f>
        <v>0</v>
      </c>
      <c r="AJ105" s="45">
        <f>COUNTIFS(Juillet!$C105:$AG105,"RTT")/2+Juin!AJ105</f>
        <v>0</v>
      </c>
      <c r="AK105" s="45">
        <f>COUNTIFS(Juillet!$C105:$AG105,"m")/2+Juin!AK105</f>
        <v>0</v>
      </c>
      <c r="AL105" s="45">
        <f>COUNTIFS(Juillet!$C105:$AG105,"a")/2+Juin!AL105</f>
        <v>0</v>
      </c>
      <c r="AM105" s="46"/>
      <c r="AN105" s="47"/>
      <c r="AO105" s="47"/>
      <c r="AP105" s="46"/>
      <c r="AQ105" s="47"/>
      <c r="AR105" s="47"/>
      <c r="AS105" s="47"/>
    </row>
    <row r="106" spans="1:45" s="79" customFormat="1" ht="12.95" customHeight="1" x14ac:dyDescent="0.25">
      <c r="A106" s="48">
        <v>43037</v>
      </c>
      <c r="B106" s="42" t="s">
        <v>16</v>
      </c>
      <c r="C106" s="67"/>
      <c r="D106" s="43"/>
      <c r="E106" s="43"/>
      <c r="F106" s="43"/>
      <c r="G106" s="43"/>
      <c r="H106" s="43"/>
      <c r="I106" s="43"/>
      <c r="J106" s="43"/>
      <c r="K106" s="43"/>
      <c r="L106" s="43"/>
      <c r="M106" s="43"/>
      <c r="N106" s="43"/>
      <c r="O106" s="43"/>
      <c r="P106" s="43"/>
      <c r="Q106" s="43"/>
      <c r="R106" s="43"/>
      <c r="S106" s="43"/>
      <c r="T106" s="43"/>
      <c r="U106" s="43"/>
      <c r="V106" s="43"/>
      <c r="W106" s="43"/>
      <c r="X106" s="43"/>
      <c r="Y106" s="43"/>
      <c r="Z106" s="43"/>
      <c r="AA106" s="43"/>
      <c r="AB106" s="43"/>
      <c r="AC106" s="43"/>
      <c r="AD106" s="43"/>
      <c r="AE106" s="43"/>
      <c r="AF106" s="43"/>
      <c r="AG106" s="43"/>
      <c r="AH106" s="44">
        <f>COUNTA(Juillet!$C106:$AG106)</f>
        <v>0</v>
      </c>
      <c r="AI106" s="45">
        <f>(COUNTIFS(Juillet!$C106:$AG106,("cp")))/2+Juin!AI106</f>
        <v>0</v>
      </c>
      <c r="AJ106" s="45">
        <f>COUNTIFS(Juillet!$C106:$AG106,"RTT")/2+Juin!AJ106</f>
        <v>0</v>
      </c>
      <c r="AK106" s="45">
        <f>COUNTIFS(Juillet!$C106:$AG106,"m")/2+Juin!AK106</f>
        <v>0</v>
      </c>
      <c r="AL106" s="45">
        <f>COUNTIFS(Juillet!$C106:$AG106,"a")/2+Juin!AL106</f>
        <v>0</v>
      </c>
      <c r="AM106" s="46"/>
      <c r="AN106" s="47"/>
      <c r="AO106" s="47"/>
      <c r="AP106" s="46"/>
      <c r="AQ106" s="47"/>
      <c r="AR106" s="47"/>
      <c r="AS106" s="101"/>
    </row>
    <row r="107" spans="1:45" s="79" customFormat="1" ht="12.95" customHeight="1" x14ac:dyDescent="0.25">
      <c r="A107" s="41"/>
      <c r="B107" s="42"/>
      <c r="C107" s="49" t="str">
        <f t="shared" ref="C107:AG107" si="57">IF(C105&gt;0,C105,IF(C106&gt;0,C106,""))</f>
        <v/>
      </c>
      <c r="D107" s="49" t="str">
        <f t="shared" si="57"/>
        <v/>
      </c>
      <c r="E107" s="49" t="str">
        <f t="shared" si="57"/>
        <v/>
      </c>
      <c r="F107" s="49" t="str">
        <f t="shared" si="57"/>
        <v/>
      </c>
      <c r="G107" s="49" t="str">
        <f t="shared" si="57"/>
        <v/>
      </c>
      <c r="H107" s="49" t="str">
        <f t="shared" si="57"/>
        <v/>
      </c>
      <c r="I107" s="49" t="str">
        <f t="shared" si="57"/>
        <v/>
      </c>
      <c r="J107" s="49" t="str">
        <f t="shared" si="57"/>
        <v/>
      </c>
      <c r="K107" s="49" t="str">
        <f t="shared" si="57"/>
        <v/>
      </c>
      <c r="L107" s="49" t="str">
        <f t="shared" si="57"/>
        <v/>
      </c>
      <c r="M107" s="49" t="str">
        <f t="shared" si="57"/>
        <v/>
      </c>
      <c r="N107" s="49" t="str">
        <f t="shared" si="57"/>
        <v/>
      </c>
      <c r="O107" s="49" t="str">
        <f t="shared" si="57"/>
        <v/>
      </c>
      <c r="P107" s="49" t="str">
        <f t="shared" si="57"/>
        <v/>
      </c>
      <c r="Q107" s="49" t="str">
        <f t="shared" si="57"/>
        <v/>
      </c>
      <c r="R107" s="49" t="str">
        <f t="shared" si="57"/>
        <v/>
      </c>
      <c r="S107" s="49" t="str">
        <f t="shared" si="57"/>
        <v/>
      </c>
      <c r="T107" s="49" t="str">
        <f t="shared" si="57"/>
        <v/>
      </c>
      <c r="U107" s="49" t="str">
        <f t="shared" si="57"/>
        <v/>
      </c>
      <c r="V107" s="49" t="str">
        <f t="shared" si="57"/>
        <v/>
      </c>
      <c r="W107" s="49" t="str">
        <f t="shared" si="57"/>
        <v/>
      </c>
      <c r="X107" s="49" t="str">
        <f t="shared" si="57"/>
        <v/>
      </c>
      <c r="Y107" s="49" t="str">
        <f t="shared" si="57"/>
        <v/>
      </c>
      <c r="Z107" s="49" t="str">
        <f t="shared" si="57"/>
        <v/>
      </c>
      <c r="AA107" s="49" t="str">
        <f t="shared" si="57"/>
        <v/>
      </c>
      <c r="AB107" s="49" t="str">
        <f t="shared" si="57"/>
        <v/>
      </c>
      <c r="AC107" s="49" t="str">
        <f t="shared" si="57"/>
        <v/>
      </c>
      <c r="AD107" s="49" t="str">
        <f t="shared" si="57"/>
        <v/>
      </c>
      <c r="AE107" s="49" t="str">
        <f t="shared" si="57"/>
        <v/>
      </c>
      <c r="AF107" s="49" t="str">
        <f t="shared" si="57"/>
        <v/>
      </c>
      <c r="AG107" s="49" t="str">
        <f t="shared" si="57"/>
        <v/>
      </c>
      <c r="AH107" s="44">
        <f>SUM(AH105:AH106)</f>
        <v>0</v>
      </c>
      <c r="AI107" s="45">
        <f>SUM(AI105:AI106)</f>
        <v>0</v>
      </c>
      <c r="AJ107" s="45">
        <f>SUM(AJ105:AJ106)</f>
        <v>0</v>
      </c>
      <c r="AK107" s="45">
        <f t="shared" ref="AK107:AL107" si="58">SUM(AK105:AK106)</f>
        <v>0</v>
      </c>
      <c r="AL107" s="45">
        <f t="shared" si="58"/>
        <v>0</v>
      </c>
      <c r="AM107" s="50">
        <f>+Juin!AM107</f>
        <v>0</v>
      </c>
      <c r="AN107" s="51">
        <f>IF(A106="","",IF(A106&gt;NomMois,0,IF(A106&lt;$A$3,2.08,(NETWORKDAYS(A106,$A$2)/21.66667)*2.08)))</f>
        <v>0</v>
      </c>
      <c r="AO107" s="51">
        <f>IF( AN107="",0,+AN107+Juin!AO107)</f>
        <v>0</v>
      </c>
      <c r="AP107" s="50"/>
      <c r="AQ107" s="45">
        <f>+AM107-AI107</f>
        <v>0</v>
      </c>
      <c r="AR107" s="45">
        <f>+AP107-AJ107</f>
        <v>0</v>
      </c>
      <c r="AS107" s="102">
        <f t="shared" si="50"/>
        <v>0</v>
      </c>
    </row>
    <row r="108" spans="1:45" s="79" customFormat="1" ht="6.75" customHeight="1" x14ac:dyDescent="0.25">
      <c r="A108" s="64"/>
      <c r="B108" s="42"/>
      <c r="C108" s="64"/>
      <c r="D108" s="64"/>
      <c r="E108" s="64"/>
      <c r="F108" s="64"/>
      <c r="G108" s="64"/>
      <c r="H108" s="64"/>
      <c r="I108" s="64"/>
      <c r="J108" s="64"/>
      <c r="K108" s="64"/>
      <c r="L108" s="64"/>
      <c r="M108" s="64"/>
      <c r="N108" s="64"/>
      <c r="O108" s="64"/>
      <c r="P108" s="64"/>
      <c r="Q108" s="64"/>
      <c r="R108" s="64"/>
      <c r="S108" s="64"/>
      <c r="T108" s="64"/>
      <c r="U108" s="64"/>
      <c r="V108" s="64"/>
      <c r="W108" s="64"/>
      <c r="X108" s="64"/>
      <c r="Y108" s="64"/>
      <c r="Z108" s="64"/>
      <c r="AA108" s="64"/>
      <c r="AB108" s="64"/>
      <c r="AC108" s="64"/>
      <c r="AD108" s="64"/>
      <c r="AE108" s="64"/>
      <c r="AF108" s="64"/>
      <c r="AG108" s="64"/>
      <c r="AH108" s="65"/>
      <c r="AI108" s="65"/>
      <c r="AJ108" s="65"/>
      <c r="AK108" s="65"/>
      <c r="AL108" s="65"/>
      <c r="AM108" s="64"/>
      <c r="AN108" s="65"/>
      <c r="AO108" s="65"/>
      <c r="AP108" s="64"/>
      <c r="AQ108" s="69"/>
      <c r="AR108" s="69"/>
      <c r="AS108" s="65"/>
    </row>
    <row r="109" spans="1:45" s="79" customFormat="1" ht="12.95" customHeight="1" x14ac:dyDescent="0.25">
      <c r="A109" s="41"/>
      <c r="B109" s="42" t="s">
        <v>15</v>
      </c>
      <c r="C109" s="67"/>
      <c r="D109" s="43"/>
      <c r="E109" s="43"/>
      <c r="F109" s="43"/>
      <c r="G109" s="43"/>
      <c r="H109" s="43"/>
      <c r="I109" s="43"/>
      <c r="J109" s="43"/>
      <c r="K109" s="43"/>
      <c r="L109" s="43"/>
      <c r="M109" s="43"/>
      <c r="N109" s="43"/>
      <c r="O109" s="43"/>
      <c r="P109" s="43"/>
      <c r="Q109" s="43"/>
      <c r="R109" s="43"/>
      <c r="S109" s="43"/>
      <c r="T109" s="43"/>
      <c r="U109" s="43"/>
      <c r="V109" s="43"/>
      <c r="W109" s="43"/>
      <c r="X109" s="43"/>
      <c r="Y109" s="43"/>
      <c r="Z109" s="43"/>
      <c r="AA109" s="43"/>
      <c r="AB109" s="43"/>
      <c r="AC109" s="43"/>
      <c r="AD109" s="43"/>
      <c r="AE109" s="43"/>
      <c r="AF109" s="43"/>
      <c r="AG109" s="43"/>
      <c r="AH109" s="44">
        <f>COUNTA(Juillet!$C109:$AG109)</f>
        <v>0</v>
      </c>
      <c r="AI109" s="45">
        <f>(COUNTIFS(Juillet!$C109:$AG109,("cp")))/2+Juin!AI109</f>
        <v>0</v>
      </c>
      <c r="AJ109" s="45">
        <f>COUNTIFS(Juillet!$C109:$AG109,"RTT")/2+Juin!AJ109</f>
        <v>0</v>
      </c>
      <c r="AK109" s="45">
        <f>COUNTIFS(Juillet!$C109:$AG109,"m")/2+Juin!AK109</f>
        <v>0</v>
      </c>
      <c r="AL109" s="45">
        <f>COUNTIFS(Juillet!$C109:$AG109,"a")/2+Juin!AL109</f>
        <v>0</v>
      </c>
      <c r="AM109" s="46"/>
      <c r="AN109" s="47"/>
      <c r="AO109" s="47"/>
      <c r="AP109" s="46"/>
      <c r="AQ109" s="47"/>
      <c r="AR109" s="47"/>
      <c r="AS109" s="47"/>
    </row>
    <row r="110" spans="1:45" s="79" customFormat="1" ht="12.95" customHeight="1" x14ac:dyDescent="0.25">
      <c r="A110" s="48">
        <v>42991</v>
      </c>
      <c r="B110" s="42" t="s">
        <v>16</v>
      </c>
      <c r="C110" s="67"/>
      <c r="D110" s="43"/>
      <c r="E110" s="43"/>
      <c r="F110" s="43"/>
      <c r="G110" s="43"/>
      <c r="H110" s="43"/>
      <c r="I110" s="43"/>
      <c r="J110" s="43"/>
      <c r="K110" s="43"/>
      <c r="L110" s="43"/>
      <c r="M110" s="43"/>
      <c r="N110" s="43"/>
      <c r="O110" s="43"/>
      <c r="P110" s="43"/>
      <c r="Q110" s="43"/>
      <c r="R110" s="43"/>
      <c r="S110" s="43"/>
      <c r="T110" s="43"/>
      <c r="U110" s="43"/>
      <c r="V110" s="43"/>
      <c r="W110" s="43"/>
      <c r="X110" s="43"/>
      <c r="Y110" s="43"/>
      <c r="Z110" s="43"/>
      <c r="AA110" s="43"/>
      <c r="AB110" s="43"/>
      <c r="AC110" s="43"/>
      <c r="AD110" s="43"/>
      <c r="AE110" s="43"/>
      <c r="AF110" s="43"/>
      <c r="AG110" s="43"/>
      <c r="AH110" s="44">
        <f>COUNTA(Juillet!$C110:$AG110)</f>
        <v>0</v>
      </c>
      <c r="AI110" s="45">
        <f>(COUNTIFS(Juillet!$C110:$AG110,("cp")))/2+Juin!AI110</f>
        <v>0</v>
      </c>
      <c r="AJ110" s="45">
        <f>COUNTIFS(Juillet!$C110:$AG110,"RTT")/2+Juin!AJ110</f>
        <v>0</v>
      </c>
      <c r="AK110" s="45">
        <f>COUNTIFS(Juillet!$C110:$AG110,"m")/2+Juin!AK110</f>
        <v>0</v>
      </c>
      <c r="AL110" s="45">
        <f>COUNTIFS(Juillet!$C110:$AG110,"a")/2+Juin!AL110</f>
        <v>0</v>
      </c>
      <c r="AM110" s="46"/>
      <c r="AN110" s="47"/>
      <c r="AO110" s="47"/>
      <c r="AP110" s="46"/>
      <c r="AQ110" s="47"/>
      <c r="AR110" s="47"/>
      <c r="AS110" s="101"/>
    </row>
    <row r="111" spans="1:45" s="79" customFormat="1" ht="12.95" customHeight="1" x14ac:dyDescent="0.25">
      <c r="A111" s="41"/>
      <c r="B111" s="42"/>
      <c r="C111" s="49" t="str">
        <f t="shared" ref="C111:AG111" si="59">IF(C109&gt;0,C109,IF(C110&gt;0,C110,""))</f>
        <v/>
      </c>
      <c r="D111" s="49" t="str">
        <f t="shared" si="59"/>
        <v/>
      </c>
      <c r="E111" s="49" t="str">
        <f t="shared" si="59"/>
        <v/>
      </c>
      <c r="F111" s="49" t="str">
        <f t="shared" si="59"/>
        <v/>
      </c>
      <c r="G111" s="49" t="str">
        <f t="shared" si="59"/>
        <v/>
      </c>
      <c r="H111" s="49" t="str">
        <f t="shared" si="59"/>
        <v/>
      </c>
      <c r="I111" s="49" t="str">
        <f t="shared" si="59"/>
        <v/>
      </c>
      <c r="J111" s="49" t="str">
        <f t="shared" si="59"/>
        <v/>
      </c>
      <c r="K111" s="49" t="str">
        <f t="shared" si="59"/>
        <v/>
      </c>
      <c r="L111" s="49" t="str">
        <f t="shared" si="59"/>
        <v/>
      </c>
      <c r="M111" s="49" t="str">
        <f t="shared" si="59"/>
        <v/>
      </c>
      <c r="N111" s="49" t="str">
        <f t="shared" si="59"/>
        <v/>
      </c>
      <c r="O111" s="49" t="str">
        <f t="shared" si="59"/>
        <v/>
      </c>
      <c r="P111" s="49" t="str">
        <f t="shared" si="59"/>
        <v/>
      </c>
      <c r="Q111" s="49" t="str">
        <f t="shared" si="59"/>
        <v/>
      </c>
      <c r="R111" s="49" t="str">
        <f t="shared" si="59"/>
        <v/>
      </c>
      <c r="S111" s="49" t="str">
        <f t="shared" si="59"/>
        <v/>
      </c>
      <c r="T111" s="49" t="str">
        <f t="shared" si="59"/>
        <v/>
      </c>
      <c r="U111" s="49" t="str">
        <f t="shared" si="59"/>
        <v/>
      </c>
      <c r="V111" s="49" t="str">
        <f t="shared" si="59"/>
        <v/>
      </c>
      <c r="W111" s="49" t="str">
        <f t="shared" si="59"/>
        <v/>
      </c>
      <c r="X111" s="49" t="str">
        <f t="shared" si="59"/>
        <v/>
      </c>
      <c r="Y111" s="49" t="str">
        <f t="shared" si="59"/>
        <v/>
      </c>
      <c r="Z111" s="49" t="str">
        <f t="shared" si="59"/>
        <v/>
      </c>
      <c r="AA111" s="49" t="str">
        <f t="shared" si="59"/>
        <v/>
      </c>
      <c r="AB111" s="49" t="str">
        <f t="shared" si="59"/>
        <v/>
      </c>
      <c r="AC111" s="49" t="str">
        <f t="shared" si="59"/>
        <v/>
      </c>
      <c r="AD111" s="49" t="str">
        <f t="shared" si="59"/>
        <v/>
      </c>
      <c r="AE111" s="49" t="str">
        <f t="shared" si="59"/>
        <v/>
      </c>
      <c r="AF111" s="49" t="str">
        <f t="shared" si="59"/>
        <v/>
      </c>
      <c r="AG111" s="49" t="str">
        <f t="shared" si="59"/>
        <v/>
      </c>
      <c r="AH111" s="44">
        <f>SUM(AH109:AH110)</f>
        <v>0</v>
      </c>
      <c r="AI111" s="45">
        <f>SUM(AI109:AI110)</f>
        <v>0</v>
      </c>
      <c r="AJ111" s="45">
        <f>SUM(AJ109:AJ110)</f>
        <v>0</v>
      </c>
      <c r="AK111" s="45">
        <f t="shared" ref="AK111:AL111" si="60">SUM(AK109:AK110)</f>
        <v>0</v>
      </c>
      <c r="AL111" s="45">
        <f t="shared" si="60"/>
        <v>0</v>
      </c>
      <c r="AM111" s="50">
        <f>+Juin!AM111</f>
        <v>0</v>
      </c>
      <c r="AN111" s="51">
        <f>IF(A110="","",IF(A110&gt;NomMois,0,IF(A110&lt;$A$3,2.08,(NETWORKDAYS(A110,$A$2)/21.66667)*2.08)))</f>
        <v>0</v>
      </c>
      <c r="AO111" s="51">
        <f>IF( AN111="",0,+AN111+Juin!AO111)</f>
        <v>0</v>
      </c>
      <c r="AP111" s="50"/>
      <c r="AQ111" s="45">
        <f>+AM111-AI111</f>
        <v>0</v>
      </c>
      <c r="AR111" s="45">
        <f>+AP111-AJ111</f>
        <v>0</v>
      </c>
      <c r="AS111" s="102">
        <f t="shared" si="50"/>
        <v>0</v>
      </c>
    </row>
    <row r="112" spans="1:45" s="79" customFormat="1" ht="6.75" customHeight="1" x14ac:dyDescent="0.25">
      <c r="A112" s="64"/>
      <c r="B112" s="42"/>
      <c r="C112" s="64"/>
      <c r="D112" s="64"/>
      <c r="E112" s="64"/>
      <c r="F112" s="64"/>
      <c r="G112" s="64"/>
      <c r="H112" s="64"/>
      <c r="I112" s="64"/>
      <c r="J112" s="64"/>
      <c r="K112" s="64"/>
      <c r="L112" s="64"/>
      <c r="M112" s="64"/>
      <c r="N112" s="64"/>
      <c r="O112" s="64"/>
      <c r="P112" s="64"/>
      <c r="Q112" s="64"/>
      <c r="R112" s="64"/>
      <c r="S112" s="64"/>
      <c r="T112" s="64"/>
      <c r="U112" s="64"/>
      <c r="V112" s="64"/>
      <c r="W112" s="64"/>
      <c r="X112" s="64"/>
      <c r="Y112" s="64"/>
      <c r="Z112" s="64"/>
      <c r="AA112" s="64"/>
      <c r="AB112" s="64"/>
      <c r="AC112" s="64"/>
      <c r="AD112" s="64"/>
      <c r="AE112" s="64"/>
      <c r="AF112" s="64"/>
      <c r="AG112" s="64"/>
      <c r="AH112" s="65"/>
      <c r="AI112" s="65"/>
      <c r="AJ112" s="65"/>
      <c r="AK112" s="65"/>
      <c r="AL112" s="65"/>
      <c r="AM112" s="64"/>
      <c r="AN112" s="65"/>
      <c r="AO112" s="65"/>
      <c r="AP112" s="64"/>
      <c r="AQ112" s="69"/>
      <c r="AR112" s="69"/>
      <c r="AS112" s="65"/>
    </row>
    <row r="113" spans="1:45" s="79" customFormat="1" ht="12.95" customHeight="1" x14ac:dyDescent="0.25">
      <c r="A113" s="41"/>
      <c r="B113" s="42" t="s">
        <v>15</v>
      </c>
      <c r="C113" s="67"/>
      <c r="D113" s="43"/>
      <c r="E113" s="43"/>
      <c r="F113" s="43"/>
      <c r="G113" s="43"/>
      <c r="H113" s="43"/>
      <c r="I113" s="43"/>
      <c r="J113" s="43"/>
      <c r="K113" s="43"/>
      <c r="L113" s="43"/>
      <c r="M113" s="43"/>
      <c r="N113" s="43"/>
      <c r="O113" s="43"/>
      <c r="P113" s="43"/>
      <c r="Q113" s="43"/>
      <c r="R113" s="43"/>
      <c r="S113" s="43"/>
      <c r="T113" s="43"/>
      <c r="U113" s="43"/>
      <c r="V113" s="43"/>
      <c r="W113" s="43"/>
      <c r="X113" s="43"/>
      <c r="Y113" s="43"/>
      <c r="Z113" s="43"/>
      <c r="AA113" s="43"/>
      <c r="AB113" s="43"/>
      <c r="AC113" s="43"/>
      <c r="AD113" s="43"/>
      <c r="AE113" s="43"/>
      <c r="AF113" s="43"/>
      <c r="AG113" s="43"/>
      <c r="AH113" s="44">
        <f>COUNTA(Juillet!$C113:$AG113)</f>
        <v>0</v>
      </c>
      <c r="AI113" s="45">
        <f>(COUNTIFS(Juillet!$C113:$AG113,("cp")))/2+Juin!AI113</f>
        <v>0</v>
      </c>
      <c r="AJ113" s="45">
        <f>COUNTIFS(Juillet!$C113:$AG113,"RTT")/2+Juin!AJ113</f>
        <v>0</v>
      </c>
      <c r="AK113" s="45">
        <f>COUNTIFS(Juillet!$C113:$AG113,"m")/2+Juin!AK113</f>
        <v>0</v>
      </c>
      <c r="AL113" s="45">
        <f>COUNTIFS(Juillet!$C113:$AG113,"a")/2+Juin!AL113</f>
        <v>0</v>
      </c>
      <c r="AM113" s="46"/>
      <c r="AN113" s="47"/>
      <c r="AO113" s="47"/>
      <c r="AP113" s="46"/>
      <c r="AQ113" s="47"/>
      <c r="AR113" s="47"/>
      <c r="AS113" s="47"/>
    </row>
    <row r="114" spans="1:45" s="79" customFormat="1" ht="12.95" customHeight="1" x14ac:dyDescent="0.25">
      <c r="A114" s="48">
        <v>43052</v>
      </c>
      <c r="B114" s="42" t="s">
        <v>16</v>
      </c>
      <c r="C114" s="67"/>
      <c r="D114" s="43"/>
      <c r="E114" s="43"/>
      <c r="F114" s="43"/>
      <c r="G114" s="43"/>
      <c r="H114" s="43"/>
      <c r="I114" s="43"/>
      <c r="J114" s="43"/>
      <c r="K114" s="43"/>
      <c r="L114" s="43"/>
      <c r="M114" s="43"/>
      <c r="N114" s="43"/>
      <c r="O114" s="43"/>
      <c r="P114" s="43"/>
      <c r="Q114" s="43"/>
      <c r="R114" s="43"/>
      <c r="S114" s="43"/>
      <c r="T114" s="43"/>
      <c r="U114" s="43"/>
      <c r="V114" s="43"/>
      <c r="W114" s="43"/>
      <c r="X114" s="43"/>
      <c r="Y114" s="43"/>
      <c r="Z114" s="43"/>
      <c r="AA114" s="43"/>
      <c r="AB114" s="43"/>
      <c r="AC114" s="43"/>
      <c r="AD114" s="43"/>
      <c r="AE114" s="43"/>
      <c r="AF114" s="43"/>
      <c r="AG114" s="43"/>
      <c r="AH114" s="44">
        <f>COUNTA(Juillet!$C114:$AG114)</f>
        <v>0</v>
      </c>
      <c r="AI114" s="45">
        <f>(COUNTIFS(Juillet!$C114:$AG114,("cp")))/2+Juin!AI114</f>
        <v>0</v>
      </c>
      <c r="AJ114" s="45">
        <f>COUNTIFS(Juillet!$C114:$AG114,"RTT")/2+Juin!AJ114</f>
        <v>0</v>
      </c>
      <c r="AK114" s="45">
        <f>COUNTIFS(Juillet!$C114:$AG114,"m")/2+Juin!AK114</f>
        <v>0</v>
      </c>
      <c r="AL114" s="45">
        <f>COUNTIFS(Juillet!$C114:$AG114,"a")/2+Juin!AL114</f>
        <v>0</v>
      </c>
      <c r="AM114" s="46"/>
      <c r="AN114" s="47"/>
      <c r="AO114" s="47"/>
      <c r="AP114" s="46"/>
      <c r="AQ114" s="47"/>
      <c r="AR114" s="47"/>
      <c r="AS114" s="101"/>
    </row>
    <row r="115" spans="1:45" s="79" customFormat="1" ht="12.95" customHeight="1" x14ac:dyDescent="0.25">
      <c r="A115" s="41"/>
      <c r="B115" s="42"/>
      <c r="C115" s="49" t="str">
        <f t="shared" ref="C115:AG115" si="61">IF(C113&gt;0,C113,IF(C114&gt;0,C114,""))</f>
        <v/>
      </c>
      <c r="D115" s="49" t="str">
        <f t="shared" si="61"/>
        <v/>
      </c>
      <c r="E115" s="49" t="str">
        <f t="shared" si="61"/>
        <v/>
      </c>
      <c r="F115" s="49" t="str">
        <f t="shared" si="61"/>
        <v/>
      </c>
      <c r="G115" s="49" t="str">
        <f t="shared" si="61"/>
        <v/>
      </c>
      <c r="H115" s="49" t="str">
        <f t="shared" si="61"/>
        <v/>
      </c>
      <c r="I115" s="49" t="str">
        <f t="shared" si="61"/>
        <v/>
      </c>
      <c r="J115" s="49" t="str">
        <f t="shared" si="61"/>
        <v/>
      </c>
      <c r="K115" s="49" t="str">
        <f t="shared" si="61"/>
        <v/>
      </c>
      <c r="L115" s="49" t="str">
        <f t="shared" si="61"/>
        <v/>
      </c>
      <c r="M115" s="49" t="str">
        <f t="shared" si="61"/>
        <v/>
      </c>
      <c r="N115" s="49" t="str">
        <f t="shared" si="61"/>
        <v/>
      </c>
      <c r="O115" s="49" t="str">
        <f t="shared" si="61"/>
        <v/>
      </c>
      <c r="P115" s="49" t="str">
        <f t="shared" si="61"/>
        <v/>
      </c>
      <c r="Q115" s="49" t="str">
        <f t="shared" si="61"/>
        <v/>
      </c>
      <c r="R115" s="49" t="str">
        <f t="shared" si="61"/>
        <v/>
      </c>
      <c r="S115" s="49" t="str">
        <f t="shared" si="61"/>
        <v/>
      </c>
      <c r="T115" s="49" t="str">
        <f t="shared" si="61"/>
        <v/>
      </c>
      <c r="U115" s="49" t="str">
        <f t="shared" si="61"/>
        <v/>
      </c>
      <c r="V115" s="49" t="str">
        <f t="shared" si="61"/>
        <v/>
      </c>
      <c r="W115" s="49" t="str">
        <f t="shared" si="61"/>
        <v/>
      </c>
      <c r="X115" s="49"/>
      <c r="Y115" s="49"/>
      <c r="Z115" s="49" t="str">
        <f t="shared" si="61"/>
        <v/>
      </c>
      <c r="AA115" s="49" t="str">
        <f t="shared" si="61"/>
        <v/>
      </c>
      <c r="AB115" s="49" t="str">
        <f t="shared" si="61"/>
        <v/>
      </c>
      <c r="AC115" s="49" t="str">
        <f t="shared" si="61"/>
        <v/>
      </c>
      <c r="AD115" s="49" t="str">
        <f t="shared" si="61"/>
        <v/>
      </c>
      <c r="AE115" s="49" t="str">
        <f t="shared" si="61"/>
        <v/>
      </c>
      <c r="AF115" s="49"/>
      <c r="AG115" s="49" t="str">
        <f t="shared" si="61"/>
        <v/>
      </c>
      <c r="AH115" s="44">
        <f>SUM(AH113:AH114)</f>
        <v>0</v>
      </c>
      <c r="AI115" s="45">
        <f>SUM(AI113:AI114)</f>
        <v>0</v>
      </c>
      <c r="AJ115" s="45">
        <f>SUM(AJ113:AJ114)</f>
        <v>0</v>
      </c>
      <c r="AK115" s="45">
        <f t="shared" ref="AK115:AL115" si="62">SUM(AK113:AK114)</f>
        <v>0</v>
      </c>
      <c r="AL115" s="45">
        <f t="shared" si="62"/>
        <v>0</v>
      </c>
      <c r="AM115" s="50">
        <f>+Juin!AM115</f>
        <v>0</v>
      </c>
      <c r="AN115" s="51">
        <f>IF(A114="","",IF(A114&gt;NomMois,0,IF(A114&lt;$A$3,2.08,(NETWORKDAYS(A114,$A$2)/21.66667)*2.08)))</f>
        <v>0</v>
      </c>
      <c r="AO115" s="51">
        <f>IF( AN115="",0,+AN115+Juin!AO115)</f>
        <v>0</v>
      </c>
      <c r="AP115" s="50"/>
      <c r="AQ115" s="45">
        <f>+AM115-AI115</f>
        <v>0</v>
      </c>
      <c r="AR115" s="45">
        <f>+AP115-AJ115</f>
        <v>0</v>
      </c>
      <c r="AS115" s="102">
        <f t="shared" si="50"/>
        <v>0</v>
      </c>
    </row>
    <row r="116" spans="1:45" s="79" customFormat="1" ht="6.75" customHeight="1" x14ac:dyDescent="0.25">
      <c r="A116" s="64"/>
      <c r="B116" s="42"/>
      <c r="C116" s="64"/>
      <c r="D116" s="64"/>
      <c r="E116" s="64"/>
      <c r="F116" s="64"/>
      <c r="G116" s="64"/>
      <c r="H116" s="64"/>
      <c r="I116" s="64"/>
      <c r="J116" s="64"/>
      <c r="K116" s="64"/>
      <c r="L116" s="64"/>
      <c r="M116" s="64"/>
      <c r="N116" s="64"/>
      <c r="O116" s="64"/>
      <c r="P116" s="64"/>
      <c r="Q116" s="64"/>
      <c r="R116" s="64"/>
      <c r="S116" s="64"/>
      <c r="T116" s="64"/>
      <c r="U116" s="64"/>
      <c r="V116" s="64"/>
      <c r="W116" s="64"/>
      <c r="X116" s="64"/>
      <c r="Y116" s="64"/>
      <c r="Z116" s="64"/>
      <c r="AA116" s="64"/>
      <c r="AB116" s="64"/>
      <c r="AC116" s="64"/>
      <c r="AD116" s="64"/>
      <c r="AE116" s="64"/>
      <c r="AF116" s="64"/>
      <c r="AG116" s="64"/>
      <c r="AH116" s="65"/>
      <c r="AI116" s="65"/>
      <c r="AJ116" s="65"/>
      <c r="AK116" s="65"/>
      <c r="AL116" s="65"/>
      <c r="AM116" s="64"/>
      <c r="AN116" s="65"/>
      <c r="AO116" s="65"/>
      <c r="AP116" s="64"/>
      <c r="AQ116" s="69"/>
      <c r="AR116" s="69"/>
      <c r="AS116" s="65"/>
    </row>
    <row r="117" spans="1:45" s="79" customFormat="1" ht="12.95" customHeight="1" x14ac:dyDescent="0.25">
      <c r="A117" s="41"/>
      <c r="B117" s="42" t="s">
        <v>15</v>
      </c>
      <c r="C117" s="67"/>
      <c r="D117" s="43"/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  <c r="S117" s="43"/>
      <c r="T117" s="43"/>
      <c r="U117" s="43"/>
      <c r="V117" s="43"/>
      <c r="W117" s="43"/>
      <c r="X117" s="43"/>
      <c r="Y117" s="43"/>
      <c r="Z117" s="43"/>
      <c r="AA117" s="43"/>
      <c r="AB117" s="43"/>
      <c r="AC117" s="43"/>
      <c r="AD117" s="43"/>
      <c r="AE117" s="43"/>
      <c r="AF117" s="43"/>
      <c r="AG117" s="43"/>
      <c r="AH117" s="44">
        <f>COUNTA(Juillet!$C117:$AG117)</f>
        <v>0</v>
      </c>
      <c r="AI117" s="45">
        <f>(COUNTIFS(Juillet!$C117:$AG117,("cp")))/2+Juin!AI117</f>
        <v>0</v>
      </c>
      <c r="AJ117" s="45">
        <f>COUNTIFS(Juillet!$C117:$AG117,"RTT")/2+Juin!AJ117</f>
        <v>0</v>
      </c>
      <c r="AK117" s="45">
        <f>COUNTIFS(Juillet!$C117:$AG117,"m")/2+Juin!AK117</f>
        <v>0</v>
      </c>
      <c r="AL117" s="45">
        <f>COUNTIFS(Juillet!$C117:$AG117,"a")/2+Juin!AL117</f>
        <v>0</v>
      </c>
      <c r="AM117" s="46"/>
      <c r="AN117" s="47"/>
      <c r="AO117" s="47"/>
      <c r="AP117" s="46"/>
      <c r="AQ117" s="47"/>
      <c r="AR117" s="47"/>
      <c r="AS117" s="47"/>
    </row>
    <row r="118" spans="1:45" s="79" customFormat="1" ht="12.95" customHeight="1" x14ac:dyDescent="0.25">
      <c r="A118" s="48"/>
      <c r="B118" s="42" t="s">
        <v>16</v>
      </c>
      <c r="C118" s="67"/>
      <c r="D118" s="43"/>
      <c r="E118" s="43"/>
      <c r="F118" s="43"/>
      <c r="G118" s="43"/>
      <c r="H118" s="43"/>
      <c r="I118" s="43"/>
      <c r="J118" s="43"/>
      <c r="K118" s="43"/>
      <c r="L118" s="43"/>
      <c r="M118" s="43"/>
      <c r="N118" s="43"/>
      <c r="O118" s="43"/>
      <c r="P118" s="43"/>
      <c r="Q118" s="43"/>
      <c r="R118" s="43"/>
      <c r="S118" s="43"/>
      <c r="T118" s="43"/>
      <c r="U118" s="43"/>
      <c r="V118" s="43"/>
      <c r="W118" s="43"/>
      <c r="X118" s="43"/>
      <c r="Y118" s="43"/>
      <c r="Z118" s="43"/>
      <c r="AA118" s="43"/>
      <c r="AB118" s="43"/>
      <c r="AC118" s="43"/>
      <c r="AD118" s="43"/>
      <c r="AE118" s="43"/>
      <c r="AF118" s="43"/>
      <c r="AG118" s="43"/>
      <c r="AH118" s="44">
        <f>COUNTA(Juillet!$C118:$AG118)</f>
        <v>0</v>
      </c>
      <c r="AI118" s="45">
        <f>(COUNTIFS(Juillet!$C118:$AG118,("cp")))/2+Juin!AI118</f>
        <v>0</v>
      </c>
      <c r="AJ118" s="45">
        <f>COUNTIFS(Juillet!$C118:$AG118,"RTT")/2+Juin!AJ118</f>
        <v>0</v>
      </c>
      <c r="AK118" s="45">
        <f>COUNTIFS(Juillet!$C118:$AG118,"m")/2+Juin!AK118</f>
        <v>0</v>
      </c>
      <c r="AL118" s="45">
        <f>COUNTIFS(Juillet!$C118:$AG118,"a")/2+Juin!AL118</f>
        <v>0</v>
      </c>
      <c r="AM118" s="46"/>
      <c r="AN118" s="47"/>
      <c r="AO118" s="47"/>
      <c r="AP118" s="46"/>
      <c r="AQ118" s="47"/>
      <c r="AR118" s="47"/>
      <c r="AS118" s="101"/>
    </row>
    <row r="119" spans="1:45" s="79" customFormat="1" ht="12.95" customHeight="1" x14ac:dyDescent="0.25">
      <c r="A119" s="41"/>
      <c r="B119" s="42"/>
      <c r="C119" s="49" t="str">
        <f t="shared" ref="C119:W119" si="63">IF(C117&gt;0,C117,IF(C118&gt;0,C118,""))</f>
        <v/>
      </c>
      <c r="D119" s="49" t="str">
        <f t="shared" si="63"/>
        <v/>
      </c>
      <c r="E119" s="49" t="str">
        <f t="shared" si="63"/>
        <v/>
      </c>
      <c r="F119" s="49" t="str">
        <f t="shared" si="63"/>
        <v/>
      </c>
      <c r="G119" s="49" t="str">
        <f t="shared" si="63"/>
        <v/>
      </c>
      <c r="H119" s="49" t="str">
        <f t="shared" si="63"/>
        <v/>
      </c>
      <c r="I119" s="49" t="str">
        <f t="shared" si="63"/>
        <v/>
      </c>
      <c r="J119" s="49" t="str">
        <f t="shared" si="63"/>
        <v/>
      </c>
      <c r="K119" s="49" t="str">
        <f t="shared" si="63"/>
        <v/>
      </c>
      <c r="L119" s="49" t="str">
        <f t="shared" si="63"/>
        <v/>
      </c>
      <c r="M119" s="49" t="str">
        <f t="shared" si="63"/>
        <v/>
      </c>
      <c r="N119" s="49" t="str">
        <f t="shared" si="63"/>
        <v/>
      </c>
      <c r="O119" s="49" t="str">
        <f t="shared" si="63"/>
        <v/>
      </c>
      <c r="P119" s="49" t="str">
        <f t="shared" si="63"/>
        <v/>
      </c>
      <c r="Q119" s="49" t="str">
        <f t="shared" si="63"/>
        <v/>
      </c>
      <c r="R119" s="49" t="str">
        <f t="shared" si="63"/>
        <v/>
      </c>
      <c r="S119" s="49" t="str">
        <f t="shared" si="63"/>
        <v/>
      </c>
      <c r="T119" s="49" t="str">
        <f t="shared" si="63"/>
        <v/>
      </c>
      <c r="U119" s="49" t="str">
        <f t="shared" si="63"/>
        <v/>
      </c>
      <c r="V119" s="49" t="str">
        <f t="shared" si="63"/>
        <v/>
      </c>
      <c r="W119" s="49" t="str">
        <f t="shared" si="63"/>
        <v/>
      </c>
      <c r="X119" s="49"/>
      <c r="Y119" s="49"/>
      <c r="Z119" s="49" t="str">
        <f t="shared" ref="Z119:AE119" si="64">IF(Z117&gt;0,Z117,IF(Z118&gt;0,Z118,""))</f>
        <v/>
      </c>
      <c r="AA119" s="49" t="str">
        <f t="shared" si="64"/>
        <v/>
      </c>
      <c r="AB119" s="49" t="str">
        <f t="shared" si="64"/>
        <v/>
      </c>
      <c r="AC119" s="49" t="str">
        <f t="shared" si="64"/>
        <v/>
      </c>
      <c r="AD119" s="49" t="str">
        <f t="shared" si="64"/>
        <v/>
      </c>
      <c r="AE119" s="49" t="str">
        <f t="shared" si="64"/>
        <v/>
      </c>
      <c r="AF119" s="49"/>
      <c r="AG119" s="49" t="str">
        <f t="shared" ref="AG119" si="65">IF(AG117&gt;0,AG117,IF(AG118&gt;0,AG118,""))</f>
        <v/>
      </c>
      <c r="AH119" s="44">
        <f>SUM(AH117:AH118)</f>
        <v>0</v>
      </c>
      <c r="AI119" s="45">
        <f>SUM(AI117:AI118)</f>
        <v>0</v>
      </c>
      <c r="AJ119" s="45">
        <f>SUM(AJ117:AJ118)</f>
        <v>0</v>
      </c>
      <c r="AK119" s="45">
        <f t="shared" ref="AK119:AL119" si="66">SUM(AK117:AK118)</f>
        <v>0</v>
      </c>
      <c r="AL119" s="45">
        <f t="shared" si="66"/>
        <v>0</v>
      </c>
      <c r="AM119" s="50">
        <f>+Juin!AM119</f>
        <v>0</v>
      </c>
      <c r="AN119" s="51" t="str">
        <f>IF(A118="","",IF(A118&gt;NomMois,0,IF(A118&lt;$A$3,2.08,(NETWORKDAYS(A118,$A$2)/21.66667)*2.08)))</f>
        <v/>
      </c>
      <c r="AO119" s="51">
        <f>IF( AN119="",0,+AN119+Juin!AO119)</f>
        <v>0</v>
      </c>
      <c r="AP119" s="50"/>
      <c r="AQ119" s="45">
        <f>+AM119-AI119</f>
        <v>0</v>
      </c>
      <c r="AR119" s="45">
        <f>+AP119-AJ119</f>
        <v>0</v>
      </c>
      <c r="AS119" s="102">
        <f t="shared" si="50"/>
        <v>0</v>
      </c>
    </row>
    <row r="120" spans="1:45" s="79" customFormat="1" ht="6.75" customHeight="1" x14ac:dyDescent="0.25">
      <c r="A120" s="64"/>
      <c r="B120" s="42"/>
      <c r="C120" s="64"/>
      <c r="D120" s="64"/>
      <c r="E120" s="64"/>
      <c r="F120" s="64"/>
      <c r="G120" s="64"/>
      <c r="H120" s="64"/>
      <c r="I120" s="64"/>
      <c r="J120" s="64"/>
      <c r="K120" s="64"/>
      <c r="L120" s="64"/>
      <c r="M120" s="64"/>
      <c r="N120" s="64"/>
      <c r="O120" s="64"/>
      <c r="P120" s="64"/>
      <c r="Q120" s="64"/>
      <c r="R120" s="64"/>
      <c r="S120" s="64"/>
      <c r="T120" s="64"/>
      <c r="U120" s="64"/>
      <c r="V120" s="64"/>
      <c r="W120" s="64"/>
      <c r="X120" s="64"/>
      <c r="Y120" s="64"/>
      <c r="Z120" s="64"/>
      <c r="AA120" s="64"/>
      <c r="AB120" s="64"/>
      <c r="AC120" s="64"/>
      <c r="AD120" s="64"/>
      <c r="AE120" s="64"/>
      <c r="AF120" s="64"/>
      <c r="AG120" s="64"/>
      <c r="AH120" s="65"/>
      <c r="AI120" s="65"/>
      <c r="AJ120" s="65"/>
      <c r="AK120" s="65"/>
      <c r="AL120" s="65"/>
      <c r="AM120" s="64"/>
      <c r="AN120" s="65"/>
      <c r="AO120" s="65"/>
      <c r="AP120" s="64"/>
      <c r="AQ120" s="69"/>
      <c r="AR120" s="69"/>
      <c r="AS120" s="65"/>
    </row>
    <row r="121" spans="1:45" s="79" customFormat="1" ht="12.95" customHeight="1" x14ac:dyDescent="0.25">
      <c r="A121" s="41"/>
      <c r="B121" s="42" t="s">
        <v>15</v>
      </c>
      <c r="C121" s="67"/>
      <c r="D121" s="43"/>
      <c r="E121" s="43"/>
      <c r="F121" s="43"/>
      <c r="G121" s="43"/>
      <c r="H121" s="43"/>
      <c r="I121" s="43"/>
      <c r="J121" s="43"/>
      <c r="K121" s="43"/>
      <c r="L121" s="43"/>
      <c r="M121" s="43"/>
      <c r="N121" s="43"/>
      <c r="O121" s="43"/>
      <c r="P121" s="43"/>
      <c r="Q121" s="43"/>
      <c r="R121" s="43"/>
      <c r="S121" s="43"/>
      <c r="T121" s="43"/>
      <c r="U121" s="43"/>
      <c r="V121" s="43"/>
      <c r="W121" s="43"/>
      <c r="X121" s="43"/>
      <c r="Y121" s="43"/>
      <c r="Z121" s="43"/>
      <c r="AA121" s="43"/>
      <c r="AB121" s="43"/>
      <c r="AC121" s="43"/>
      <c r="AD121" s="43"/>
      <c r="AE121" s="43"/>
      <c r="AF121" s="43"/>
      <c r="AG121" s="43"/>
      <c r="AH121" s="44">
        <f>COUNTA(Juillet!$C121:$AG121)</f>
        <v>0</v>
      </c>
      <c r="AI121" s="45">
        <f>(COUNTIFS(Juillet!$C121:$AG121,("cp")))/2+Juin!AI121</f>
        <v>0</v>
      </c>
      <c r="AJ121" s="45">
        <f>COUNTIFS(Juillet!$C121:$AG121,"RTT")/2+Juin!AJ121</f>
        <v>0</v>
      </c>
      <c r="AK121" s="45">
        <f>COUNTIFS(Juillet!$C121:$AG121,"m")/2+Juin!AK121</f>
        <v>0</v>
      </c>
      <c r="AL121" s="45">
        <f>COUNTIFS(Juillet!$C121:$AG121,"a")/2+Juin!AL121</f>
        <v>0</v>
      </c>
      <c r="AM121" s="46"/>
      <c r="AN121" s="47"/>
      <c r="AO121" s="47"/>
      <c r="AP121" s="46"/>
      <c r="AQ121" s="47"/>
      <c r="AR121" s="47"/>
      <c r="AS121" s="47"/>
    </row>
    <row r="122" spans="1:45" s="79" customFormat="1" ht="12.95" customHeight="1" x14ac:dyDescent="0.25">
      <c r="A122" s="48"/>
      <c r="B122" s="42" t="s">
        <v>16</v>
      </c>
      <c r="C122" s="67"/>
      <c r="D122" s="43"/>
      <c r="E122" s="43"/>
      <c r="F122" s="43"/>
      <c r="G122" s="43"/>
      <c r="H122" s="43"/>
      <c r="I122" s="43"/>
      <c r="J122" s="43"/>
      <c r="K122" s="43"/>
      <c r="L122" s="43"/>
      <c r="M122" s="43"/>
      <c r="N122" s="43"/>
      <c r="O122" s="43"/>
      <c r="P122" s="43"/>
      <c r="Q122" s="43"/>
      <c r="R122" s="43"/>
      <c r="S122" s="43"/>
      <c r="T122" s="43"/>
      <c r="U122" s="43"/>
      <c r="V122" s="43"/>
      <c r="W122" s="43"/>
      <c r="X122" s="43"/>
      <c r="Y122" s="43"/>
      <c r="Z122" s="43"/>
      <c r="AA122" s="43"/>
      <c r="AB122" s="43"/>
      <c r="AC122" s="43"/>
      <c r="AD122" s="43"/>
      <c r="AE122" s="43"/>
      <c r="AF122" s="43"/>
      <c r="AG122" s="43"/>
      <c r="AH122" s="44">
        <f>COUNTA(Juillet!$C122:$AG122)</f>
        <v>0</v>
      </c>
      <c r="AI122" s="45">
        <f>(COUNTIFS(Juillet!$C122:$AG122,("cp")))/2+Juin!AI122</f>
        <v>0</v>
      </c>
      <c r="AJ122" s="45">
        <f>COUNTIFS(Juillet!$C122:$AG122,"RTT")/2+Juin!AJ122</f>
        <v>0</v>
      </c>
      <c r="AK122" s="45">
        <f>COUNTIFS(Juillet!$C122:$AG122,"m")/2+Juin!AK122</f>
        <v>0</v>
      </c>
      <c r="AL122" s="45">
        <f>COUNTIFS(Juillet!$C122:$AG122,"a")/2+Juin!AL122</f>
        <v>0</v>
      </c>
      <c r="AM122" s="46"/>
      <c r="AN122" s="47"/>
      <c r="AO122" s="47"/>
      <c r="AP122" s="46"/>
      <c r="AQ122" s="47"/>
      <c r="AR122" s="47"/>
      <c r="AS122" s="101"/>
    </row>
    <row r="123" spans="1:45" s="79" customFormat="1" ht="12.95" customHeight="1" x14ac:dyDescent="0.25">
      <c r="A123" s="41"/>
      <c r="B123" s="42"/>
      <c r="C123" s="49" t="str">
        <f t="shared" ref="C123:AG123" si="67">IF(C121&gt;0,C121,IF(C122&gt;0,C122,""))</f>
        <v/>
      </c>
      <c r="D123" s="49" t="str">
        <f t="shared" si="67"/>
        <v/>
      </c>
      <c r="E123" s="49" t="str">
        <f t="shared" si="67"/>
        <v/>
      </c>
      <c r="F123" s="49" t="str">
        <f t="shared" si="67"/>
        <v/>
      </c>
      <c r="G123" s="49" t="str">
        <f t="shared" si="67"/>
        <v/>
      </c>
      <c r="H123" s="49" t="str">
        <f t="shared" si="67"/>
        <v/>
      </c>
      <c r="I123" s="49" t="str">
        <f t="shared" si="67"/>
        <v/>
      </c>
      <c r="J123" s="49" t="str">
        <f t="shared" si="67"/>
        <v/>
      </c>
      <c r="K123" s="49" t="str">
        <f t="shared" si="67"/>
        <v/>
      </c>
      <c r="L123" s="49" t="str">
        <f t="shared" si="67"/>
        <v/>
      </c>
      <c r="M123" s="49" t="str">
        <f t="shared" si="67"/>
        <v/>
      </c>
      <c r="N123" s="49" t="str">
        <f t="shared" si="67"/>
        <v/>
      </c>
      <c r="O123" s="49" t="str">
        <f t="shared" si="67"/>
        <v/>
      </c>
      <c r="P123" s="49" t="str">
        <f t="shared" si="67"/>
        <v/>
      </c>
      <c r="Q123" s="49" t="str">
        <f t="shared" si="67"/>
        <v/>
      </c>
      <c r="R123" s="49" t="str">
        <f t="shared" si="67"/>
        <v/>
      </c>
      <c r="S123" s="49" t="str">
        <f t="shared" si="67"/>
        <v/>
      </c>
      <c r="T123" s="49" t="str">
        <f t="shared" si="67"/>
        <v/>
      </c>
      <c r="U123" s="49" t="str">
        <f t="shared" si="67"/>
        <v/>
      </c>
      <c r="V123" s="49" t="str">
        <f t="shared" si="67"/>
        <v/>
      </c>
      <c r="W123" s="49" t="str">
        <f t="shared" si="67"/>
        <v/>
      </c>
      <c r="X123" s="49" t="str">
        <f t="shared" si="67"/>
        <v/>
      </c>
      <c r="Y123" s="49" t="str">
        <f t="shared" si="67"/>
        <v/>
      </c>
      <c r="Z123" s="49" t="str">
        <f t="shared" si="67"/>
        <v/>
      </c>
      <c r="AA123" s="49" t="str">
        <f t="shared" si="67"/>
        <v/>
      </c>
      <c r="AB123" s="49" t="str">
        <f t="shared" si="67"/>
        <v/>
      </c>
      <c r="AC123" s="49" t="str">
        <f t="shared" si="67"/>
        <v/>
      </c>
      <c r="AD123" s="49" t="str">
        <f t="shared" si="67"/>
        <v/>
      </c>
      <c r="AE123" s="49" t="str">
        <f t="shared" si="67"/>
        <v/>
      </c>
      <c r="AF123" s="49" t="str">
        <f t="shared" si="67"/>
        <v/>
      </c>
      <c r="AG123" s="49" t="str">
        <f t="shared" si="67"/>
        <v/>
      </c>
      <c r="AH123" s="44">
        <f>SUM(AH121:AH122)</f>
        <v>0</v>
      </c>
      <c r="AI123" s="45">
        <f>SUM(AI121:AI122)</f>
        <v>0</v>
      </c>
      <c r="AJ123" s="45">
        <f>SUM(AJ121:AJ122)</f>
        <v>0</v>
      </c>
      <c r="AK123" s="45">
        <f t="shared" ref="AK123:AL123" si="68">SUM(AK121:AK122)</f>
        <v>0</v>
      </c>
      <c r="AL123" s="45">
        <f t="shared" si="68"/>
        <v>0</v>
      </c>
      <c r="AM123" s="50">
        <f>+Juin!AM123</f>
        <v>0</v>
      </c>
      <c r="AN123" s="51" t="str">
        <f>IF(A122="","",IF(A122&gt;NomMois,0,IF(A122&lt;$A$3,2.08,(NETWORKDAYS(A122,$A$2)/21.66667)*2.08)))</f>
        <v/>
      </c>
      <c r="AO123" s="51">
        <f>IF( AN123="",0,+AN123+Juin!AO123)</f>
        <v>0</v>
      </c>
      <c r="AP123" s="50"/>
      <c r="AQ123" s="45">
        <f>+AM123-AI123</f>
        <v>0</v>
      </c>
      <c r="AR123" s="45">
        <f>+AP123-AJ123</f>
        <v>0</v>
      </c>
      <c r="AS123" s="102">
        <f t="shared" si="50"/>
        <v>0</v>
      </c>
    </row>
    <row r="124" spans="1:45" s="79" customFormat="1" ht="6.75" customHeight="1" x14ac:dyDescent="0.25">
      <c r="A124" s="64"/>
      <c r="B124" s="64"/>
      <c r="C124" s="64"/>
      <c r="D124" s="64"/>
      <c r="E124" s="64"/>
      <c r="F124" s="64"/>
      <c r="G124" s="64"/>
      <c r="H124" s="64"/>
      <c r="I124" s="64"/>
      <c r="J124" s="64"/>
      <c r="K124" s="64"/>
      <c r="L124" s="64"/>
      <c r="M124" s="64"/>
      <c r="N124" s="64"/>
      <c r="O124" s="64"/>
      <c r="P124" s="64"/>
      <c r="Q124" s="64"/>
      <c r="R124" s="64"/>
      <c r="S124" s="64"/>
      <c r="T124" s="64"/>
      <c r="U124" s="64"/>
      <c r="V124" s="64"/>
      <c r="W124" s="64"/>
      <c r="X124" s="64"/>
      <c r="Y124" s="64"/>
      <c r="Z124" s="64"/>
      <c r="AA124" s="64"/>
      <c r="AB124" s="64"/>
      <c r="AC124" s="64"/>
      <c r="AD124" s="64"/>
      <c r="AE124" s="64"/>
      <c r="AF124" s="64"/>
      <c r="AG124" s="64"/>
      <c r="AH124" s="64"/>
      <c r="AI124" s="64"/>
      <c r="AJ124" s="64"/>
      <c r="AK124" s="64"/>
      <c r="AL124" s="64"/>
      <c r="AM124" s="64"/>
      <c r="AN124" s="65"/>
      <c r="AO124" s="65"/>
      <c r="AP124" s="64"/>
      <c r="AQ124" s="69"/>
      <c r="AR124" s="69"/>
      <c r="AS124" s="65"/>
    </row>
    <row r="125" spans="1:45" s="79" customFormat="1" x14ac:dyDescent="0.25">
      <c r="A125" s="100"/>
      <c r="B125" s="100"/>
      <c r="C125" s="100"/>
      <c r="D125" s="100"/>
      <c r="E125" s="100"/>
      <c r="F125" s="100"/>
      <c r="G125" s="100"/>
      <c r="H125" s="100"/>
      <c r="I125" s="100"/>
      <c r="J125" s="100"/>
      <c r="K125" s="100"/>
      <c r="L125" s="100"/>
      <c r="M125" s="100"/>
      <c r="N125" s="100"/>
      <c r="O125" s="100"/>
      <c r="P125" s="100"/>
      <c r="Q125" s="100"/>
      <c r="R125" s="100"/>
      <c r="S125" s="100"/>
      <c r="T125" s="100"/>
      <c r="U125" s="100"/>
      <c r="V125" s="100"/>
      <c r="W125" s="100"/>
      <c r="X125" s="100"/>
      <c r="Y125" s="100"/>
      <c r="Z125" s="100"/>
      <c r="AA125" s="100"/>
      <c r="AB125" s="100"/>
      <c r="AC125" s="100"/>
      <c r="AD125" s="100"/>
      <c r="AE125" s="100"/>
      <c r="AF125" s="100"/>
      <c r="AG125" s="100"/>
      <c r="AH125" s="100"/>
      <c r="AM125" s="8"/>
      <c r="AN125" s="8"/>
      <c r="AO125" s="8"/>
    </row>
    <row r="126" spans="1:45" s="79" customFormat="1" x14ac:dyDescent="0.25">
      <c r="A126" s="100"/>
      <c r="B126" s="100"/>
      <c r="C126" s="100"/>
      <c r="D126" s="100"/>
      <c r="E126" s="100"/>
      <c r="F126" s="100"/>
      <c r="G126" s="100"/>
      <c r="H126" s="100"/>
      <c r="I126" s="100"/>
      <c r="J126" s="100"/>
      <c r="K126" s="100"/>
      <c r="L126" s="100"/>
      <c r="M126" s="100"/>
      <c r="N126" s="100"/>
      <c r="O126" s="100"/>
      <c r="P126" s="100"/>
      <c r="Q126" s="100"/>
      <c r="R126" s="100"/>
      <c r="S126" s="100"/>
      <c r="T126" s="100"/>
      <c r="U126" s="100"/>
      <c r="V126" s="100"/>
      <c r="W126" s="100"/>
      <c r="X126" s="100"/>
      <c r="Y126" s="100"/>
      <c r="Z126" s="100"/>
      <c r="AA126" s="100"/>
      <c r="AB126" s="100"/>
      <c r="AC126" s="100"/>
      <c r="AD126" s="100"/>
      <c r="AE126" s="100"/>
      <c r="AF126" s="100"/>
      <c r="AG126" s="100"/>
      <c r="AH126" s="100"/>
      <c r="AM126" s="8"/>
      <c r="AN126" s="8"/>
      <c r="AO126" s="8"/>
    </row>
    <row r="127" spans="1:45" s="79" customFormat="1" x14ac:dyDescent="0.25">
      <c r="A127" s="80" t="s">
        <v>23</v>
      </c>
      <c r="B127" s="80"/>
      <c r="C127" s="82" t="s">
        <v>17</v>
      </c>
      <c r="D127" s="82"/>
      <c r="E127" s="82"/>
      <c r="F127" s="82"/>
      <c r="G127" s="83"/>
      <c r="H127" s="84" t="s">
        <v>7</v>
      </c>
      <c r="I127" s="85" t="s">
        <v>18</v>
      </c>
      <c r="J127" s="86"/>
      <c r="K127" s="86"/>
      <c r="L127" s="87" t="s">
        <v>8</v>
      </c>
      <c r="M127" s="85" t="s">
        <v>8</v>
      </c>
      <c r="N127" s="86"/>
      <c r="O127" s="86"/>
      <c r="P127" s="88" t="s">
        <v>9</v>
      </c>
      <c r="Q127" s="85" t="s">
        <v>19</v>
      </c>
      <c r="R127" s="86"/>
      <c r="S127" s="86"/>
      <c r="T127" s="89" t="s">
        <v>10</v>
      </c>
      <c r="U127" s="90" t="s">
        <v>20</v>
      </c>
      <c r="V127" s="91"/>
      <c r="W127" s="86"/>
      <c r="X127" s="93"/>
      <c r="Y127" s="92"/>
      <c r="Z127" s="90" t="s">
        <v>21</v>
      </c>
      <c r="AA127" s="86"/>
      <c r="AB127" s="91"/>
      <c r="AC127" s="93"/>
      <c r="AD127" s="93"/>
      <c r="AE127" s="93"/>
      <c r="AF127" s="93"/>
      <c r="AG127" s="93"/>
      <c r="AH127" s="94"/>
      <c r="AM127" s="8"/>
      <c r="AN127" s="8"/>
      <c r="AO127" s="8"/>
    </row>
    <row r="128" spans="1:45" s="79" customFormat="1" x14ac:dyDescent="0.25"/>
    <row r="129" s="79" customFormat="1" x14ac:dyDescent="0.25"/>
    <row r="130" s="79" customFormat="1" x14ac:dyDescent="0.25"/>
    <row r="131" s="79" customFormat="1" ht="15" customHeight="1" x14ac:dyDescent="0.25"/>
    <row r="132" s="79" customFormat="1" ht="15" customHeight="1" x14ac:dyDescent="0.25"/>
    <row r="133" s="79" customFormat="1" ht="15" customHeight="1" x14ac:dyDescent="0.25"/>
    <row r="134" s="79" customFormat="1" ht="15" customHeight="1" x14ac:dyDescent="0.25"/>
    <row r="135" s="79" customFormat="1" ht="15" customHeight="1" x14ac:dyDescent="0.25"/>
    <row r="136" s="79" customFormat="1" ht="15" customHeight="1" x14ac:dyDescent="0.25"/>
    <row r="137" s="79" customFormat="1" ht="15" customHeight="1" x14ac:dyDescent="0.25"/>
    <row r="138" s="79" customFormat="1" ht="15" customHeight="1" x14ac:dyDescent="0.25"/>
    <row r="139" s="79" customFormat="1" ht="15" customHeight="1" x14ac:dyDescent="0.25"/>
    <row r="140" s="79" customFormat="1" ht="15" customHeight="1" x14ac:dyDescent="0.25"/>
    <row r="141" s="79" customFormat="1" ht="15" customHeight="1" x14ac:dyDescent="0.25"/>
    <row r="142" s="79" customFormat="1" ht="15" customHeight="1" x14ac:dyDescent="0.25"/>
    <row r="143" s="79" customFormat="1" ht="15" customHeight="1" x14ac:dyDescent="0.25"/>
    <row r="144" s="79" customFormat="1" ht="15" customHeight="1" x14ac:dyDescent="0.25"/>
    <row r="145" s="79" customFormat="1" ht="15" customHeight="1" x14ac:dyDescent="0.25"/>
    <row r="146" s="79" customFormat="1" ht="15" customHeight="1" x14ac:dyDescent="0.25"/>
    <row r="147" s="79" customFormat="1" ht="15" customHeight="1" x14ac:dyDescent="0.25"/>
    <row r="148" s="79" customFormat="1" ht="15" customHeight="1" x14ac:dyDescent="0.25"/>
    <row r="149" s="79" customFormat="1" ht="15" customHeight="1" x14ac:dyDescent="0.25"/>
    <row r="150" s="79" customFormat="1" ht="15" customHeight="1" x14ac:dyDescent="0.25"/>
    <row r="151" s="79" customFormat="1" ht="15" customHeight="1" x14ac:dyDescent="0.25"/>
    <row r="152" s="79" customFormat="1" ht="15" customHeight="1" x14ac:dyDescent="0.25"/>
    <row r="153" s="79" customFormat="1" ht="15" customHeight="1" x14ac:dyDescent="0.25"/>
    <row r="154" s="79" customFormat="1" ht="15" customHeight="1" x14ac:dyDescent="0.25"/>
    <row r="155" s="79" customFormat="1" ht="15" customHeight="1" x14ac:dyDescent="0.25"/>
    <row r="156" s="79" customFormat="1" ht="15" customHeight="1" x14ac:dyDescent="0.25"/>
    <row r="157" s="79" customFormat="1" ht="15" customHeight="1" x14ac:dyDescent="0.25"/>
    <row r="158" s="79" customFormat="1" ht="15" customHeight="1" x14ac:dyDescent="0.25"/>
    <row r="159" s="79" customFormat="1" ht="15" customHeight="1" x14ac:dyDescent="0.25"/>
    <row r="160" s="79" customFormat="1" ht="15" customHeight="1" x14ac:dyDescent="0.25"/>
    <row r="161" s="79" customFormat="1" ht="15" customHeight="1" x14ac:dyDescent="0.25"/>
    <row r="162" s="79" customFormat="1" ht="15" customHeight="1" x14ac:dyDescent="0.25"/>
    <row r="163" s="79" customFormat="1" ht="15" customHeight="1" x14ac:dyDescent="0.25"/>
    <row r="164" s="79" customFormat="1" ht="15" customHeight="1" x14ac:dyDescent="0.25"/>
    <row r="165" s="79" customFormat="1" ht="15" customHeight="1" x14ac:dyDescent="0.25"/>
    <row r="166" s="79" customFormat="1" ht="15" customHeight="1" x14ac:dyDescent="0.25"/>
    <row r="167" s="79" customFormat="1" ht="15" customHeight="1" x14ac:dyDescent="0.25"/>
    <row r="168" s="79" customFormat="1" ht="15" customHeight="1" x14ac:dyDescent="0.25"/>
    <row r="169" s="79" customFormat="1" ht="15" customHeight="1" x14ac:dyDescent="0.25"/>
    <row r="170" s="79" customFormat="1" ht="15" customHeight="1" x14ac:dyDescent="0.25"/>
    <row r="171" s="79" customFormat="1" ht="15" customHeight="1" x14ac:dyDescent="0.25"/>
    <row r="172" s="79" customFormat="1" ht="15" customHeight="1" x14ac:dyDescent="0.25"/>
    <row r="173" s="79" customFormat="1" ht="15" customHeight="1" x14ac:dyDescent="0.25"/>
    <row r="174" s="79" customFormat="1" ht="15" customHeight="1" x14ac:dyDescent="0.25"/>
    <row r="175" s="79" customFormat="1" ht="15" customHeight="1" x14ac:dyDescent="0.25"/>
    <row r="176" s="79" customFormat="1" ht="15" customHeight="1" x14ac:dyDescent="0.25"/>
    <row r="177" s="79" customFormat="1" ht="15" customHeight="1" x14ac:dyDescent="0.25"/>
    <row r="178" s="79" customFormat="1" ht="15" customHeight="1" x14ac:dyDescent="0.25"/>
    <row r="179" s="79" customFormat="1" ht="15" customHeight="1" x14ac:dyDescent="0.25"/>
    <row r="180" s="79" customFormat="1" ht="15" customHeight="1" x14ac:dyDescent="0.25"/>
    <row r="181" s="79" customFormat="1" ht="15" customHeight="1" x14ac:dyDescent="0.25"/>
    <row r="182" s="79" customFormat="1" ht="15" customHeight="1" x14ac:dyDescent="0.25"/>
    <row r="183" s="79" customFormat="1" ht="15" customHeight="1" x14ac:dyDescent="0.25"/>
    <row r="184" s="79" customFormat="1" ht="15" customHeight="1" x14ac:dyDescent="0.25"/>
    <row r="185" s="79" customFormat="1" ht="15" customHeight="1" x14ac:dyDescent="0.25"/>
    <row r="186" s="79" customFormat="1" ht="15" customHeight="1" x14ac:dyDescent="0.25"/>
    <row r="187" s="79" customFormat="1" ht="15" customHeight="1" x14ac:dyDescent="0.25"/>
    <row r="188" s="79" customFormat="1" ht="15" customHeight="1" x14ac:dyDescent="0.25"/>
    <row r="189" s="79" customFormat="1" ht="15" customHeight="1" x14ac:dyDescent="0.25"/>
    <row r="190" s="79" customFormat="1" ht="15" customHeight="1" x14ac:dyDescent="0.25"/>
    <row r="191" s="79" customFormat="1" ht="15" customHeight="1" x14ac:dyDescent="0.25"/>
    <row r="192" s="79" customFormat="1" ht="15" customHeight="1" x14ac:dyDescent="0.25"/>
    <row r="193" s="79" customFormat="1" ht="15" customHeight="1" x14ac:dyDescent="0.25"/>
    <row r="194" s="79" customFormat="1" ht="15" customHeight="1" x14ac:dyDescent="0.25"/>
    <row r="195" s="79" customFormat="1" ht="15" customHeight="1" x14ac:dyDescent="0.25"/>
    <row r="196" s="79" customFormat="1" ht="15" customHeight="1" x14ac:dyDescent="0.25"/>
    <row r="197" s="79" customFormat="1" ht="15" customHeight="1" x14ac:dyDescent="0.25"/>
    <row r="198" s="79" customFormat="1" ht="15" customHeight="1" x14ac:dyDescent="0.25"/>
    <row r="199" s="79" customFormat="1" ht="15" customHeight="1" x14ac:dyDescent="0.25"/>
    <row r="200" s="79" customFormat="1" ht="15" customHeight="1" x14ac:dyDescent="0.25"/>
    <row r="201" s="79" customFormat="1" ht="15" customHeight="1" x14ac:dyDescent="0.25"/>
    <row r="202" s="79" customFormat="1" ht="15" customHeight="1" x14ac:dyDescent="0.25"/>
    <row r="203" s="79" customFormat="1" ht="15" customHeight="1" x14ac:dyDescent="0.25"/>
    <row r="204" s="79" customFormat="1" ht="15" customHeight="1" x14ac:dyDescent="0.25"/>
    <row r="205" s="79" customFormat="1" ht="15" customHeight="1" x14ac:dyDescent="0.25"/>
    <row r="206" s="79" customFormat="1" ht="15" customHeight="1" x14ac:dyDescent="0.25"/>
    <row r="207" s="79" customFormat="1" ht="15" customHeight="1" x14ac:dyDescent="0.25"/>
    <row r="208" s="79" customFormat="1" ht="15" customHeight="1" x14ac:dyDescent="0.25"/>
    <row r="209" s="79" customFormat="1" ht="15" customHeight="1" x14ac:dyDescent="0.25"/>
    <row r="210" s="79" customFormat="1" ht="15" customHeight="1" x14ac:dyDescent="0.25"/>
    <row r="211" s="79" customFormat="1" ht="15" customHeight="1" x14ac:dyDescent="0.25"/>
    <row r="212" s="79" customFormat="1" ht="15" customHeight="1" x14ac:dyDescent="0.25"/>
    <row r="213" s="79" customFormat="1" ht="15" customHeight="1" x14ac:dyDescent="0.25"/>
    <row r="214" s="79" customFormat="1" ht="15" customHeight="1" x14ac:dyDescent="0.25"/>
    <row r="215" s="79" customFormat="1" ht="15" customHeight="1" x14ac:dyDescent="0.25"/>
    <row r="216" s="79" customFormat="1" ht="15" customHeight="1" x14ac:dyDescent="0.25"/>
    <row r="217" s="79" customFormat="1" ht="15" customHeight="1" x14ac:dyDescent="0.25"/>
    <row r="218" s="79" customFormat="1" ht="15" customHeight="1" x14ac:dyDescent="0.25"/>
    <row r="219" s="79" customFormat="1" ht="15" customHeight="1" x14ac:dyDescent="0.25"/>
    <row r="220" s="79" customFormat="1" ht="15" customHeight="1" x14ac:dyDescent="0.25"/>
    <row r="221" s="79" customFormat="1" ht="15" customHeight="1" x14ac:dyDescent="0.25"/>
    <row r="222" s="79" customFormat="1" ht="15" customHeight="1" x14ac:dyDescent="0.25"/>
    <row r="223" s="79" customFormat="1" ht="15" customHeight="1" x14ac:dyDescent="0.25"/>
    <row r="224" s="79" customFormat="1" ht="15" customHeight="1" x14ac:dyDescent="0.25"/>
    <row r="225" s="79" customFormat="1" ht="15" customHeight="1" x14ac:dyDescent="0.25"/>
    <row r="226" s="79" customFormat="1" ht="15" customHeight="1" x14ac:dyDescent="0.25"/>
    <row r="227" s="79" customFormat="1" ht="15" customHeight="1" x14ac:dyDescent="0.25"/>
    <row r="228" s="79" customFormat="1" ht="15" customHeight="1" x14ac:dyDescent="0.25"/>
    <row r="229" s="79" customFormat="1" ht="15" customHeight="1" x14ac:dyDescent="0.25"/>
    <row r="230" s="79" customFormat="1" ht="15" customHeight="1" x14ac:dyDescent="0.25"/>
    <row r="231" s="79" customFormat="1" ht="15" customHeight="1" x14ac:dyDescent="0.25"/>
    <row r="232" s="79" customFormat="1" ht="15" customHeight="1" x14ac:dyDescent="0.25"/>
    <row r="233" s="79" customFormat="1" ht="15" customHeight="1" x14ac:dyDescent="0.25"/>
    <row r="234" s="79" customFormat="1" ht="15" customHeight="1" x14ac:dyDescent="0.25"/>
    <row r="235" s="79" customFormat="1" ht="15" customHeight="1" x14ac:dyDescent="0.25"/>
    <row r="236" s="79" customFormat="1" ht="15" customHeight="1" x14ac:dyDescent="0.25"/>
    <row r="237" s="79" customFormat="1" ht="15" customHeight="1" x14ac:dyDescent="0.25"/>
    <row r="238" s="79" customFormat="1" ht="15" customHeight="1" x14ac:dyDescent="0.25"/>
    <row r="239" s="79" customFormat="1" ht="15" customHeight="1" x14ac:dyDescent="0.25"/>
    <row r="240" s="79" customFormat="1" ht="15" customHeight="1" x14ac:dyDescent="0.25"/>
    <row r="241" s="79" customFormat="1" ht="15" customHeight="1" x14ac:dyDescent="0.25"/>
    <row r="242" s="79" customFormat="1" ht="15" customHeight="1" x14ac:dyDescent="0.25"/>
    <row r="243" s="79" customFormat="1" ht="15" customHeight="1" x14ac:dyDescent="0.25"/>
    <row r="244" s="79" customFormat="1" ht="15" customHeight="1" x14ac:dyDescent="0.25"/>
    <row r="245" s="79" customFormat="1" ht="15" customHeight="1" x14ac:dyDescent="0.25"/>
    <row r="246" s="79" customFormat="1" ht="15" customHeight="1" x14ac:dyDescent="0.25"/>
    <row r="247" s="79" customFormat="1" ht="15" customHeight="1" x14ac:dyDescent="0.25"/>
    <row r="248" s="79" customFormat="1" ht="15" customHeight="1" x14ac:dyDescent="0.25"/>
    <row r="249" s="79" customFormat="1" ht="15" customHeight="1" x14ac:dyDescent="0.25"/>
    <row r="250" s="79" customFormat="1" ht="15" customHeight="1" x14ac:dyDescent="0.25"/>
    <row r="251" s="79" customFormat="1" ht="15" customHeight="1" x14ac:dyDescent="0.25"/>
    <row r="252" s="79" customFormat="1" ht="15" customHeight="1" x14ac:dyDescent="0.25"/>
    <row r="253" s="79" customFormat="1" ht="15" customHeight="1" x14ac:dyDescent="0.25"/>
    <row r="254" s="79" customFormat="1" ht="15" customHeight="1" x14ac:dyDescent="0.25"/>
    <row r="255" s="79" customFormat="1" ht="15" customHeight="1" x14ac:dyDescent="0.25"/>
    <row r="256" s="79" customFormat="1" ht="15" customHeight="1" x14ac:dyDescent="0.25"/>
    <row r="257" s="79" customFormat="1" ht="15" customHeight="1" x14ac:dyDescent="0.25"/>
    <row r="258" s="79" customFormat="1" ht="15" customHeight="1" x14ac:dyDescent="0.25"/>
    <row r="259" s="79" customFormat="1" ht="15" customHeight="1" x14ac:dyDescent="0.25"/>
    <row r="260" s="79" customFormat="1" ht="15" customHeight="1" x14ac:dyDescent="0.25"/>
    <row r="261" s="79" customFormat="1" ht="15" customHeight="1" x14ac:dyDescent="0.25"/>
    <row r="262" s="79" customFormat="1" ht="15" customHeight="1" x14ac:dyDescent="0.25"/>
    <row r="263" s="79" customFormat="1" ht="15" customHeight="1" x14ac:dyDescent="0.25"/>
    <row r="264" s="79" customFormat="1" ht="15" customHeight="1" x14ac:dyDescent="0.25"/>
    <row r="265" s="79" customFormat="1" ht="15" customHeight="1" x14ac:dyDescent="0.25"/>
    <row r="266" s="79" customFormat="1" ht="15" customHeight="1" x14ac:dyDescent="0.25"/>
    <row r="267" s="79" customFormat="1" ht="15" customHeight="1" x14ac:dyDescent="0.25"/>
    <row r="268" s="79" customFormat="1" ht="15" customHeight="1" x14ac:dyDescent="0.25"/>
    <row r="269" s="79" customFormat="1" ht="15" customHeight="1" x14ac:dyDescent="0.25"/>
    <row r="270" s="79" customFormat="1" ht="15" customHeight="1" x14ac:dyDescent="0.25"/>
    <row r="271" s="79" customFormat="1" ht="15" customHeight="1" x14ac:dyDescent="0.25"/>
    <row r="272" s="79" customFormat="1" ht="15" customHeight="1" x14ac:dyDescent="0.25"/>
    <row r="273" s="79" customFormat="1" ht="15" customHeight="1" x14ac:dyDescent="0.25"/>
    <row r="274" s="79" customFormat="1" ht="15" customHeight="1" x14ac:dyDescent="0.25"/>
    <row r="275" s="79" customFormat="1" ht="15" customHeight="1" x14ac:dyDescent="0.25"/>
    <row r="276" s="79" customFormat="1" ht="15" customHeight="1" x14ac:dyDescent="0.25"/>
    <row r="277" s="79" customFormat="1" ht="15" customHeight="1" x14ac:dyDescent="0.25"/>
    <row r="278" s="79" customFormat="1" ht="15" customHeight="1" x14ac:dyDescent="0.25"/>
    <row r="279" s="79" customFormat="1" ht="15" customHeight="1" x14ac:dyDescent="0.25"/>
    <row r="280" s="79" customFormat="1" ht="15" customHeight="1" x14ac:dyDescent="0.25"/>
    <row r="281" s="79" customFormat="1" ht="15" customHeight="1" x14ac:dyDescent="0.25"/>
    <row r="282" s="79" customFormat="1" ht="15" customHeight="1" x14ac:dyDescent="0.25"/>
    <row r="283" s="79" customFormat="1" ht="15" customHeight="1" x14ac:dyDescent="0.25"/>
    <row r="284" s="79" customFormat="1" ht="15" customHeight="1" x14ac:dyDescent="0.25"/>
    <row r="285" s="79" customFormat="1" ht="15" customHeight="1" x14ac:dyDescent="0.25"/>
    <row r="286" s="79" customFormat="1" ht="15" customHeight="1" x14ac:dyDescent="0.25"/>
    <row r="287" s="79" customFormat="1" ht="15" customHeight="1" x14ac:dyDescent="0.25"/>
    <row r="288" s="79" customFormat="1" ht="15" customHeight="1" x14ac:dyDescent="0.25"/>
    <row r="289" s="79" customFormat="1" ht="15" customHeight="1" x14ac:dyDescent="0.25"/>
    <row r="290" s="79" customFormat="1" ht="15" customHeight="1" x14ac:dyDescent="0.25"/>
    <row r="291" s="79" customFormat="1" ht="15" customHeight="1" x14ac:dyDescent="0.25"/>
    <row r="292" s="79" customFormat="1" ht="15" customHeight="1" x14ac:dyDescent="0.25"/>
    <row r="293" s="79" customFormat="1" ht="15" customHeight="1" x14ac:dyDescent="0.25"/>
    <row r="294" s="79" customFormat="1" ht="15" customHeight="1" x14ac:dyDescent="0.25"/>
    <row r="295" s="79" customFormat="1" ht="15" customHeight="1" x14ac:dyDescent="0.25"/>
    <row r="296" s="79" customFormat="1" ht="15" customHeight="1" x14ac:dyDescent="0.25"/>
    <row r="297" s="79" customFormat="1" ht="15" customHeight="1" x14ac:dyDescent="0.25"/>
    <row r="298" s="79" customFormat="1" ht="15" customHeight="1" x14ac:dyDescent="0.25"/>
    <row r="299" s="79" customFormat="1" ht="15" customHeight="1" x14ac:dyDescent="0.25"/>
    <row r="300" s="79" customFormat="1" ht="15" customHeight="1" x14ac:dyDescent="0.25"/>
    <row r="301" s="79" customFormat="1" ht="15" customHeight="1" x14ac:dyDescent="0.25"/>
    <row r="302" s="79" customFormat="1" ht="15" customHeight="1" x14ac:dyDescent="0.25"/>
    <row r="303" s="79" customFormat="1" ht="15" customHeight="1" x14ac:dyDescent="0.25"/>
    <row r="304" s="79" customFormat="1" ht="15" customHeight="1" x14ac:dyDescent="0.25"/>
    <row r="305" s="79" customFormat="1" ht="15" customHeight="1" x14ac:dyDescent="0.25"/>
    <row r="306" s="79" customFormat="1" ht="15" customHeight="1" x14ac:dyDescent="0.25"/>
    <row r="307" s="79" customFormat="1" ht="15" customHeight="1" x14ac:dyDescent="0.25"/>
    <row r="308" s="79" customFormat="1" ht="15" customHeight="1" x14ac:dyDescent="0.25"/>
    <row r="309" s="79" customFormat="1" ht="15" customHeight="1" x14ac:dyDescent="0.25"/>
    <row r="310" s="79" customFormat="1" ht="15" customHeight="1" x14ac:dyDescent="0.25"/>
    <row r="311" s="79" customFormat="1" ht="15" customHeight="1" x14ac:dyDescent="0.25"/>
    <row r="312" s="79" customFormat="1" ht="15" customHeight="1" x14ac:dyDescent="0.25"/>
    <row r="313" s="79" customFormat="1" ht="15" customHeight="1" x14ac:dyDescent="0.25"/>
    <row r="314" s="79" customFormat="1" ht="15" customHeight="1" x14ac:dyDescent="0.25"/>
    <row r="315" s="79" customFormat="1" ht="15" customHeight="1" x14ac:dyDescent="0.25"/>
    <row r="316" s="79" customFormat="1" ht="15" customHeight="1" x14ac:dyDescent="0.25"/>
    <row r="317" s="79" customFormat="1" ht="15" customHeight="1" x14ac:dyDescent="0.25"/>
    <row r="318" s="79" customFormat="1" ht="15" customHeight="1" x14ac:dyDescent="0.25"/>
    <row r="319" s="79" customFormat="1" ht="15" customHeight="1" x14ac:dyDescent="0.25"/>
    <row r="320" s="79" customFormat="1" ht="15" customHeight="1" x14ac:dyDescent="0.25"/>
    <row r="321" s="79" customFormat="1" ht="15" customHeight="1" x14ac:dyDescent="0.25"/>
    <row r="322" s="79" customFormat="1" ht="15" customHeight="1" x14ac:dyDescent="0.25"/>
    <row r="323" s="79" customFormat="1" ht="15" customHeight="1" x14ac:dyDescent="0.25"/>
    <row r="324" s="79" customFormat="1" ht="15" customHeight="1" x14ac:dyDescent="0.25"/>
    <row r="325" s="79" customFormat="1" ht="15" customHeight="1" x14ac:dyDescent="0.25"/>
    <row r="326" s="79" customFormat="1" ht="15" customHeight="1" x14ac:dyDescent="0.25"/>
    <row r="327" s="79" customFormat="1" ht="15" customHeight="1" x14ac:dyDescent="0.25"/>
    <row r="328" s="79" customFormat="1" ht="15" customHeight="1" x14ac:dyDescent="0.25"/>
    <row r="329" s="79" customFormat="1" ht="15" customHeight="1" x14ac:dyDescent="0.25"/>
    <row r="330" s="79" customFormat="1" ht="15" customHeight="1" x14ac:dyDescent="0.25"/>
    <row r="331" s="79" customFormat="1" ht="15" customHeight="1" x14ac:dyDescent="0.25"/>
    <row r="332" s="79" customFormat="1" ht="15" customHeight="1" x14ac:dyDescent="0.25"/>
    <row r="333" s="79" customFormat="1" ht="15" customHeight="1" x14ac:dyDescent="0.25"/>
    <row r="334" s="79" customFormat="1" ht="15" customHeight="1" x14ac:dyDescent="0.25"/>
    <row r="335" s="79" customFormat="1" ht="15" customHeight="1" x14ac:dyDescent="0.25"/>
    <row r="336" s="79" customFormat="1" ht="15" customHeight="1" x14ac:dyDescent="0.25"/>
    <row r="337" s="79" customFormat="1" ht="15" customHeight="1" x14ac:dyDescent="0.25"/>
    <row r="338" s="79" customFormat="1" ht="15" customHeight="1" x14ac:dyDescent="0.25"/>
    <row r="339" s="79" customFormat="1" ht="15" customHeight="1" x14ac:dyDescent="0.25"/>
    <row r="340" s="79" customFormat="1" ht="15" customHeight="1" x14ac:dyDescent="0.25"/>
    <row r="341" s="79" customFormat="1" ht="15" customHeight="1" x14ac:dyDescent="0.25"/>
    <row r="342" s="79" customFormat="1" ht="15" customHeight="1" x14ac:dyDescent="0.25"/>
    <row r="343" s="79" customFormat="1" ht="15" customHeight="1" x14ac:dyDescent="0.25"/>
    <row r="344" s="79" customFormat="1" ht="15" customHeight="1" x14ac:dyDescent="0.25"/>
    <row r="345" s="79" customFormat="1" ht="15" customHeight="1" x14ac:dyDescent="0.25"/>
    <row r="346" s="79" customFormat="1" ht="15" customHeight="1" x14ac:dyDescent="0.25"/>
    <row r="347" s="79" customFormat="1" ht="15" customHeight="1" x14ac:dyDescent="0.25"/>
    <row r="348" s="79" customFormat="1" ht="15" customHeight="1" x14ac:dyDescent="0.25"/>
    <row r="349" s="79" customFormat="1" ht="15" customHeight="1" x14ac:dyDescent="0.25"/>
    <row r="350" s="79" customFormat="1" ht="15" customHeight="1" x14ac:dyDescent="0.25"/>
    <row r="351" s="79" customFormat="1" ht="15" customHeight="1" x14ac:dyDescent="0.25"/>
    <row r="352" s="79" customFormat="1" ht="15" customHeight="1" x14ac:dyDescent="0.25"/>
    <row r="353" s="79" customFormat="1" ht="15" customHeight="1" x14ac:dyDescent="0.25"/>
    <row r="354" s="79" customFormat="1" ht="15" customHeight="1" x14ac:dyDescent="0.25"/>
    <row r="355" s="79" customFormat="1" ht="15" customHeight="1" x14ac:dyDescent="0.25"/>
    <row r="356" s="79" customFormat="1" ht="15" customHeight="1" x14ac:dyDescent="0.25"/>
    <row r="357" s="79" customFormat="1" ht="15" customHeight="1" x14ac:dyDescent="0.25"/>
    <row r="358" s="79" customFormat="1" ht="15" customHeight="1" x14ac:dyDescent="0.25"/>
    <row r="359" s="79" customFormat="1" ht="15" customHeight="1" x14ac:dyDescent="0.25"/>
    <row r="360" s="79" customFormat="1" ht="15" customHeight="1" x14ac:dyDescent="0.25"/>
    <row r="361" s="79" customFormat="1" ht="15" customHeight="1" x14ac:dyDescent="0.25"/>
    <row r="362" s="79" customFormat="1" ht="15" customHeight="1" x14ac:dyDescent="0.25"/>
    <row r="363" s="79" customFormat="1" ht="15" customHeight="1" x14ac:dyDescent="0.25"/>
    <row r="364" s="79" customFormat="1" ht="15" customHeight="1" x14ac:dyDescent="0.25"/>
    <row r="365" s="79" customFormat="1" ht="15" customHeight="1" x14ac:dyDescent="0.25"/>
    <row r="366" s="79" customFormat="1" ht="15" customHeight="1" x14ac:dyDescent="0.25"/>
    <row r="367" s="79" customFormat="1" ht="15" customHeight="1" x14ac:dyDescent="0.25"/>
    <row r="368" s="79" customFormat="1" ht="15" customHeight="1" x14ac:dyDescent="0.25"/>
    <row r="369" s="79" customFormat="1" ht="15" customHeight="1" x14ac:dyDescent="0.25"/>
    <row r="370" s="79" customFormat="1" ht="15" customHeight="1" x14ac:dyDescent="0.25"/>
    <row r="371" s="79" customFormat="1" ht="15" customHeight="1" x14ac:dyDescent="0.25"/>
    <row r="372" s="79" customFormat="1" ht="15" customHeight="1" x14ac:dyDescent="0.25"/>
    <row r="373" s="79" customFormat="1" ht="15" customHeight="1" x14ac:dyDescent="0.25"/>
    <row r="374" s="79" customFormat="1" ht="15" customHeight="1" x14ac:dyDescent="0.25"/>
    <row r="375" s="79" customFormat="1" ht="15" customHeight="1" x14ac:dyDescent="0.25"/>
    <row r="376" s="79" customFormat="1" ht="15" customHeight="1" x14ac:dyDescent="0.25"/>
    <row r="377" s="79" customFormat="1" ht="15" customHeight="1" x14ac:dyDescent="0.25"/>
    <row r="378" s="79" customFormat="1" ht="15" customHeight="1" x14ac:dyDescent="0.25"/>
    <row r="379" s="79" customFormat="1" ht="15" customHeight="1" x14ac:dyDescent="0.25"/>
    <row r="380" s="79" customFormat="1" ht="15" customHeight="1" x14ac:dyDescent="0.25"/>
    <row r="381" s="79" customFormat="1" ht="15" customHeight="1" x14ac:dyDescent="0.25"/>
    <row r="382" s="79" customFormat="1" ht="15" customHeight="1" x14ac:dyDescent="0.25"/>
    <row r="383" s="79" customFormat="1" ht="15" customHeight="1" x14ac:dyDescent="0.25"/>
    <row r="384" s="79" customFormat="1" ht="15" customHeight="1" x14ac:dyDescent="0.25"/>
    <row r="385" s="79" customFormat="1" ht="15" customHeight="1" x14ac:dyDescent="0.25"/>
    <row r="386" s="79" customFormat="1" ht="15" customHeight="1" x14ac:dyDescent="0.25"/>
    <row r="387" s="79" customFormat="1" ht="15" customHeight="1" x14ac:dyDescent="0.25"/>
    <row r="388" s="79" customFormat="1" ht="15" customHeight="1" x14ac:dyDescent="0.25"/>
    <row r="389" s="79" customFormat="1" ht="15" customHeight="1" x14ac:dyDescent="0.25"/>
    <row r="390" s="79" customFormat="1" ht="15" customHeight="1" x14ac:dyDescent="0.25"/>
    <row r="391" s="79" customFormat="1" ht="15" customHeight="1" x14ac:dyDescent="0.25"/>
    <row r="392" s="79" customFormat="1" ht="15" customHeight="1" x14ac:dyDescent="0.25"/>
    <row r="393" s="79" customFormat="1" ht="15" customHeight="1" x14ac:dyDescent="0.25"/>
    <row r="394" s="79" customFormat="1" ht="15" customHeight="1" x14ac:dyDescent="0.25"/>
    <row r="395" s="79" customFormat="1" ht="15" customHeight="1" x14ac:dyDescent="0.25"/>
    <row r="396" s="79" customFormat="1" ht="15" customHeight="1" x14ac:dyDescent="0.25"/>
    <row r="397" s="79" customFormat="1" ht="15" customHeight="1" x14ac:dyDescent="0.25"/>
    <row r="398" s="79" customFormat="1" ht="15" customHeight="1" x14ac:dyDescent="0.25"/>
    <row r="399" s="79" customFormat="1" ht="15" customHeight="1" x14ac:dyDescent="0.25"/>
    <row r="400" s="79" customFormat="1" ht="15" customHeight="1" x14ac:dyDescent="0.25"/>
    <row r="401" s="79" customFormat="1" ht="15" customHeight="1" x14ac:dyDescent="0.25"/>
    <row r="402" s="79" customFormat="1" ht="15" customHeight="1" x14ac:dyDescent="0.25"/>
    <row r="403" s="79" customFormat="1" ht="15" customHeight="1" x14ac:dyDescent="0.25"/>
    <row r="404" s="79" customFormat="1" ht="15" customHeight="1" x14ac:dyDescent="0.25"/>
    <row r="405" s="79" customFormat="1" ht="15" customHeight="1" x14ac:dyDescent="0.25"/>
    <row r="406" s="79" customFormat="1" ht="15" customHeight="1" x14ac:dyDescent="0.25"/>
    <row r="407" s="79" customFormat="1" ht="15" customHeight="1" x14ac:dyDescent="0.25"/>
    <row r="408" s="79" customFormat="1" ht="15" customHeight="1" x14ac:dyDescent="0.25"/>
    <row r="409" s="79" customFormat="1" ht="15" customHeight="1" x14ac:dyDescent="0.25"/>
    <row r="410" s="79" customFormat="1" ht="15" customHeight="1" x14ac:dyDescent="0.25"/>
    <row r="411" s="79" customFormat="1" ht="15" customHeight="1" x14ac:dyDescent="0.25"/>
    <row r="412" s="79" customFormat="1" ht="15" customHeight="1" x14ac:dyDescent="0.25"/>
    <row r="413" s="79" customFormat="1" ht="15" customHeight="1" x14ac:dyDescent="0.25"/>
    <row r="414" s="79" customFormat="1" ht="15" customHeight="1" x14ac:dyDescent="0.25"/>
    <row r="415" s="79" customFormat="1" ht="15" customHeight="1" x14ac:dyDescent="0.25"/>
    <row r="416" s="79" customFormat="1" ht="15" customHeight="1" x14ac:dyDescent="0.25"/>
    <row r="417" s="79" customFormat="1" ht="15" customHeight="1" x14ac:dyDescent="0.25"/>
    <row r="418" s="79" customFormat="1" ht="15" customHeight="1" x14ac:dyDescent="0.25"/>
    <row r="419" s="79" customFormat="1" ht="15" customHeight="1" x14ac:dyDescent="0.25"/>
    <row r="420" s="79" customFormat="1" ht="15" customHeight="1" x14ac:dyDescent="0.25"/>
    <row r="421" s="79" customFormat="1" ht="15" customHeight="1" x14ac:dyDescent="0.25"/>
    <row r="422" s="79" customFormat="1" ht="15" customHeight="1" x14ac:dyDescent="0.25"/>
    <row r="423" s="79" customFormat="1" ht="15" customHeight="1" x14ac:dyDescent="0.25"/>
    <row r="424" s="79" customFormat="1" ht="15" customHeight="1" x14ac:dyDescent="0.25"/>
    <row r="425" s="79" customFormat="1" ht="15" customHeight="1" x14ac:dyDescent="0.25"/>
    <row r="426" s="79" customFormat="1" ht="15" customHeight="1" x14ac:dyDescent="0.25"/>
    <row r="427" s="79" customFormat="1" ht="15" customHeight="1" x14ac:dyDescent="0.25"/>
    <row r="428" s="79" customFormat="1" ht="15" customHeight="1" x14ac:dyDescent="0.25"/>
    <row r="429" s="79" customFormat="1" ht="15" customHeight="1" x14ac:dyDescent="0.25"/>
    <row r="430" s="79" customFormat="1" ht="15" customHeight="1" x14ac:dyDescent="0.25"/>
    <row r="431" s="79" customFormat="1" ht="15" customHeight="1" x14ac:dyDescent="0.25"/>
    <row r="432" s="79" customFormat="1" ht="15" customHeight="1" x14ac:dyDescent="0.25"/>
    <row r="433" s="79" customFormat="1" ht="15" customHeight="1" x14ac:dyDescent="0.25"/>
    <row r="434" s="79" customFormat="1" ht="15" customHeight="1" x14ac:dyDescent="0.25"/>
    <row r="435" s="79" customFormat="1" ht="15" customHeight="1" x14ac:dyDescent="0.25"/>
    <row r="436" s="79" customFormat="1" ht="15" customHeight="1" x14ac:dyDescent="0.25"/>
    <row r="437" s="79" customFormat="1" ht="15" customHeight="1" x14ac:dyDescent="0.25"/>
    <row r="438" s="79" customFormat="1" ht="15" customHeight="1" x14ac:dyDescent="0.25"/>
    <row r="439" s="79" customFormat="1" ht="15" customHeight="1" x14ac:dyDescent="0.25"/>
    <row r="440" s="79" customFormat="1" ht="15" customHeight="1" x14ac:dyDescent="0.25"/>
    <row r="441" s="79" customFormat="1" ht="15" customHeight="1" x14ac:dyDescent="0.25"/>
    <row r="442" s="79" customFormat="1" ht="15" customHeight="1" x14ac:dyDescent="0.25"/>
    <row r="443" s="79" customFormat="1" ht="15" customHeight="1" x14ac:dyDescent="0.25"/>
    <row r="444" s="79" customFormat="1" ht="15" customHeight="1" x14ac:dyDescent="0.25"/>
    <row r="445" s="79" customFormat="1" ht="15" customHeight="1" x14ac:dyDescent="0.25"/>
    <row r="446" s="79" customFormat="1" ht="15" customHeight="1" x14ac:dyDescent="0.25"/>
    <row r="447" s="79" customFormat="1" ht="15" customHeight="1" x14ac:dyDescent="0.25"/>
    <row r="448" s="79" customFormat="1" ht="15" customHeight="1" x14ac:dyDescent="0.25"/>
    <row r="449" s="79" customFormat="1" ht="15" customHeight="1" x14ac:dyDescent="0.25"/>
    <row r="450" s="79" customFormat="1" ht="15" customHeight="1" x14ac:dyDescent="0.25"/>
    <row r="451" s="79" customFormat="1" ht="15" customHeight="1" x14ac:dyDescent="0.25"/>
    <row r="452" s="79" customFormat="1" ht="15" customHeight="1" x14ac:dyDescent="0.25"/>
    <row r="453" s="79" customFormat="1" ht="15" customHeight="1" x14ac:dyDescent="0.25"/>
    <row r="454" s="79" customFormat="1" ht="15" customHeight="1" x14ac:dyDescent="0.25"/>
    <row r="455" s="79" customFormat="1" ht="15" customHeight="1" x14ac:dyDescent="0.25"/>
    <row r="456" s="79" customFormat="1" ht="15" customHeight="1" x14ac:dyDescent="0.25"/>
    <row r="457" s="79" customFormat="1" ht="15" customHeight="1" x14ac:dyDescent="0.25"/>
    <row r="458" s="79" customFormat="1" ht="15" customHeight="1" x14ac:dyDescent="0.25"/>
    <row r="459" s="79" customFormat="1" ht="15" customHeight="1" x14ac:dyDescent="0.25"/>
    <row r="460" s="79" customFormat="1" ht="15" customHeight="1" x14ac:dyDescent="0.25"/>
    <row r="461" s="79" customFormat="1" ht="15" customHeight="1" x14ac:dyDescent="0.25"/>
    <row r="462" s="79" customFormat="1" ht="15" customHeight="1" x14ac:dyDescent="0.25"/>
    <row r="463" s="79" customFormat="1" ht="15" customHeight="1" x14ac:dyDescent="0.25"/>
    <row r="464" s="79" customFormat="1" ht="15" customHeight="1" x14ac:dyDescent="0.25"/>
    <row r="465" s="79" customFormat="1" ht="15" customHeight="1" x14ac:dyDescent="0.25"/>
    <row r="466" s="79" customFormat="1" ht="15" customHeight="1" x14ac:dyDescent="0.25"/>
    <row r="467" s="79" customFormat="1" ht="15" customHeight="1" x14ac:dyDescent="0.25"/>
    <row r="468" s="79" customFormat="1" ht="15" customHeight="1" x14ac:dyDescent="0.25"/>
    <row r="469" s="79" customFormat="1" ht="15" customHeight="1" x14ac:dyDescent="0.25"/>
    <row r="470" s="79" customFormat="1" ht="15" customHeight="1" x14ac:dyDescent="0.25"/>
    <row r="471" s="79" customFormat="1" ht="15" customHeight="1" x14ac:dyDescent="0.25"/>
    <row r="472" s="79" customFormat="1" ht="15" customHeight="1" x14ac:dyDescent="0.25"/>
    <row r="473" s="79" customFormat="1" ht="15" customHeight="1" x14ac:dyDescent="0.25"/>
    <row r="474" s="79" customFormat="1" ht="15" customHeight="1" x14ac:dyDescent="0.25"/>
    <row r="475" s="79" customFormat="1" ht="15" customHeight="1" x14ac:dyDescent="0.25"/>
    <row r="476" s="79" customFormat="1" ht="15" customHeight="1" x14ac:dyDescent="0.25"/>
    <row r="477" s="79" customFormat="1" ht="15" customHeight="1" x14ac:dyDescent="0.25"/>
    <row r="478" s="79" customFormat="1" ht="15" customHeight="1" x14ac:dyDescent="0.25"/>
    <row r="479" s="79" customFormat="1" ht="15" customHeight="1" x14ac:dyDescent="0.25"/>
    <row r="480" s="79" customFormat="1" ht="15" customHeight="1" x14ac:dyDescent="0.25"/>
    <row r="481" s="79" customFormat="1" ht="15" customHeight="1" x14ac:dyDescent="0.25"/>
    <row r="482" s="79" customFormat="1" ht="15" customHeight="1" x14ac:dyDescent="0.25"/>
    <row r="483" s="79" customFormat="1" ht="15" customHeight="1" x14ac:dyDescent="0.25"/>
    <row r="484" s="79" customFormat="1" ht="15" customHeight="1" x14ac:dyDescent="0.25"/>
    <row r="485" s="79" customFormat="1" ht="15" customHeight="1" x14ac:dyDescent="0.25"/>
    <row r="486" s="79" customFormat="1" ht="15" customHeight="1" x14ac:dyDescent="0.25"/>
    <row r="487" s="79" customFormat="1" ht="15" customHeight="1" x14ac:dyDescent="0.25"/>
    <row r="488" s="79" customFormat="1" ht="15" customHeight="1" x14ac:dyDescent="0.25"/>
    <row r="489" s="79" customFormat="1" ht="15" customHeight="1" x14ac:dyDescent="0.25"/>
    <row r="490" s="79" customFormat="1" ht="15" customHeight="1" x14ac:dyDescent="0.25"/>
    <row r="491" s="79" customFormat="1" ht="15" customHeight="1" x14ac:dyDescent="0.25"/>
    <row r="492" s="79" customFormat="1" ht="15" customHeight="1" x14ac:dyDescent="0.25"/>
    <row r="493" s="79" customFormat="1" ht="15" customHeight="1" x14ac:dyDescent="0.25"/>
    <row r="494" s="79" customFormat="1" ht="15" customHeight="1" x14ac:dyDescent="0.25"/>
    <row r="495" s="79" customFormat="1" ht="15" customHeight="1" x14ac:dyDescent="0.25"/>
    <row r="496" s="79" customFormat="1" ht="15" customHeight="1" x14ac:dyDescent="0.25"/>
    <row r="497" s="79" customFormat="1" ht="15" customHeight="1" x14ac:dyDescent="0.25"/>
    <row r="498" s="79" customFormat="1" ht="15" customHeight="1" x14ac:dyDescent="0.25"/>
    <row r="499" s="79" customFormat="1" ht="15" customHeight="1" x14ac:dyDescent="0.25"/>
    <row r="500" s="79" customFormat="1" ht="15" customHeight="1" x14ac:dyDescent="0.25"/>
    <row r="501" s="79" customFormat="1" ht="15" customHeight="1" x14ac:dyDescent="0.25"/>
    <row r="502" s="79" customFormat="1" ht="15" customHeight="1" x14ac:dyDescent="0.25"/>
    <row r="503" s="79" customFormat="1" ht="15" customHeight="1" x14ac:dyDescent="0.25"/>
    <row r="504" s="79" customFormat="1" ht="15" customHeight="1" x14ac:dyDescent="0.25"/>
    <row r="505" s="79" customFormat="1" ht="15" customHeight="1" x14ac:dyDescent="0.25"/>
    <row r="506" s="79" customFormat="1" ht="15" customHeight="1" x14ac:dyDescent="0.25"/>
    <row r="507" s="79" customFormat="1" ht="15" customHeight="1" x14ac:dyDescent="0.25"/>
    <row r="508" s="79" customFormat="1" ht="15" customHeight="1" x14ac:dyDescent="0.25"/>
    <row r="509" s="79" customFormat="1" ht="15" customHeight="1" x14ac:dyDescent="0.25"/>
    <row r="510" s="79" customFormat="1" ht="15" customHeight="1" x14ac:dyDescent="0.25"/>
    <row r="511" s="79" customFormat="1" ht="15" customHeight="1" x14ac:dyDescent="0.25"/>
    <row r="512" s="79" customFormat="1" ht="15" customHeight="1" x14ac:dyDescent="0.25"/>
    <row r="513" s="79" customFormat="1" ht="15" customHeight="1" x14ac:dyDescent="0.25"/>
    <row r="514" s="79" customFormat="1" ht="15" customHeight="1" x14ac:dyDescent="0.25"/>
    <row r="515" s="79" customFormat="1" ht="15" customHeight="1" x14ac:dyDescent="0.25"/>
    <row r="516" s="79" customFormat="1" ht="15" customHeight="1" x14ac:dyDescent="0.25"/>
    <row r="517" s="79" customFormat="1" ht="15" customHeight="1" x14ac:dyDescent="0.25"/>
    <row r="518" s="79" customFormat="1" ht="15" customHeight="1" x14ac:dyDescent="0.25"/>
    <row r="519" s="79" customFormat="1" ht="15" customHeight="1" x14ac:dyDescent="0.25"/>
    <row r="520" s="79" customFormat="1" ht="15" customHeight="1" x14ac:dyDescent="0.25"/>
    <row r="521" s="79" customFormat="1" ht="15" customHeight="1" x14ac:dyDescent="0.25"/>
    <row r="522" s="79" customFormat="1" ht="15" customHeight="1" x14ac:dyDescent="0.25"/>
    <row r="523" s="79" customFormat="1" ht="15" customHeight="1" x14ac:dyDescent="0.25"/>
    <row r="524" s="79" customFormat="1" ht="15" customHeight="1" x14ac:dyDescent="0.25"/>
    <row r="525" s="79" customFormat="1" ht="15" customHeight="1" x14ac:dyDescent="0.25"/>
    <row r="526" s="79" customFormat="1" ht="15" customHeight="1" x14ac:dyDescent="0.25"/>
    <row r="527" s="79" customFormat="1" ht="15" customHeight="1" x14ac:dyDescent="0.25"/>
    <row r="528" s="79" customFormat="1" ht="15" customHeight="1" x14ac:dyDescent="0.25"/>
    <row r="529" s="79" customFormat="1" ht="15" customHeight="1" x14ac:dyDescent="0.25"/>
    <row r="530" s="79" customFormat="1" ht="15" customHeight="1" x14ac:dyDescent="0.25"/>
    <row r="531" s="79" customFormat="1" ht="15" customHeight="1" x14ac:dyDescent="0.25"/>
    <row r="532" s="79" customFormat="1" ht="15" customHeight="1" x14ac:dyDescent="0.25"/>
    <row r="533" s="79" customFormat="1" ht="15" customHeight="1" x14ac:dyDescent="0.25"/>
    <row r="534" s="79" customFormat="1" ht="15" customHeight="1" x14ac:dyDescent="0.25"/>
    <row r="535" s="79" customFormat="1" ht="15" customHeight="1" x14ac:dyDescent="0.25"/>
    <row r="536" s="79" customFormat="1" ht="15" customHeight="1" x14ac:dyDescent="0.25"/>
    <row r="537" s="79" customFormat="1" ht="15" customHeight="1" x14ac:dyDescent="0.25"/>
    <row r="538" s="79" customFormat="1" ht="15" customHeight="1" x14ac:dyDescent="0.25"/>
    <row r="539" s="79" customFormat="1" ht="15" customHeight="1" x14ac:dyDescent="0.25"/>
    <row r="540" s="79" customFormat="1" ht="15" customHeight="1" x14ac:dyDescent="0.25"/>
    <row r="541" s="79" customFormat="1" ht="15" customHeight="1" x14ac:dyDescent="0.25"/>
    <row r="542" s="79" customFormat="1" ht="15" customHeight="1" x14ac:dyDescent="0.25"/>
    <row r="543" s="79" customFormat="1" ht="15" customHeight="1" x14ac:dyDescent="0.25"/>
    <row r="544" s="79" customFormat="1" ht="15" customHeight="1" x14ac:dyDescent="0.25"/>
    <row r="545" s="79" customFormat="1" ht="15" customHeight="1" x14ac:dyDescent="0.25"/>
    <row r="546" s="79" customFormat="1" ht="15" customHeight="1" x14ac:dyDescent="0.25"/>
    <row r="547" s="79" customFormat="1" ht="15" customHeight="1" x14ac:dyDescent="0.25"/>
    <row r="548" s="79" customFormat="1" ht="15" customHeight="1" x14ac:dyDescent="0.25"/>
    <row r="549" s="79" customFormat="1" ht="15" customHeight="1" x14ac:dyDescent="0.25"/>
    <row r="550" s="79" customFormat="1" ht="15" customHeight="1" x14ac:dyDescent="0.25"/>
    <row r="551" s="79" customFormat="1" ht="15" customHeight="1" x14ac:dyDescent="0.25"/>
    <row r="552" s="79" customFormat="1" ht="15" customHeight="1" x14ac:dyDescent="0.25"/>
    <row r="553" s="79" customFormat="1" ht="15" customHeight="1" x14ac:dyDescent="0.25"/>
    <row r="554" s="79" customFormat="1" ht="15" customHeight="1" x14ac:dyDescent="0.25"/>
    <row r="555" s="79" customFormat="1" ht="15" customHeight="1" x14ac:dyDescent="0.25"/>
    <row r="556" s="79" customFormat="1" ht="15" customHeight="1" x14ac:dyDescent="0.25"/>
    <row r="557" s="79" customFormat="1" ht="15" customHeight="1" x14ac:dyDescent="0.25"/>
    <row r="558" s="79" customFormat="1" ht="15" customHeight="1" x14ac:dyDescent="0.25"/>
    <row r="559" s="79" customFormat="1" ht="15" customHeight="1" x14ac:dyDescent="0.25"/>
    <row r="560" s="79" customFormat="1" ht="15" customHeight="1" x14ac:dyDescent="0.25"/>
    <row r="561" s="79" customFormat="1" ht="15" customHeight="1" x14ac:dyDescent="0.25"/>
    <row r="562" s="79" customFormat="1" ht="15" customHeight="1" x14ac:dyDescent="0.25"/>
    <row r="563" s="79" customFormat="1" ht="15" customHeight="1" x14ac:dyDescent="0.25"/>
    <row r="564" s="79" customFormat="1" ht="15" customHeight="1" x14ac:dyDescent="0.25"/>
    <row r="565" s="79" customFormat="1" ht="15" customHeight="1" x14ac:dyDescent="0.25"/>
    <row r="566" s="79" customFormat="1" ht="15" customHeight="1" x14ac:dyDescent="0.25"/>
    <row r="567" s="79" customFormat="1" ht="15" customHeight="1" x14ac:dyDescent="0.25"/>
    <row r="568" s="79" customFormat="1" ht="15" customHeight="1" x14ac:dyDescent="0.25"/>
    <row r="569" s="79" customFormat="1" ht="15" customHeight="1" x14ac:dyDescent="0.25"/>
    <row r="570" s="79" customFormat="1" ht="15" customHeight="1" x14ac:dyDescent="0.25"/>
    <row r="571" s="79" customFormat="1" ht="15" customHeight="1" x14ac:dyDescent="0.25"/>
    <row r="572" s="79" customFormat="1" ht="15" customHeight="1" x14ac:dyDescent="0.25"/>
    <row r="573" s="79" customFormat="1" ht="15" customHeight="1" x14ac:dyDescent="0.25"/>
    <row r="574" s="79" customFormat="1" ht="15" customHeight="1" x14ac:dyDescent="0.25"/>
    <row r="575" s="79" customFormat="1" ht="15" customHeight="1" x14ac:dyDescent="0.25"/>
    <row r="576" s="79" customFormat="1" ht="15" customHeight="1" x14ac:dyDescent="0.25"/>
    <row r="577" s="79" customFormat="1" ht="15" customHeight="1" x14ac:dyDescent="0.25"/>
    <row r="578" s="79" customFormat="1" ht="15" customHeight="1" x14ac:dyDescent="0.25"/>
    <row r="579" s="79" customFormat="1" ht="15" customHeight="1" x14ac:dyDescent="0.25"/>
    <row r="580" s="79" customFormat="1" ht="15" customHeight="1" x14ac:dyDescent="0.25"/>
    <row r="581" s="79" customFormat="1" ht="15" customHeight="1" x14ac:dyDescent="0.25"/>
    <row r="582" s="79" customFormat="1" ht="15" customHeight="1" x14ac:dyDescent="0.25"/>
    <row r="583" s="79" customFormat="1" ht="15" customHeight="1" x14ac:dyDescent="0.25"/>
    <row r="584" s="79" customFormat="1" ht="15" customHeight="1" x14ac:dyDescent="0.25"/>
    <row r="585" s="79" customFormat="1" ht="15" customHeight="1" x14ac:dyDescent="0.25"/>
    <row r="586" s="79" customFormat="1" ht="15" customHeight="1" x14ac:dyDescent="0.25"/>
    <row r="587" s="79" customFormat="1" ht="15" customHeight="1" x14ac:dyDescent="0.25"/>
    <row r="588" s="79" customFormat="1" ht="15" customHeight="1" x14ac:dyDescent="0.25"/>
    <row r="589" s="79" customFormat="1" ht="15" customHeight="1" x14ac:dyDescent="0.25"/>
    <row r="590" s="79" customFormat="1" ht="15" customHeight="1" x14ac:dyDescent="0.25"/>
    <row r="591" s="79" customFormat="1" ht="15" customHeight="1" x14ac:dyDescent="0.25"/>
    <row r="592" s="79" customFormat="1" ht="15" customHeight="1" x14ac:dyDescent="0.25"/>
    <row r="593" s="79" customFormat="1" ht="15" customHeight="1" x14ac:dyDescent="0.25"/>
    <row r="594" s="79" customFormat="1" ht="15" customHeight="1" x14ac:dyDescent="0.25"/>
    <row r="595" s="79" customFormat="1" ht="15" customHeight="1" x14ac:dyDescent="0.25"/>
    <row r="596" s="79" customFormat="1" ht="15" customHeight="1" x14ac:dyDescent="0.25"/>
    <row r="597" s="79" customFormat="1" ht="15" customHeight="1" x14ac:dyDescent="0.25"/>
    <row r="598" s="79" customFormat="1" ht="15" customHeight="1" x14ac:dyDescent="0.25"/>
    <row r="599" s="79" customFormat="1" ht="15" customHeight="1" x14ac:dyDescent="0.25"/>
    <row r="600" s="79" customFormat="1" ht="15" customHeight="1" x14ac:dyDescent="0.25"/>
    <row r="601" s="79" customFormat="1" ht="15" customHeight="1" x14ac:dyDescent="0.25"/>
    <row r="602" s="79" customFormat="1" ht="15" customHeight="1" x14ac:dyDescent="0.25"/>
    <row r="603" s="79" customFormat="1" ht="15" customHeight="1" x14ac:dyDescent="0.25"/>
    <row r="604" s="79" customFormat="1" ht="15" customHeight="1" x14ac:dyDescent="0.25"/>
    <row r="605" s="79" customFormat="1" ht="15" customHeight="1" x14ac:dyDescent="0.25"/>
    <row r="606" s="79" customFormat="1" ht="15" customHeight="1" x14ac:dyDescent="0.25"/>
    <row r="607" s="79" customFormat="1" ht="15" customHeight="1" x14ac:dyDescent="0.25"/>
    <row r="608" s="79" customFormat="1" ht="15" customHeight="1" x14ac:dyDescent="0.25"/>
    <row r="609" s="79" customFormat="1" ht="15" customHeight="1" x14ac:dyDescent="0.25"/>
    <row r="610" s="79" customFormat="1" ht="15" customHeight="1" x14ac:dyDescent="0.25"/>
    <row r="611" s="79" customFormat="1" ht="15" customHeight="1" x14ac:dyDescent="0.25"/>
    <row r="612" s="79" customFormat="1" ht="15" customHeight="1" x14ac:dyDescent="0.25"/>
    <row r="613" s="79" customFormat="1" ht="15" customHeight="1" x14ac:dyDescent="0.25"/>
    <row r="614" s="79" customFormat="1" ht="15" customHeight="1" x14ac:dyDescent="0.25"/>
    <row r="615" s="79" customFormat="1" ht="15" customHeight="1" x14ac:dyDescent="0.25"/>
    <row r="616" s="79" customFormat="1" ht="15" customHeight="1" x14ac:dyDescent="0.25"/>
    <row r="617" s="79" customFormat="1" ht="15" customHeight="1" x14ac:dyDescent="0.25"/>
    <row r="618" s="79" customFormat="1" ht="15" customHeight="1" x14ac:dyDescent="0.25"/>
    <row r="619" s="79" customFormat="1" ht="15" customHeight="1" x14ac:dyDescent="0.25"/>
    <row r="620" s="79" customFormat="1" ht="15" customHeight="1" x14ac:dyDescent="0.25"/>
    <row r="621" s="79" customFormat="1" ht="15" customHeight="1" x14ac:dyDescent="0.25"/>
    <row r="622" s="79" customFormat="1" ht="15" customHeight="1" x14ac:dyDescent="0.25"/>
    <row r="623" s="79" customFormat="1" ht="15" customHeight="1" x14ac:dyDescent="0.25"/>
    <row r="624" s="79" customFormat="1" ht="15" customHeight="1" x14ac:dyDescent="0.25"/>
    <row r="625" s="79" customFormat="1" ht="15" customHeight="1" x14ac:dyDescent="0.25"/>
    <row r="626" s="79" customFormat="1" ht="15" customHeight="1" x14ac:dyDescent="0.25"/>
    <row r="627" s="79" customFormat="1" ht="15" customHeight="1" x14ac:dyDescent="0.25"/>
    <row r="628" s="79" customFormat="1" ht="15" customHeight="1" x14ac:dyDescent="0.25"/>
    <row r="629" s="79" customFormat="1" ht="15" customHeight="1" x14ac:dyDescent="0.25"/>
    <row r="630" s="79" customFormat="1" ht="15" customHeight="1" x14ac:dyDescent="0.25"/>
    <row r="631" s="79" customFormat="1" ht="15" customHeight="1" x14ac:dyDescent="0.25"/>
    <row r="632" s="79" customFormat="1" ht="15" customHeight="1" x14ac:dyDescent="0.25"/>
    <row r="633" s="79" customFormat="1" ht="15" customHeight="1" x14ac:dyDescent="0.25"/>
    <row r="634" s="79" customFormat="1" ht="15" customHeight="1" x14ac:dyDescent="0.25"/>
    <row r="635" s="79" customFormat="1" ht="15" customHeight="1" x14ac:dyDescent="0.25"/>
    <row r="636" s="79" customFormat="1" ht="15" customHeight="1" x14ac:dyDescent="0.25"/>
    <row r="637" s="79" customFormat="1" ht="15" customHeight="1" x14ac:dyDescent="0.25"/>
    <row r="638" s="79" customFormat="1" ht="15" customHeight="1" x14ac:dyDescent="0.25"/>
    <row r="639" s="79" customFormat="1" ht="15" customHeight="1" x14ac:dyDescent="0.25"/>
    <row r="640" s="79" customFormat="1" ht="15" customHeight="1" x14ac:dyDescent="0.25"/>
    <row r="641" s="79" customFormat="1" ht="15" customHeight="1" x14ac:dyDescent="0.25"/>
    <row r="642" s="79" customFormat="1" ht="15" customHeight="1" x14ac:dyDescent="0.25"/>
    <row r="643" s="79" customFormat="1" ht="15" customHeight="1" x14ac:dyDescent="0.25"/>
    <row r="644" s="79" customFormat="1" ht="15" customHeight="1" x14ac:dyDescent="0.25"/>
    <row r="645" s="79" customFormat="1" ht="15" customHeight="1" x14ac:dyDescent="0.25"/>
    <row r="646" s="79" customFormat="1" ht="15" customHeight="1" x14ac:dyDescent="0.25"/>
    <row r="647" s="79" customFormat="1" ht="15" customHeight="1" x14ac:dyDescent="0.25"/>
    <row r="648" s="79" customFormat="1" ht="15" customHeight="1" x14ac:dyDescent="0.25"/>
    <row r="649" s="79" customFormat="1" ht="15" customHeight="1" x14ac:dyDescent="0.25"/>
    <row r="650" s="79" customFormat="1" ht="15" customHeight="1" x14ac:dyDescent="0.25"/>
    <row r="651" s="79" customFormat="1" ht="15" customHeight="1" x14ac:dyDescent="0.25"/>
    <row r="652" s="79" customFormat="1" ht="15" customHeight="1" x14ac:dyDescent="0.25"/>
    <row r="653" s="79" customFormat="1" ht="15" customHeight="1" x14ac:dyDescent="0.25"/>
    <row r="654" s="79" customFormat="1" ht="15" customHeight="1" x14ac:dyDescent="0.25"/>
    <row r="655" s="79" customFormat="1" ht="15" customHeight="1" x14ac:dyDescent="0.25"/>
    <row r="656" s="79" customFormat="1" ht="15" customHeight="1" x14ac:dyDescent="0.25"/>
    <row r="657" s="79" customFormat="1" ht="15" customHeight="1" x14ac:dyDescent="0.25"/>
    <row r="658" s="79" customFormat="1" ht="15" customHeight="1" x14ac:dyDescent="0.25"/>
    <row r="659" s="79" customFormat="1" ht="15" customHeight="1" x14ac:dyDescent="0.25"/>
    <row r="660" s="79" customFormat="1" ht="15" customHeight="1" x14ac:dyDescent="0.25"/>
    <row r="661" s="79" customFormat="1" ht="15" customHeight="1" x14ac:dyDescent="0.25"/>
    <row r="662" s="79" customFormat="1" ht="15" customHeight="1" x14ac:dyDescent="0.25"/>
    <row r="663" s="79" customFormat="1" ht="15" customHeight="1" x14ac:dyDescent="0.25"/>
    <row r="664" s="79" customFormat="1" ht="15" customHeight="1" x14ac:dyDescent="0.25"/>
    <row r="665" s="79" customFormat="1" ht="15" customHeight="1" x14ac:dyDescent="0.25"/>
    <row r="666" s="79" customFormat="1" ht="15" customHeight="1" x14ac:dyDescent="0.25"/>
    <row r="667" s="79" customFormat="1" ht="15" customHeight="1" x14ac:dyDescent="0.25"/>
    <row r="668" s="79" customFormat="1" ht="15" customHeight="1" x14ac:dyDescent="0.25"/>
    <row r="669" s="79" customFormat="1" ht="15" customHeight="1" x14ac:dyDescent="0.25"/>
    <row r="670" s="79" customFormat="1" ht="15" customHeight="1" x14ac:dyDescent="0.25"/>
    <row r="671" s="79" customFormat="1" ht="15" customHeight="1" x14ac:dyDescent="0.25"/>
    <row r="672" s="79" customFormat="1" ht="15" customHeight="1" x14ac:dyDescent="0.25"/>
    <row r="673" s="79" customFormat="1" ht="15" customHeight="1" x14ac:dyDescent="0.25"/>
    <row r="674" s="79" customFormat="1" ht="15" customHeight="1" x14ac:dyDescent="0.25"/>
    <row r="675" s="79" customFormat="1" ht="15" customHeight="1" x14ac:dyDescent="0.25"/>
    <row r="676" s="79" customFormat="1" ht="15" customHeight="1" x14ac:dyDescent="0.25"/>
    <row r="677" s="79" customFormat="1" ht="15" customHeight="1" x14ac:dyDescent="0.25"/>
    <row r="678" s="79" customFormat="1" ht="15" customHeight="1" x14ac:dyDescent="0.25"/>
    <row r="679" s="79" customFormat="1" ht="15" customHeight="1" x14ac:dyDescent="0.25"/>
    <row r="680" s="79" customFormat="1" ht="15" customHeight="1" x14ac:dyDescent="0.25"/>
    <row r="681" s="79" customFormat="1" ht="15" customHeight="1" x14ac:dyDescent="0.25"/>
    <row r="682" s="79" customFormat="1" ht="15" customHeight="1" x14ac:dyDescent="0.25"/>
    <row r="683" s="79" customFormat="1" ht="15" customHeight="1" x14ac:dyDescent="0.25"/>
    <row r="684" s="79" customFormat="1" ht="15" customHeight="1" x14ac:dyDescent="0.25"/>
    <row r="685" s="79" customFormat="1" ht="15" customHeight="1" x14ac:dyDescent="0.25"/>
    <row r="686" s="79" customFormat="1" ht="15" customHeight="1" x14ac:dyDescent="0.25"/>
    <row r="687" s="79" customFormat="1" ht="15" customHeight="1" x14ac:dyDescent="0.25"/>
    <row r="688" s="79" customFormat="1" ht="15" customHeight="1" x14ac:dyDescent="0.25"/>
    <row r="689" s="79" customFormat="1" ht="15" customHeight="1" x14ac:dyDescent="0.25"/>
    <row r="690" s="79" customFormat="1" ht="15" customHeight="1" x14ac:dyDescent="0.25"/>
    <row r="691" s="79" customFormat="1" ht="15" customHeight="1" x14ac:dyDescent="0.25"/>
    <row r="692" s="79" customFormat="1" ht="15" customHeight="1" x14ac:dyDescent="0.25"/>
    <row r="693" s="79" customFormat="1" ht="15" customHeight="1" x14ac:dyDescent="0.25"/>
    <row r="694" s="79" customFormat="1" ht="15" customHeight="1" x14ac:dyDescent="0.25"/>
    <row r="695" s="79" customFormat="1" ht="15" customHeight="1" x14ac:dyDescent="0.25"/>
    <row r="696" s="79" customFormat="1" ht="15" customHeight="1" x14ac:dyDescent="0.25"/>
    <row r="697" s="79" customFormat="1" ht="15" customHeight="1" x14ac:dyDescent="0.25"/>
    <row r="698" s="79" customFormat="1" ht="15" customHeight="1" x14ac:dyDescent="0.25"/>
    <row r="699" s="79" customFormat="1" ht="15" customHeight="1" x14ac:dyDescent="0.25"/>
    <row r="700" s="79" customFormat="1" ht="15" customHeight="1" x14ac:dyDescent="0.25"/>
    <row r="701" s="79" customFormat="1" ht="15" customHeight="1" x14ac:dyDescent="0.25"/>
    <row r="702" s="79" customFormat="1" ht="15" customHeight="1" x14ac:dyDescent="0.25"/>
    <row r="703" s="79" customFormat="1" ht="15" customHeight="1" x14ac:dyDescent="0.25"/>
    <row r="704" s="79" customFormat="1" ht="15" customHeight="1" x14ac:dyDescent="0.25"/>
    <row r="705" s="79" customFormat="1" ht="15" customHeight="1" x14ac:dyDescent="0.25"/>
    <row r="706" s="79" customFormat="1" ht="15" customHeight="1" x14ac:dyDescent="0.25"/>
    <row r="707" s="79" customFormat="1" ht="15" customHeight="1" x14ac:dyDescent="0.25"/>
    <row r="708" s="79" customFormat="1" ht="15" customHeight="1" x14ac:dyDescent="0.25"/>
    <row r="709" s="79" customFormat="1" ht="15" customHeight="1" x14ac:dyDescent="0.25"/>
    <row r="710" s="79" customFormat="1" ht="15" customHeight="1" x14ac:dyDescent="0.25"/>
    <row r="711" s="79" customFormat="1" ht="15" customHeight="1" x14ac:dyDescent="0.25"/>
    <row r="712" s="79" customFormat="1" ht="15" customHeight="1" x14ac:dyDescent="0.25"/>
    <row r="713" s="79" customFormat="1" ht="15" customHeight="1" x14ac:dyDescent="0.25"/>
    <row r="714" s="79" customFormat="1" ht="15" customHeight="1" x14ac:dyDescent="0.25"/>
    <row r="715" s="79" customFormat="1" ht="15" customHeight="1" x14ac:dyDescent="0.25"/>
    <row r="716" s="79" customFormat="1" ht="15" customHeight="1" x14ac:dyDescent="0.25"/>
    <row r="717" s="79" customFormat="1" ht="15" customHeight="1" x14ac:dyDescent="0.25"/>
    <row r="718" s="79" customFormat="1" ht="15" customHeight="1" x14ac:dyDescent="0.25"/>
    <row r="719" s="79" customFormat="1" ht="15" customHeight="1" x14ac:dyDescent="0.25"/>
    <row r="720" s="79" customFormat="1" ht="15" customHeight="1" x14ac:dyDescent="0.25"/>
    <row r="721" s="79" customFormat="1" ht="15" customHeight="1" x14ac:dyDescent="0.25"/>
    <row r="722" s="79" customFormat="1" ht="15" customHeight="1" x14ac:dyDescent="0.25"/>
    <row r="723" s="79" customFormat="1" ht="15" customHeight="1" x14ac:dyDescent="0.25"/>
    <row r="724" s="79" customFormat="1" ht="15" customHeight="1" x14ac:dyDescent="0.25"/>
    <row r="725" s="79" customFormat="1" ht="15" customHeight="1" x14ac:dyDescent="0.25"/>
    <row r="726" s="79" customFormat="1" ht="15" customHeight="1" x14ac:dyDescent="0.25"/>
    <row r="727" s="79" customFormat="1" ht="15" customHeight="1" x14ac:dyDescent="0.25"/>
    <row r="728" s="79" customFormat="1" ht="15" customHeight="1" x14ac:dyDescent="0.25"/>
    <row r="729" s="79" customFormat="1" ht="15" customHeight="1" x14ac:dyDescent="0.25"/>
    <row r="730" s="79" customFormat="1" ht="15" customHeight="1" x14ac:dyDescent="0.25"/>
    <row r="731" s="79" customFormat="1" ht="15" customHeight="1" x14ac:dyDescent="0.25"/>
    <row r="732" s="79" customFormat="1" ht="15" customHeight="1" x14ac:dyDescent="0.25"/>
    <row r="733" s="79" customFormat="1" ht="15" customHeight="1" x14ac:dyDescent="0.25"/>
    <row r="734" s="79" customFormat="1" ht="15" customHeight="1" x14ac:dyDescent="0.25"/>
    <row r="735" s="79" customFormat="1" ht="15" customHeight="1" x14ac:dyDescent="0.25"/>
    <row r="736" s="79" customFormat="1" ht="15" customHeight="1" x14ac:dyDescent="0.25"/>
    <row r="737" s="79" customFormat="1" ht="15" customHeight="1" x14ac:dyDescent="0.25"/>
    <row r="738" s="79" customFormat="1" ht="15" customHeight="1" x14ac:dyDescent="0.25"/>
    <row r="739" s="79" customFormat="1" ht="15" customHeight="1" x14ac:dyDescent="0.25"/>
    <row r="740" s="79" customFormat="1" ht="15" customHeight="1" x14ac:dyDescent="0.25"/>
    <row r="741" s="79" customFormat="1" ht="15" customHeight="1" x14ac:dyDescent="0.25"/>
    <row r="742" s="79" customFormat="1" ht="15" customHeight="1" x14ac:dyDescent="0.25"/>
    <row r="743" s="79" customFormat="1" ht="15" customHeight="1" x14ac:dyDescent="0.25"/>
    <row r="744" s="79" customFormat="1" ht="15" customHeight="1" x14ac:dyDescent="0.25"/>
    <row r="745" s="79" customFormat="1" ht="15" customHeight="1" x14ac:dyDescent="0.25"/>
    <row r="746" s="79" customFormat="1" ht="15" customHeight="1" x14ac:dyDescent="0.25"/>
    <row r="747" s="79" customFormat="1" ht="15" customHeight="1" x14ac:dyDescent="0.25"/>
    <row r="748" s="79" customFormat="1" ht="15" customHeight="1" x14ac:dyDescent="0.25"/>
    <row r="749" s="79" customFormat="1" ht="15" customHeight="1" x14ac:dyDescent="0.25"/>
    <row r="750" s="79" customFormat="1" ht="15" customHeight="1" x14ac:dyDescent="0.25"/>
    <row r="751" s="79" customFormat="1" ht="15" customHeight="1" x14ac:dyDescent="0.25"/>
    <row r="752" s="79" customFormat="1" ht="15" customHeight="1" x14ac:dyDescent="0.25"/>
    <row r="753" s="79" customFormat="1" ht="15" customHeight="1" x14ac:dyDescent="0.25"/>
    <row r="754" s="79" customFormat="1" ht="15" customHeight="1" x14ac:dyDescent="0.25"/>
    <row r="755" s="79" customFormat="1" ht="15" customHeight="1" x14ac:dyDescent="0.25"/>
    <row r="756" s="79" customFormat="1" ht="15" customHeight="1" x14ac:dyDescent="0.25"/>
    <row r="757" s="79" customFormat="1" ht="15" customHeight="1" x14ac:dyDescent="0.25"/>
    <row r="758" s="79" customFormat="1" ht="15" customHeight="1" x14ac:dyDescent="0.25"/>
    <row r="759" s="79" customFormat="1" ht="15" customHeight="1" x14ac:dyDescent="0.25"/>
    <row r="760" s="79" customFormat="1" ht="15" customHeight="1" x14ac:dyDescent="0.25"/>
    <row r="761" s="79" customFormat="1" ht="15" customHeight="1" x14ac:dyDescent="0.25"/>
    <row r="762" s="79" customFormat="1" ht="15" customHeight="1" x14ac:dyDescent="0.25"/>
    <row r="763" s="79" customFormat="1" ht="15" customHeight="1" x14ac:dyDescent="0.25"/>
    <row r="764" s="79" customFormat="1" ht="15" customHeight="1" x14ac:dyDescent="0.25"/>
    <row r="765" s="79" customFormat="1" ht="15" customHeight="1" x14ac:dyDescent="0.25"/>
    <row r="766" s="79" customFormat="1" ht="15" customHeight="1" x14ac:dyDescent="0.25"/>
    <row r="767" s="79" customFormat="1" ht="15" customHeight="1" x14ac:dyDescent="0.25"/>
    <row r="768" s="79" customFormat="1" ht="15" customHeight="1" x14ac:dyDescent="0.25"/>
    <row r="769" s="79" customFormat="1" ht="15" customHeight="1" x14ac:dyDescent="0.25"/>
    <row r="770" s="79" customFormat="1" ht="15" customHeight="1" x14ac:dyDescent="0.25"/>
    <row r="771" s="79" customFormat="1" ht="15" customHeight="1" x14ac:dyDescent="0.25"/>
    <row r="772" s="79" customFormat="1" ht="15" customHeight="1" x14ac:dyDescent="0.25"/>
    <row r="773" s="79" customFormat="1" ht="15" customHeight="1" x14ac:dyDescent="0.25"/>
    <row r="774" s="79" customFormat="1" ht="15" customHeight="1" x14ac:dyDescent="0.25"/>
    <row r="775" s="79" customFormat="1" ht="15" customHeight="1" x14ac:dyDescent="0.25"/>
    <row r="776" s="79" customFormat="1" ht="15" customHeight="1" x14ac:dyDescent="0.25"/>
    <row r="777" s="79" customFormat="1" ht="15" customHeight="1" x14ac:dyDescent="0.25"/>
    <row r="778" s="79" customFormat="1" ht="15" customHeight="1" x14ac:dyDescent="0.25"/>
    <row r="779" s="79" customFormat="1" ht="15" customHeight="1" x14ac:dyDescent="0.25"/>
    <row r="780" s="79" customFormat="1" ht="15" customHeight="1" x14ac:dyDescent="0.25"/>
    <row r="781" s="79" customFormat="1" ht="15" customHeight="1" x14ac:dyDescent="0.25"/>
    <row r="782" s="79" customFormat="1" ht="15" customHeight="1" x14ac:dyDescent="0.25"/>
    <row r="783" s="79" customFormat="1" ht="15" customHeight="1" x14ac:dyDescent="0.25"/>
    <row r="784" s="79" customFormat="1" ht="15" customHeight="1" x14ac:dyDescent="0.25"/>
    <row r="785" s="79" customFormat="1" ht="15" customHeight="1" x14ac:dyDescent="0.25"/>
    <row r="786" s="79" customFormat="1" ht="15" customHeight="1" x14ac:dyDescent="0.25"/>
    <row r="787" s="79" customFormat="1" ht="15" customHeight="1" x14ac:dyDescent="0.25"/>
    <row r="788" s="79" customFormat="1" ht="15" customHeight="1" x14ac:dyDescent="0.25"/>
    <row r="789" s="79" customFormat="1" ht="15" customHeight="1" x14ac:dyDescent="0.25"/>
    <row r="790" s="79" customFormat="1" ht="15" customHeight="1" x14ac:dyDescent="0.25"/>
    <row r="791" s="79" customFormat="1" ht="15" customHeight="1" x14ac:dyDescent="0.25"/>
    <row r="792" s="79" customFormat="1" ht="15" customHeight="1" x14ac:dyDescent="0.25"/>
    <row r="793" s="79" customFormat="1" ht="15" customHeight="1" x14ac:dyDescent="0.25"/>
    <row r="794" s="79" customFormat="1" ht="15" customHeight="1" x14ac:dyDescent="0.25"/>
    <row r="795" s="79" customFormat="1" ht="15" customHeight="1" x14ac:dyDescent="0.25"/>
    <row r="796" s="79" customFormat="1" ht="15" customHeight="1" x14ac:dyDescent="0.25"/>
    <row r="797" s="79" customFormat="1" ht="15" customHeight="1" x14ac:dyDescent="0.25"/>
    <row r="798" s="79" customFormat="1" ht="15" customHeight="1" x14ac:dyDescent="0.25"/>
    <row r="799" s="79" customFormat="1" ht="15" customHeight="1" x14ac:dyDescent="0.25"/>
    <row r="800" s="79" customFormat="1" ht="15" customHeight="1" x14ac:dyDescent="0.25"/>
    <row r="801" s="79" customFormat="1" ht="15" customHeight="1" x14ac:dyDescent="0.25"/>
    <row r="802" s="79" customFormat="1" ht="15" customHeight="1" x14ac:dyDescent="0.25"/>
    <row r="803" s="79" customFormat="1" ht="15" customHeight="1" x14ac:dyDescent="0.25"/>
    <row r="804" s="79" customFormat="1" ht="15" customHeight="1" x14ac:dyDescent="0.25"/>
    <row r="805" s="79" customFormat="1" ht="15" customHeight="1" x14ac:dyDescent="0.25"/>
    <row r="806" s="79" customFormat="1" ht="15" customHeight="1" x14ac:dyDescent="0.25"/>
    <row r="807" s="79" customFormat="1" ht="15" customHeight="1" x14ac:dyDescent="0.25"/>
    <row r="808" s="79" customFormat="1" ht="15" customHeight="1" x14ac:dyDescent="0.25"/>
    <row r="809" s="79" customFormat="1" ht="15" customHeight="1" x14ac:dyDescent="0.25"/>
    <row r="810" s="79" customFormat="1" ht="15" customHeight="1" x14ac:dyDescent="0.25"/>
    <row r="811" s="79" customFormat="1" ht="15" customHeight="1" x14ac:dyDescent="0.25"/>
    <row r="812" s="79" customFormat="1" ht="15" customHeight="1" x14ac:dyDescent="0.25"/>
    <row r="813" s="79" customFormat="1" ht="15" customHeight="1" x14ac:dyDescent="0.25"/>
    <row r="814" s="79" customFormat="1" ht="15" customHeight="1" x14ac:dyDescent="0.25"/>
    <row r="815" s="79" customFormat="1" ht="15" customHeight="1" x14ac:dyDescent="0.25"/>
    <row r="816" s="79" customFormat="1" ht="15" customHeight="1" x14ac:dyDescent="0.25"/>
    <row r="817" s="79" customFormat="1" ht="15" customHeight="1" x14ac:dyDescent="0.25"/>
    <row r="818" s="79" customFormat="1" ht="15" customHeight="1" x14ac:dyDescent="0.25"/>
    <row r="819" s="79" customFormat="1" ht="15" customHeight="1" x14ac:dyDescent="0.25"/>
    <row r="820" s="79" customFormat="1" ht="15" customHeight="1" x14ac:dyDescent="0.25"/>
    <row r="821" s="79" customFormat="1" ht="15" customHeight="1" x14ac:dyDescent="0.25"/>
    <row r="822" s="79" customFormat="1" ht="15" customHeight="1" x14ac:dyDescent="0.25"/>
    <row r="823" s="79" customFormat="1" ht="15" customHeight="1" x14ac:dyDescent="0.25"/>
    <row r="824" s="79" customFormat="1" ht="15" customHeight="1" x14ac:dyDescent="0.25"/>
    <row r="825" s="79" customFormat="1" ht="15" customHeight="1" x14ac:dyDescent="0.25"/>
    <row r="826" s="79" customFormat="1" ht="15" customHeight="1" x14ac:dyDescent="0.25"/>
    <row r="827" s="79" customFormat="1" ht="15" customHeight="1" x14ac:dyDescent="0.25"/>
    <row r="828" s="79" customFormat="1" ht="15" customHeight="1" x14ac:dyDescent="0.25"/>
    <row r="829" s="79" customFormat="1" ht="15" customHeight="1" x14ac:dyDescent="0.25"/>
    <row r="830" s="79" customFormat="1" ht="15" customHeight="1" x14ac:dyDescent="0.25"/>
    <row r="831" s="79" customFormat="1" ht="15" customHeight="1" x14ac:dyDescent="0.25"/>
    <row r="832" s="79" customFormat="1" ht="15" customHeight="1" x14ac:dyDescent="0.25"/>
    <row r="833" s="79" customFormat="1" ht="15" customHeight="1" x14ac:dyDescent="0.25"/>
    <row r="834" s="79" customFormat="1" ht="15" customHeight="1" x14ac:dyDescent="0.25"/>
    <row r="835" s="79" customFormat="1" ht="15" customHeight="1" x14ac:dyDescent="0.25"/>
    <row r="836" s="79" customFormat="1" ht="15" customHeight="1" x14ac:dyDescent="0.25"/>
    <row r="837" s="79" customFormat="1" ht="15" customHeight="1" x14ac:dyDescent="0.25"/>
    <row r="838" s="79" customFormat="1" ht="15" customHeight="1" x14ac:dyDescent="0.25"/>
    <row r="839" s="79" customFormat="1" ht="15" customHeight="1" x14ac:dyDescent="0.25"/>
    <row r="840" s="79" customFormat="1" ht="15" customHeight="1" x14ac:dyDescent="0.25"/>
    <row r="841" s="79" customFormat="1" ht="15" customHeight="1" x14ac:dyDescent="0.25"/>
    <row r="842" s="79" customFormat="1" ht="15" customHeight="1" x14ac:dyDescent="0.25"/>
    <row r="843" s="79" customFormat="1" ht="15" customHeight="1" x14ac:dyDescent="0.25"/>
    <row r="844" s="79" customFormat="1" ht="15" customHeight="1" x14ac:dyDescent="0.25"/>
    <row r="845" s="79" customFormat="1" ht="15" customHeight="1" x14ac:dyDescent="0.25"/>
    <row r="846" s="79" customFormat="1" ht="15" customHeight="1" x14ac:dyDescent="0.25"/>
    <row r="847" s="79" customFormat="1" ht="15" customHeight="1" x14ac:dyDescent="0.25"/>
    <row r="848" s="79" customFormat="1" ht="15" customHeight="1" x14ac:dyDescent="0.25"/>
    <row r="849" s="79" customFormat="1" ht="15" customHeight="1" x14ac:dyDescent="0.25"/>
    <row r="850" s="79" customFormat="1" ht="15" customHeight="1" x14ac:dyDescent="0.25"/>
    <row r="851" s="79" customFormat="1" ht="15" customHeight="1" x14ac:dyDescent="0.25"/>
    <row r="852" s="79" customFormat="1" ht="15" customHeight="1" x14ac:dyDescent="0.25"/>
    <row r="853" s="79" customFormat="1" ht="15" customHeight="1" x14ac:dyDescent="0.25"/>
    <row r="854" s="79" customFormat="1" ht="15" customHeight="1" x14ac:dyDescent="0.25"/>
    <row r="855" s="79" customFormat="1" ht="15" customHeight="1" x14ac:dyDescent="0.25"/>
    <row r="856" s="79" customFormat="1" ht="15" customHeight="1" x14ac:dyDescent="0.25"/>
    <row r="857" s="79" customFormat="1" ht="15" customHeight="1" x14ac:dyDescent="0.25"/>
    <row r="858" s="79" customFormat="1" ht="15" customHeight="1" x14ac:dyDescent="0.25"/>
    <row r="859" s="79" customFormat="1" ht="15" customHeight="1" x14ac:dyDescent="0.25"/>
    <row r="860" s="79" customFormat="1" ht="15" customHeight="1" x14ac:dyDescent="0.25"/>
    <row r="861" s="79" customFormat="1" ht="15" customHeight="1" x14ac:dyDescent="0.25"/>
    <row r="862" s="79" customFormat="1" ht="15" customHeight="1" x14ac:dyDescent="0.25"/>
    <row r="863" s="79" customFormat="1" ht="15" customHeight="1" x14ac:dyDescent="0.25"/>
    <row r="864" s="79" customFormat="1" ht="15" customHeight="1" x14ac:dyDescent="0.25"/>
    <row r="865" s="79" customFormat="1" ht="15" customHeight="1" x14ac:dyDescent="0.25"/>
    <row r="866" s="79" customFormat="1" ht="15" customHeight="1" x14ac:dyDescent="0.25"/>
    <row r="867" s="79" customFormat="1" ht="15" customHeight="1" x14ac:dyDescent="0.25"/>
    <row r="868" s="79" customFormat="1" ht="15" customHeight="1" x14ac:dyDescent="0.25"/>
    <row r="869" s="79" customFormat="1" ht="15" customHeight="1" x14ac:dyDescent="0.25"/>
    <row r="870" s="79" customFormat="1" ht="15" customHeight="1" x14ac:dyDescent="0.25"/>
    <row r="871" s="79" customFormat="1" ht="15" customHeight="1" x14ac:dyDescent="0.25"/>
    <row r="872" s="79" customFormat="1" ht="15" customHeight="1" x14ac:dyDescent="0.25"/>
    <row r="873" s="79" customFormat="1" ht="15" customHeight="1" x14ac:dyDescent="0.25"/>
    <row r="874" s="79" customFormat="1" ht="15" customHeight="1" x14ac:dyDescent="0.25"/>
    <row r="875" s="79" customFormat="1" ht="15" customHeight="1" x14ac:dyDescent="0.25"/>
    <row r="876" s="79" customFormat="1" ht="15" customHeight="1" x14ac:dyDescent="0.25"/>
    <row r="877" s="79" customFormat="1" ht="15" customHeight="1" x14ac:dyDescent="0.25"/>
    <row r="878" s="79" customFormat="1" ht="15" customHeight="1" x14ac:dyDescent="0.25"/>
    <row r="879" s="79" customFormat="1" ht="15" customHeight="1" x14ac:dyDescent="0.25"/>
    <row r="880" s="79" customFormat="1" ht="15" customHeight="1" x14ac:dyDescent="0.25"/>
    <row r="881" s="79" customFormat="1" ht="15" customHeight="1" x14ac:dyDescent="0.25"/>
    <row r="882" s="79" customFormat="1" ht="15" customHeight="1" x14ac:dyDescent="0.25"/>
    <row r="883" s="79" customFormat="1" ht="15" customHeight="1" x14ac:dyDescent="0.25"/>
    <row r="884" s="79" customFormat="1" ht="15" customHeight="1" x14ac:dyDescent="0.25"/>
    <row r="885" s="79" customFormat="1" ht="15" customHeight="1" x14ac:dyDescent="0.25"/>
    <row r="886" s="79" customFormat="1" ht="15" customHeight="1" x14ac:dyDescent="0.25"/>
    <row r="887" s="79" customFormat="1" ht="15" customHeight="1" x14ac:dyDescent="0.25"/>
    <row r="888" s="79" customFormat="1" ht="15" customHeight="1" x14ac:dyDescent="0.25"/>
    <row r="889" s="79" customFormat="1" ht="15" customHeight="1" x14ac:dyDescent="0.25"/>
    <row r="890" s="79" customFormat="1" ht="15" customHeight="1" x14ac:dyDescent="0.25"/>
    <row r="891" s="79" customFormat="1" ht="15" customHeight="1" x14ac:dyDescent="0.25"/>
    <row r="892" s="79" customFormat="1" ht="15" customHeight="1" x14ac:dyDescent="0.25"/>
    <row r="893" s="79" customFormat="1" ht="15" customHeight="1" x14ac:dyDescent="0.25"/>
    <row r="894" s="79" customFormat="1" ht="15" customHeight="1" x14ac:dyDescent="0.25"/>
    <row r="895" s="79" customFormat="1" ht="15" customHeight="1" x14ac:dyDescent="0.25"/>
    <row r="896" s="79" customFormat="1" ht="15" customHeight="1" x14ac:dyDescent="0.25"/>
    <row r="897" s="79" customFormat="1" ht="15" customHeight="1" x14ac:dyDescent="0.25"/>
    <row r="898" s="79" customFormat="1" ht="15" customHeight="1" x14ac:dyDescent="0.25"/>
    <row r="899" s="79" customFormat="1" ht="15" customHeight="1" x14ac:dyDescent="0.25"/>
    <row r="900" s="79" customFormat="1" ht="15" customHeight="1" x14ac:dyDescent="0.25"/>
    <row r="901" s="79" customFormat="1" ht="15" customHeight="1" x14ac:dyDescent="0.25"/>
    <row r="902" s="79" customFormat="1" ht="15" customHeight="1" x14ac:dyDescent="0.25"/>
    <row r="903" s="79" customFormat="1" ht="15" customHeight="1" x14ac:dyDescent="0.25"/>
    <row r="904" s="79" customFormat="1" ht="15" customHeight="1" x14ac:dyDescent="0.25"/>
    <row r="905" s="79" customFormat="1" ht="15" customHeight="1" x14ac:dyDescent="0.25"/>
    <row r="906" s="79" customFormat="1" ht="15" customHeight="1" x14ac:dyDescent="0.25"/>
    <row r="907" s="79" customFormat="1" ht="15" customHeight="1" x14ac:dyDescent="0.25"/>
    <row r="908" s="79" customFormat="1" ht="15" customHeight="1" x14ac:dyDescent="0.25"/>
    <row r="909" s="79" customFormat="1" ht="15" customHeight="1" x14ac:dyDescent="0.25"/>
    <row r="910" s="79" customFormat="1" ht="15" customHeight="1" x14ac:dyDescent="0.25"/>
    <row r="911" s="79" customFormat="1" ht="15" customHeight="1" x14ac:dyDescent="0.25"/>
    <row r="912" s="79" customFormat="1" ht="15" customHeight="1" x14ac:dyDescent="0.25"/>
    <row r="913" s="79" customFormat="1" ht="15" customHeight="1" x14ac:dyDescent="0.25"/>
    <row r="914" s="79" customFormat="1" ht="15" customHeight="1" x14ac:dyDescent="0.25"/>
    <row r="915" s="79" customFormat="1" ht="15" customHeight="1" x14ac:dyDescent="0.25"/>
    <row r="916" s="79" customFormat="1" ht="15" customHeight="1" x14ac:dyDescent="0.25"/>
    <row r="917" s="79" customFormat="1" ht="15" customHeight="1" x14ac:dyDescent="0.25"/>
    <row r="918" s="79" customFormat="1" ht="15" customHeight="1" x14ac:dyDescent="0.25"/>
    <row r="919" s="79" customFormat="1" ht="15" customHeight="1" x14ac:dyDescent="0.25"/>
    <row r="920" s="79" customFormat="1" ht="15" customHeight="1" x14ac:dyDescent="0.25"/>
    <row r="921" s="79" customFormat="1" ht="15" customHeight="1" x14ac:dyDescent="0.25"/>
    <row r="922" s="79" customFormat="1" ht="15" customHeight="1" x14ac:dyDescent="0.25"/>
    <row r="923" s="79" customFormat="1" ht="15" customHeight="1" x14ac:dyDescent="0.25"/>
    <row r="924" s="79" customFormat="1" ht="15" customHeight="1" x14ac:dyDescent="0.25"/>
    <row r="925" s="79" customFormat="1" ht="15" customHeight="1" x14ac:dyDescent="0.25"/>
    <row r="926" s="79" customFormat="1" ht="15" customHeight="1" x14ac:dyDescent="0.25"/>
    <row r="927" s="79" customFormat="1" ht="15" customHeight="1" x14ac:dyDescent="0.25"/>
    <row r="928" s="79" customFormat="1" ht="15" customHeight="1" x14ac:dyDescent="0.25"/>
    <row r="929" s="79" customFormat="1" ht="15" customHeight="1" x14ac:dyDescent="0.25"/>
    <row r="930" s="79" customFormat="1" ht="15" customHeight="1" x14ac:dyDescent="0.25"/>
    <row r="931" s="79" customFormat="1" ht="15" customHeight="1" x14ac:dyDescent="0.25"/>
    <row r="932" s="79" customFormat="1" ht="15" customHeight="1" x14ac:dyDescent="0.25"/>
    <row r="933" s="79" customFormat="1" ht="15" customHeight="1" x14ac:dyDescent="0.25"/>
    <row r="934" s="79" customFormat="1" ht="15" customHeight="1" x14ac:dyDescent="0.25"/>
    <row r="935" s="79" customFormat="1" ht="15" customHeight="1" x14ac:dyDescent="0.25"/>
    <row r="936" s="79" customFormat="1" ht="15" customHeight="1" x14ac:dyDescent="0.25"/>
    <row r="937" s="79" customFormat="1" ht="15" customHeight="1" x14ac:dyDescent="0.25"/>
    <row r="938" s="79" customFormat="1" ht="15" customHeight="1" x14ac:dyDescent="0.25"/>
    <row r="939" s="79" customFormat="1" ht="15" customHeight="1" x14ac:dyDescent="0.25"/>
    <row r="940" s="79" customFormat="1" ht="15" customHeight="1" x14ac:dyDescent="0.25"/>
    <row r="941" s="79" customFormat="1" ht="15" customHeight="1" x14ac:dyDescent="0.25"/>
    <row r="942" s="79" customFormat="1" ht="15" customHeight="1" x14ac:dyDescent="0.25"/>
    <row r="943" s="79" customFormat="1" ht="15" customHeight="1" x14ac:dyDescent="0.25"/>
    <row r="944" s="79" customFormat="1" ht="15" customHeight="1" x14ac:dyDescent="0.25"/>
    <row r="945" s="79" customFormat="1" ht="15" customHeight="1" x14ac:dyDescent="0.25"/>
    <row r="946" s="79" customFormat="1" ht="15" customHeight="1" x14ac:dyDescent="0.25"/>
    <row r="947" s="79" customFormat="1" ht="15" customHeight="1" x14ac:dyDescent="0.25"/>
    <row r="948" s="79" customFormat="1" ht="15" customHeight="1" x14ac:dyDescent="0.25"/>
    <row r="949" s="79" customFormat="1" ht="15" customHeight="1" x14ac:dyDescent="0.25"/>
    <row r="950" s="79" customFormat="1" ht="15" customHeight="1" x14ac:dyDescent="0.25"/>
    <row r="951" s="79" customFormat="1" ht="15" customHeight="1" x14ac:dyDescent="0.25"/>
    <row r="952" s="79" customFormat="1" ht="15" customHeight="1" x14ac:dyDescent="0.25"/>
    <row r="953" s="79" customFormat="1" ht="15" customHeight="1" x14ac:dyDescent="0.25"/>
    <row r="954" s="79" customFormat="1" ht="15" customHeight="1" x14ac:dyDescent="0.25"/>
    <row r="955" s="79" customFormat="1" ht="15" customHeight="1" x14ac:dyDescent="0.25"/>
    <row r="956" s="79" customFormat="1" ht="15" customHeight="1" x14ac:dyDescent="0.25"/>
    <row r="957" s="79" customFormat="1" ht="15" customHeight="1" x14ac:dyDescent="0.25"/>
    <row r="958" s="79" customFormat="1" ht="15" customHeight="1" x14ac:dyDescent="0.25"/>
    <row r="959" s="79" customFormat="1" ht="15" customHeight="1" x14ac:dyDescent="0.25"/>
    <row r="960" s="79" customFormat="1" ht="15" customHeight="1" x14ac:dyDescent="0.25"/>
    <row r="961" s="79" customFormat="1" ht="15" customHeight="1" x14ac:dyDescent="0.25"/>
    <row r="962" s="79" customFormat="1" ht="15" customHeight="1" x14ac:dyDescent="0.25"/>
    <row r="963" s="79" customFormat="1" ht="15" customHeight="1" x14ac:dyDescent="0.25"/>
    <row r="964" s="79" customFormat="1" ht="15" customHeight="1" x14ac:dyDescent="0.25"/>
    <row r="965" s="79" customFormat="1" ht="15" customHeight="1" x14ac:dyDescent="0.25"/>
    <row r="966" s="79" customFormat="1" ht="15" customHeight="1" x14ac:dyDescent="0.25"/>
    <row r="967" s="79" customFormat="1" ht="15" customHeight="1" x14ac:dyDescent="0.25"/>
    <row r="968" s="79" customFormat="1" ht="15" customHeight="1" x14ac:dyDescent="0.25"/>
    <row r="969" s="79" customFormat="1" ht="15" customHeight="1" x14ac:dyDescent="0.25"/>
    <row r="970" s="79" customFormat="1" ht="15" customHeight="1" x14ac:dyDescent="0.25"/>
    <row r="971" s="79" customFormat="1" ht="15" customHeight="1" x14ac:dyDescent="0.25"/>
    <row r="972" s="79" customFormat="1" ht="15" customHeight="1" x14ac:dyDescent="0.25"/>
    <row r="973" s="79" customFormat="1" ht="15" customHeight="1" x14ac:dyDescent="0.25"/>
    <row r="974" s="79" customFormat="1" ht="15" customHeight="1" x14ac:dyDescent="0.25"/>
    <row r="975" s="79" customFormat="1" ht="15" customHeight="1" x14ac:dyDescent="0.25"/>
    <row r="976" s="79" customFormat="1" ht="15" customHeight="1" x14ac:dyDescent="0.25"/>
    <row r="977" s="79" customFormat="1" ht="15" customHeight="1" x14ac:dyDescent="0.25"/>
    <row r="978" s="79" customFormat="1" ht="15" customHeight="1" x14ac:dyDescent="0.25"/>
    <row r="979" s="79" customFormat="1" ht="15" customHeight="1" x14ac:dyDescent="0.25"/>
    <row r="980" s="79" customFormat="1" ht="15" customHeight="1" x14ac:dyDescent="0.25"/>
    <row r="981" s="79" customFormat="1" ht="15" customHeight="1" x14ac:dyDescent="0.25"/>
    <row r="982" s="79" customFormat="1" ht="15" customHeight="1" x14ac:dyDescent="0.25"/>
    <row r="983" s="79" customFormat="1" ht="15" customHeight="1" x14ac:dyDescent="0.25"/>
    <row r="984" s="79" customFormat="1" ht="15" customHeight="1" x14ac:dyDescent="0.25"/>
    <row r="985" s="79" customFormat="1" ht="15" customHeight="1" x14ac:dyDescent="0.25"/>
    <row r="986" s="79" customFormat="1" ht="15" customHeight="1" x14ac:dyDescent="0.25"/>
    <row r="987" s="79" customFormat="1" ht="15" customHeight="1" x14ac:dyDescent="0.25"/>
    <row r="988" s="79" customFormat="1" ht="15" customHeight="1" x14ac:dyDescent="0.25"/>
    <row r="989" s="79" customFormat="1" ht="15" customHeight="1" x14ac:dyDescent="0.25"/>
    <row r="990" s="79" customFormat="1" ht="15" customHeight="1" x14ac:dyDescent="0.25"/>
    <row r="991" s="79" customFormat="1" ht="15" customHeight="1" x14ac:dyDescent="0.25"/>
    <row r="992" s="79" customFormat="1" ht="15" customHeight="1" x14ac:dyDescent="0.25"/>
    <row r="993" s="79" customFormat="1" ht="15" customHeight="1" x14ac:dyDescent="0.25"/>
    <row r="994" s="79" customFormat="1" ht="15" customHeight="1" x14ac:dyDescent="0.25"/>
    <row r="995" s="79" customFormat="1" ht="15" customHeight="1" x14ac:dyDescent="0.25"/>
    <row r="996" s="79" customFormat="1" ht="15" customHeight="1" x14ac:dyDescent="0.25"/>
    <row r="997" s="79" customFormat="1" ht="15" customHeight="1" x14ac:dyDescent="0.25"/>
    <row r="998" s="79" customFormat="1" ht="15" customHeight="1" x14ac:dyDescent="0.25"/>
    <row r="999" s="79" customFormat="1" ht="15" customHeight="1" x14ac:dyDescent="0.25"/>
    <row r="1000" s="79" customFormat="1" ht="15" customHeight="1" x14ac:dyDescent="0.25"/>
    <row r="1001" s="79" customFormat="1" ht="15" customHeight="1" x14ac:dyDescent="0.25"/>
    <row r="1002" s="79" customFormat="1" ht="15" customHeight="1" x14ac:dyDescent="0.25"/>
    <row r="1003" s="79" customFormat="1" ht="15" customHeight="1" x14ac:dyDescent="0.25"/>
    <row r="1004" s="79" customFormat="1" ht="15" customHeight="1" x14ac:dyDescent="0.25"/>
    <row r="1005" s="79" customFormat="1" ht="15" customHeight="1" x14ac:dyDescent="0.25"/>
    <row r="1006" s="79" customFormat="1" ht="15" customHeight="1" x14ac:dyDescent="0.25"/>
    <row r="1007" s="79" customFormat="1" ht="15" customHeight="1" x14ac:dyDescent="0.25"/>
    <row r="1008" s="79" customFormat="1" ht="15" customHeight="1" x14ac:dyDescent="0.25"/>
    <row r="1009" s="79" customFormat="1" ht="15" customHeight="1" x14ac:dyDescent="0.25"/>
    <row r="1010" s="79" customFormat="1" ht="15" customHeight="1" x14ac:dyDescent="0.25"/>
    <row r="1011" s="79" customFormat="1" ht="15" customHeight="1" x14ac:dyDescent="0.25"/>
    <row r="1012" s="79" customFormat="1" ht="15" customHeight="1" x14ac:dyDescent="0.25"/>
    <row r="1013" s="79" customFormat="1" ht="15" customHeight="1" x14ac:dyDescent="0.25"/>
    <row r="1014" s="79" customFormat="1" ht="15" customHeight="1" x14ac:dyDescent="0.25"/>
    <row r="1015" s="79" customFormat="1" ht="15" customHeight="1" x14ac:dyDescent="0.25"/>
    <row r="1016" s="79" customFormat="1" ht="15" customHeight="1" x14ac:dyDescent="0.25"/>
    <row r="1017" s="79" customFormat="1" ht="15" customHeight="1" x14ac:dyDescent="0.25"/>
    <row r="1018" s="79" customFormat="1" ht="15" customHeight="1" x14ac:dyDescent="0.25"/>
    <row r="1019" s="79" customFormat="1" ht="15" customHeight="1" x14ac:dyDescent="0.25"/>
    <row r="1020" s="79" customFormat="1" ht="15" customHeight="1" x14ac:dyDescent="0.25"/>
    <row r="1021" s="79" customFormat="1" ht="15" customHeight="1" x14ac:dyDescent="0.25"/>
    <row r="1022" s="79" customFormat="1" ht="15" customHeight="1" x14ac:dyDescent="0.25"/>
    <row r="1023" s="79" customFormat="1" ht="15" customHeight="1" x14ac:dyDescent="0.25"/>
    <row r="1024" s="79" customFormat="1" ht="15" customHeight="1" x14ac:dyDescent="0.25"/>
    <row r="1025" s="79" customFormat="1" ht="15" customHeight="1" x14ac:dyDescent="0.25"/>
    <row r="1026" s="79" customFormat="1" ht="15" customHeight="1" x14ac:dyDescent="0.25"/>
    <row r="1027" s="79" customFormat="1" ht="15" customHeight="1" x14ac:dyDescent="0.25"/>
    <row r="1028" s="79" customFormat="1" ht="15" customHeight="1" x14ac:dyDescent="0.25"/>
    <row r="1029" s="79" customFormat="1" ht="15" customHeight="1" x14ac:dyDescent="0.25"/>
    <row r="1030" s="79" customFormat="1" ht="15" customHeight="1" x14ac:dyDescent="0.25"/>
    <row r="1031" s="79" customFormat="1" ht="15" customHeight="1" x14ac:dyDescent="0.25"/>
    <row r="1032" s="79" customFormat="1" ht="15" customHeight="1" x14ac:dyDescent="0.25"/>
    <row r="1033" s="79" customFormat="1" ht="15" customHeight="1" x14ac:dyDescent="0.25"/>
    <row r="1034" s="79" customFormat="1" ht="15" customHeight="1" x14ac:dyDescent="0.25"/>
    <row r="1035" s="79" customFormat="1" ht="15" customHeight="1" x14ac:dyDescent="0.25"/>
    <row r="1036" s="79" customFormat="1" ht="15" customHeight="1" x14ac:dyDescent="0.25"/>
    <row r="1037" s="79" customFormat="1" ht="15" customHeight="1" x14ac:dyDescent="0.25"/>
    <row r="1038" s="79" customFormat="1" ht="15" customHeight="1" x14ac:dyDescent="0.25"/>
    <row r="1039" s="79" customFormat="1" ht="15" customHeight="1" x14ac:dyDescent="0.25"/>
    <row r="1040" s="79" customFormat="1" ht="15" customHeight="1" x14ac:dyDescent="0.25"/>
    <row r="1041" s="79" customFormat="1" ht="15" customHeight="1" x14ac:dyDescent="0.25"/>
    <row r="1042" s="79" customFormat="1" ht="15" customHeight="1" x14ac:dyDescent="0.25"/>
    <row r="1043" s="79" customFormat="1" ht="15" customHeight="1" x14ac:dyDescent="0.25"/>
    <row r="1044" s="79" customFormat="1" ht="15" customHeight="1" x14ac:dyDescent="0.25"/>
    <row r="1045" s="79" customFormat="1" ht="15" customHeight="1" x14ac:dyDescent="0.25"/>
    <row r="1046" s="79" customFormat="1" ht="15" customHeight="1" x14ac:dyDescent="0.25"/>
    <row r="1047" s="79" customFormat="1" ht="15" customHeight="1" x14ac:dyDescent="0.25"/>
    <row r="1048" s="79" customFormat="1" ht="15" customHeight="1" x14ac:dyDescent="0.25"/>
    <row r="1049" s="79" customFormat="1" ht="15" customHeight="1" x14ac:dyDescent="0.25"/>
    <row r="1050" s="79" customFormat="1" ht="15" customHeight="1" x14ac:dyDescent="0.25"/>
    <row r="1051" s="79" customFormat="1" ht="15" customHeight="1" x14ac:dyDescent="0.25"/>
    <row r="1052" s="79" customFormat="1" ht="15" customHeight="1" x14ac:dyDescent="0.25"/>
    <row r="1053" s="79" customFormat="1" ht="15" customHeight="1" x14ac:dyDescent="0.25"/>
    <row r="1054" s="79" customFormat="1" ht="15" customHeight="1" x14ac:dyDescent="0.25"/>
    <row r="1055" s="79" customFormat="1" ht="15" customHeight="1" x14ac:dyDescent="0.25"/>
    <row r="1056" s="79" customFormat="1" ht="15" customHeight="1" x14ac:dyDescent="0.25"/>
    <row r="1057" s="79" customFormat="1" ht="15" customHeight="1" x14ac:dyDescent="0.25"/>
    <row r="1058" s="79" customFormat="1" ht="15" customHeight="1" x14ac:dyDescent="0.25"/>
    <row r="1059" s="79" customFormat="1" ht="15" customHeight="1" x14ac:dyDescent="0.25"/>
    <row r="1060" s="79" customFormat="1" ht="15" customHeight="1" x14ac:dyDescent="0.25"/>
    <row r="1061" s="79" customFormat="1" ht="15" customHeight="1" x14ac:dyDescent="0.25"/>
    <row r="1062" s="79" customFormat="1" ht="15" customHeight="1" x14ac:dyDescent="0.25"/>
    <row r="1063" s="79" customFormat="1" ht="15" customHeight="1" x14ac:dyDescent="0.25"/>
    <row r="1064" s="79" customFormat="1" ht="15" customHeight="1" x14ac:dyDescent="0.25"/>
    <row r="1065" s="79" customFormat="1" ht="15" customHeight="1" x14ac:dyDescent="0.25"/>
    <row r="1066" s="79" customFormat="1" ht="15" customHeight="1" x14ac:dyDescent="0.25"/>
    <row r="1067" s="79" customFormat="1" ht="15" customHeight="1" x14ac:dyDescent="0.25"/>
    <row r="1068" s="79" customFormat="1" ht="15" customHeight="1" x14ac:dyDescent="0.25"/>
    <row r="1069" s="79" customFormat="1" ht="15" customHeight="1" x14ac:dyDescent="0.25"/>
    <row r="1070" s="79" customFormat="1" ht="15" customHeight="1" x14ac:dyDescent="0.25"/>
    <row r="1071" s="79" customFormat="1" ht="15" customHeight="1" x14ac:dyDescent="0.25"/>
    <row r="1072" s="79" customFormat="1" ht="15" customHeight="1" x14ac:dyDescent="0.25"/>
    <row r="1073" s="79" customFormat="1" ht="15" customHeight="1" x14ac:dyDescent="0.25"/>
    <row r="1074" s="79" customFormat="1" ht="15" customHeight="1" x14ac:dyDescent="0.25"/>
    <row r="1075" s="79" customFormat="1" ht="15" customHeight="1" x14ac:dyDescent="0.25"/>
    <row r="1076" s="79" customFormat="1" ht="15" customHeight="1" x14ac:dyDescent="0.25"/>
    <row r="1077" s="79" customFormat="1" ht="15" customHeight="1" x14ac:dyDescent="0.25"/>
    <row r="1078" s="79" customFormat="1" ht="15" customHeight="1" x14ac:dyDescent="0.25"/>
    <row r="1079" s="79" customFormat="1" ht="15" customHeight="1" x14ac:dyDescent="0.25"/>
    <row r="1080" s="79" customFormat="1" ht="15" customHeight="1" x14ac:dyDescent="0.25"/>
    <row r="1081" s="79" customFormat="1" ht="15" customHeight="1" x14ac:dyDescent="0.25"/>
    <row r="1082" s="79" customFormat="1" ht="15" customHeight="1" x14ac:dyDescent="0.25"/>
    <row r="1083" s="79" customFormat="1" ht="15" customHeight="1" x14ac:dyDescent="0.25"/>
    <row r="1084" s="79" customFormat="1" ht="15" customHeight="1" x14ac:dyDescent="0.25"/>
    <row r="1085" s="79" customFormat="1" ht="15" customHeight="1" x14ac:dyDescent="0.25"/>
    <row r="1086" s="79" customFormat="1" ht="15" customHeight="1" x14ac:dyDescent="0.25"/>
    <row r="1087" s="79" customFormat="1" ht="15" customHeight="1" x14ac:dyDescent="0.25"/>
    <row r="1088" s="79" customFormat="1" ht="15" customHeight="1" x14ac:dyDescent="0.25"/>
    <row r="1089" s="79" customFormat="1" ht="15" customHeight="1" x14ac:dyDescent="0.25"/>
    <row r="1090" s="79" customFormat="1" ht="15" customHeight="1" x14ac:dyDescent="0.25"/>
    <row r="1091" s="79" customFormat="1" ht="15" customHeight="1" x14ac:dyDescent="0.25"/>
    <row r="1092" s="79" customFormat="1" ht="15" customHeight="1" x14ac:dyDescent="0.25"/>
    <row r="1093" s="79" customFormat="1" ht="15" customHeight="1" x14ac:dyDescent="0.25"/>
    <row r="1094" s="79" customFormat="1" ht="15" customHeight="1" x14ac:dyDescent="0.25"/>
    <row r="1095" s="79" customFormat="1" ht="15" customHeight="1" x14ac:dyDescent="0.25"/>
    <row r="1096" s="79" customFormat="1" ht="15" customHeight="1" x14ac:dyDescent="0.25"/>
    <row r="1097" s="79" customFormat="1" ht="15" customHeight="1" x14ac:dyDescent="0.25"/>
    <row r="1098" s="79" customFormat="1" ht="15" customHeight="1" x14ac:dyDescent="0.25"/>
    <row r="1099" s="79" customFormat="1" ht="15" customHeight="1" x14ac:dyDescent="0.25"/>
    <row r="1100" s="79" customFormat="1" ht="15" customHeight="1" x14ac:dyDescent="0.25"/>
    <row r="1101" s="79" customFormat="1" ht="15" customHeight="1" x14ac:dyDescent="0.25"/>
    <row r="1102" s="79" customFormat="1" ht="15" customHeight="1" x14ac:dyDescent="0.25"/>
    <row r="1103" s="79" customFormat="1" ht="15" customHeight="1" x14ac:dyDescent="0.25"/>
    <row r="1104" s="79" customFormat="1" ht="15" customHeight="1" x14ac:dyDescent="0.25"/>
    <row r="1105" s="79" customFormat="1" ht="15" customHeight="1" x14ac:dyDescent="0.25"/>
    <row r="1106" s="79" customFormat="1" ht="15" customHeight="1" x14ac:dyDescent="0.25"/>
    <row r="1107" s="79" customFormat="1" ht="15" customHeight="1" x14ac:dyDescent="0.25"/>
    <row r="1108" s="79" customFormat="1" ht="15" customHeight="1" x14ac:dyDescent="0.25"/>
    <row r="1109" s="79" customFormat="1" ht="15" customHeight="1" x14ac:dyDescent="0.25"/>
    <row r="1110" s="79" customFormat="1" ht="15" customHeight="1" x14ac:dyDescent="0.25"/>
    <row r="1111" s="79" customFormat="1" ht="15" customHeight="1" x14ac:dyDescent="0.25"/>
    <row r="1112" s="79" customFormat="1" ht="15" customHeight="1" x14ac:dyDescent="0.25"/>
    <row r="1113" s="79" customFormat="1" ht="15" customHeight="1" x14ac:dyDescent="0.25"/>
    <row r="1114" s="79" customFormat="1" ht="15" customHeight="1" x14ac:dyDescent="0.25"/>
    <row r="1115" s="79" customFormat="1" ht="15" customHeight="1" x14ac:dyDescent="0.25"/>
    <row r="1116" s="79" customFormat="1" ht="15" customHeight="1" x14ac:dyDescent="0.25"/>
    <row r="1117" s="79" customFormat="1" ht="15" customHeight="1" x14ac:dyDescent="0.25"/>
    <row r="1118" s="79" customFormat="1" ht="15" customHeight="1" x14ac:dyDescent="0.25"/>
    <row r="1119" s="79" customFormat="1" ht="15" customHeight="1" x14ac:dyDescent="0.25"/>
    <row r="1120" s="79" customFormat="1" ht="15" customHeight="1" x14ac:dyDescent="0.25"/>
    <row r="1121" s="79" customFormat="1" ht="15" customHeight="1" x14ac:dyDescent="0.25"/>
    <row r="1122" s="79" customFormat="1" ht="15" customHeight="1" x14ac:dyDescent="0.25"/>
    <row r="1123" s="79" customFormat="1" ht="15" customHeight="1" x14ac:dyDescent="0.25"/>
    <row r="1124" s="79" customFormat="1" ht="15" customHeight="1" x14ac:dyDescent="0.25"/>
    <row r="1125" s="79" customFormat="1" ht="15" customHeight="1" x14ac:dyDescent="0.25"/>
    <row r="1126" s="79" customFormat="1" ht="15" customHeight="1" x14ac:dyDescent="0.25"/>
    <row r="1127" s="79" customFormat="1" ht="15" customHeight="1" x14ac:dyDescent="0.25"/>
    <row r="1128" s="79" customFormat="1" ht="15" customHeight="1" x14ac:dyDescent="0.25"/>
    <row r="1129" s="79" customFormat="1" ht="15" customHeight="1" x14ac:dyDescent="0.25"/>
    <row r="1130" s="79" customFormat="1" ht="15" customHeight="1" x14ac:dyDescent="0.25"/>
    <row r="1131" s="79" customFormat="1" ht="15" customHeight="1" x14ac:dyDescent="0.25"/>
    <row r="1132" s="79" customFormat="1" ht="15" customHeight="1" x14ac:dyDescent="0.25"/>
    <row r="1133" s="79" customFormat="1" ht="15" customHeight="1" x14ac:dyDescent="0.25"/>
    <row r="1134" s="79" customFormat="1" ht="15" customHeight="1" x14ac:dyDescent="0.25"/>
    <row r="1135" s="79" customFormat="1" ht="15" customHeight="1" x14ac:dyDescent="0.25"/>
    <row r="1136" s="79" customFormat="1" ht="15" customHeight="1" x14ac:dyDescent="0.25"/>
    <row r="1137" s="79" customFormat="1" ht="15" customHeight="1" x14ac:dyDescent="0.25"/>
    <row r="1138" s="79" customFormat="1" ht="15" customHeight="1" x14ac:dyDescent="0.25"/>
    <row r="1139" s="79" customFormat="1" ht="15" customHeight="1" x14ac:dyDescent="0.25"/>
    <row r="1140" s="79" customFormat="1" ht="15" customHeight="1" x14ac:dyDescent="0.25"/>
    <row r="1141" s="79" customFormat="1" ht="15" customHeight="1" x14ac:dyDescent="0.25"/>
    <row r="1142" s="79" customFormat="1" ht="15" customHeight="1" x14ac:dyDescent="0.25"/>
    <row r="1143" s="79" customFormat="1" ht="15" customHeight="1" x14ac:dyDescent="0.25"/>
    <row r="1144" s="79" customFormat="1" ht="15" customHeight="1" x14ac:dyDescent="0.25"/>
    <row r="1145" s="79" customFormat="1" ht="15" customHeight="1" x14ac:dyDescent="0.25"/>
    <row r="1146" s="79" customFormat="1" ht="15" customHeight="1" x14ac:dyDescent="0.25"/>
    <row r="1147" s="79" customFormat="1" ht="15" customHeight="1" x14ac:dyDescent="0.25"/>
    <row r="1148" s="79" customFormat="1" ht="15" customHeight="1" x14ac:dyDescent="0.25"/>
    <row r="1149" s="79" customFormat="1" ht="15" customHeight="1" x14ac:dyDescent="0.25"/>
    <row r="1150" s="79" customFormat="1" ht="15" customHeight="1" x14ac:dyDescent="0.25"/>
    <row r="1151" s="79" customFormat="1" ht="15" customHeight="1" x14ac:dyDescent="0.25"/>
    <row r="1152" s="79" customFormat="1" ht="15" customHeight="1" x14ac:dyDescent="0.25"/>
    <row r="1153" s="79" customFormat="1" ht="15" customHeight="1" x14ac:dyDescent="0.25"/>
    <row r="1154" s="79" customFormat="1" ht="15" customHeight="1" x14ac:dyDescent="0.25"/>
    <row r="1155" s="79" customFormat="1" ht="15" customHeight="1" x14ac:dyDescent="0.25"/>
    <row r="1156" s="79" customFormat="1" ht="15" customHeight="1" x14ac:dyDescent="0.25"/>
    <row r="1157" s="79" customFormat="1" ht="15" customHeight="1" x14ac:dyDescent="0.25"/>
    <row r="1158" s="79" customFormat="1" ht="15" customHeight="1" x14ac:dyDescent="0.25"/>
    <row r="1159" s="79" customFormat="1" ht="15" customHeight="1" x14ac:dyDescent="0.25"/>
    <row r="1160" s="79" customFormat="1" ht="15" customHeight="1" x14ac:dyDescent="0.25"/>
    <row r="1161" s="79" customFormat="1" ht="15" customHeight="1" x14ac:dyDescent="0.25"/>
    <row r="1162" s="79" customFormat="1" ht="15" customHeight="1" x14ac:dyDescent="0.25"/>
    <row r="1163" s="79" customFormat="1" ht="15" customHeight="1" x14ac:dyDescent="0.25"/>
    <row r="1164" s="79" customFormat="1" ht="15" customHeight="1" x14ac:dyDescent="0.25"/>
    <row r="1165" s="79" customFormat="1" ht="15" customHeight="1" x14ac:dyDescent="0.25"/>
    <row r="1166" s="79" customFormat="1" ht="15" customHeight="1" x14ac:dyDescent="0.25"/>
    <row r="1167" s="79" customFormat="1" ht="15" customHeight="1" x14ac:dyDescent="0.25"/>
    <row r="1168" s="79" customFormat="1" ht="15" customHeight="1" x14ac:dyDescent="0.25"/>
    <row r="1169" s="79" customFormat="1" ht="15" customHeight="1" x14ac:dyDescent="0.25"/>
    <row r="1170" s="79" customFormat="1" ht="15" customHeight="1" x14ac:dyDescent="0.25"/>
    <row r="1171" s="79" customFormat="1" ht="15" customHeight="1" x14ac:dyDescent="0.25"/>
    <row r="1172" s="79" customFormat="1" ht="15" customHeight="1" x14ac:dyDescent="0.25"/>
    <row r="1173" s="79" customFormat="1" ht="15" customHeight="1" x14ac:dyDescent="0.25"/>
    <row r="1174" s="79" customFormat="1" ht="15" customHeight="1" x14ac:dyDescent="0.25"/>
    <row r="1175" s="79" customFormat="1" ht="15" customHeight="1" x14ac:dyDescent="0.25"/>
    <row r="1176" s="79" customFormat="1" ht="15" customHeight="1" x14ac:dyDescent="0.25"/>
    <row r="1177" s="79" customFormat="1" ht="15" customHeight="1" x14ac:dyDescent="0.25"/>
    <row r="1178" s="79" customFormat="1" ht="15" customHeight="1" x14ac:dyDescent="0.25"/>
    <row r="1179" s="79" customFormat="1" ht="15" customHeight="1" x14ac:dyDescent="0.25"/>
    <row r="1180" s="79" customFormat="1" ht="15" customHeight="1" x14ac:dyDescent="0.25"/>
    <row r="1181" s="79" customFormat="1" ht="15" customHeight="1" x14ac:dyDescent="0.25"/>
    <row r="1182" s="79" customFormat="1" ht="15" customHeight="1" x14ac:dyDescent="0.25"/>
    <row r="1183" s="79" customFormat="1" ht="15" customHeight="1" x14ac:dyDescent="0.25"/>
    <row r="1184" s="79" customFormat="1" ht="15" customHeight="1" x14ac:dyDescent="0.25"/>
    <row r="1185" s="79" customFormat="1" ht="15" customHeight="1" x14ac:dyDescent="0.25"/>
    <row r="1186" s="79" customFormat="1" ht="15" customHeight="1" x14ac:dyDescent="0.25"/>
    <row r="1187" s="79" customFormat="1" ht="15" customHeight="1" x14ac:dyDescent="0.25"/>
    <row r="1188" s="79" customFormat="1" ht="15" customHeight="1" x14ac:dyDescent="0.25"/>
    <row r="1189" s="79" customFormat="1" ht="15" customHeight="1" x14ac:dyDescent="0.25"/>
    <row r="1190" s="79" customFormat="1" ht="15" customHeight="1" x14ac:dyDescent="0.25"/>
    <row r="1191" s="79" customFormat="1" ht="15" customHeight="1" x14ac:dyDescent="0.25"/>
    <row r="1192" s="79" customFormat="1" ht="15" customHeight="1" x14ac:dyDescent="0.25"/>
    <row r="1193" s="79" customFormat="1" ht="15" customHeight="1" x14ac:dyDescent="0.25"/>
    <row r="1194" s="79" customFormat="1" ht="15" customHeight="1" x14ac:dyDescent="0.25"/>
    <row r="1195" s="79" customFormat="1" ht="15" customHeight="1" x14ac:dyDescent="0.25"/>
    <row r="1196" s="79" customFormat="1" ht="15" customHeight="1" x14ac:dyDescent="0.25"/>
    <row r="1197" s="79" customFormat="1" ht="15" customHeight="1" x14ac:dyDescent="0.25"/>
    <row r="1198" s="79" customFormat="1" ht="15" customHeight="1" x14ac:dyDescent="0.25"/>
    <row r="1199" s="79" customFormat="1" ht="15" customHeight="1" x14ac:dyDescent="0.25"/>
    <row r="1200" s="79" customFormat="1" ht="15" customHeight="1" x14ac:dyDescent="0.25"/>
    <row r="1201" s="79" customFormat="1" ht="15" customHeight="1" x14ac:dyDescent="0.25"/>
    <row r="1202" s="79" customFormat="1" ht="15" customHeight="1" x14ac:dyDescent="0.25"/>
    <row r="1203" s="79" customFormat="1" ht="15" customHeight="1" x14ac:dyDescent="0.25"/>
    <row r="1204" s="79" customFormat="1" ht="15" customHeight="1" x14ac:dyDescent="0.25"/>
    <row r="1205" s="79" customFormat="1" ht="15" customHeight="1" x14ac:dyDescent="0.25"/>
    <row r="1206" s="79" customFormat="1" ht="15" customHeight="1" x14ac:dyDescent="0.25"/>
    <row r="1207" s="79" customFormat="1" ht="15" customHeight="1" x14ac:dyDescent="0.25"/>
    <row r="1208" s="79" customFormat="1" ht="15" customHeight="1" x14ac:dyDescent="0.25"/>
    <row r="1209" s="79" customFormat="1" ht="15" customHeight="1" x14ac:dyDescent="0.25"/>
    <row r="1210" s="79" customFormat="1" ht="15" customHeight="1" x14ac:dyDescent="0.25"/>
    <row r="1211" s="79" customFormat="1" ht="15" customHeight="1" x14ac:dyDescent="0.25"/>
    <row r="1212" s="79" customFormat="1" ht="15" customHeight="1" x14ac:dyDescent="0.25"/>
    <row r="1213" s="79" customFormat="1" ht="15" customHeight="1" x14ac:dyDescent="0.25"/>
    <row r="1214" s="79" customFormat="1" ht="15" customHeight="1" x14ac:dyDescent="0.25"/>
    <row r="1215" s="79" customFormat="1" ht="15" customHeight="1" x14ac:dyDescent="0.25"/>
    <row r="1216" s="79" customFormat="1" ht="15" customHeight="1" x14ac:dyDescent="0.25"/>
    <row r="1217" s="79" customFormat="1" ht="15" customHeight="1" x14ac:dyDescent="0.25"/>
    <row r="1218" s="79" customFormat="1" ht="15" customHeight="1" x14ac:dyDescent="0.25"/>
    <row r="1219" s="79" customFormat="1" ht="15" customHeight="1" x14ac:dyDescent="0.25"/>
    <row r="1220" s="79" customFormat="1" ht="15" customHeight="1" x14ac:dyDescent="0.25"/>
    <row r="1221" s="79" customFormat="1" ht="15" customHeight="1" x14ac:dyDescent="0.25"/>
    <row r="1222" s="79" customFormat="1" ht="15" customHeight="1" x14ac:dyDescent="0.25"/>
    <row r="1223" s="79" customFormat="1" ht="15" customHeight="1" x14ac:dyDescent="0.25"/>
    <row r="1224" s="79" customFormat="1" ht="15" customHeight="1" x14ac:dyDescent="0.25"/>
    <row r="1225" s="79" customFormat="1" ht="15" customHeight="1" x14ac:dyDescent="0.25"/>
    <row r="1226" s="79" customFormat="1" ht="15" customHeight="1" x14ac:dyDescent="0.25"/>
    <row r="1227" s="79" customFormat="1" ht="15" customHeight="1" x14ac:dyDescent="0.25"/>
    <row r="1228" s="79" customFormat="1" ht="15" customHeight="1" x14ac:dyDescent="0.25"/>
    <row r="1229" s="79" customFormat="1" ht="15" customHeight="1" x14ac:dyDescent="0.25"/>
    <row r="1230" s="79" customFormat="1" ht="15" customHeight="1" x14ac:dyDescent="0.25"/>
    <row r="1231" s="79" customFormat="1" ht="15" customHeight="1" x14ac:dyDescent="0.25"/>
    <row r="1232" s="79" customFormat="1" ht="15" customHeight="1" x14ac:dyDescent="0.25"/>
    <row r="1233" s="79" customFormat="1" ht="15" customHeight="1" x14ac:dyDescent="0.25"/>
    <row r="1234" s="79" customFormat="1" ht="15" customHeight="1" x14ac:dyDescent="0.25"/>
    <row r="1235" s="79" customFormat="1" ht="15" customHeight="1" x14ac:dyDescent="0.25"/>
    <row r="1236" s="79" customFormat="1" ht="15" customHeight="1" x14ac:dyDescent="0.25"/>
    <row r="1237" s="79" customFormat="1" ht="15" customHeight="1" x14ac:dyDescent="0.25"/>
    <row r="1238" s="79" customFormat="1" ht="15" customHeight="1" x14ac:dyDescent="0.25"/>
    <row r="1239" s="79" customFormat="1" ht="15" customHeight="1" x14ac:dyDescent="0.25"/>
    <row r="1240" s="79" customFormat="1" ht="15" customHeight="1" x14ac:dyDescent="0.25"/>
    <row r="1241" s="79" customFormat="1" ht="15" customHeight="1" x14ac:dyDescent="0.25"/>
    <row r="1242" s="79" customFormat="1" ht="15" customHeight="1" x14ac:dyDescent="0.25"/>
    <row r="1243" s="79" customFormat="1" ht="15" customHeight="1" x14ac:dyDescent="0.25"/>
    <row r="1244" s="79" customFormat="1" ht="15" customHeight="1" x14ac:dyDescent="0.25"/>
    <row r="1245" s="79" customFormat="1" ht="15" customHeight="1" x14ac:dyDescent="0.25"/>
    <row r="1246" s="79" customFormat="1" ht="15" customHeight="1" x14ac:dyDescent="0.25"/>
    <row r="1247" s="79" customFormat="1" ht="15" customHeight="1" x14ac:dyDescent="0.25"/>
    <row r="1248" s="79" customFormat="1" ht="15" customHeight="1" x14ac:dyDescent="0.25"/>
    <row r="1249" s="79" customFormat="1" ht="15" customHeight="1" x14ac:dyDescent="0.25"/>
    <row r="1250" s="79" customFormat="1" ht="15" customHeight="1" x14ac:dyDescent="0.25"/>
    <row r="1251" s="79" customFormat="1" ht="15" customHeight="1" x14ac:dyDescent="0.25"/>
    <row r="1252" s="79" customFormat="1" ht="15" customHeight="1" x14ac:dyDescent="0.25"/>
    <row r="1253" s="79" customFormat="1" ht="15" customHeight="1" x14ac:dyDescent="0.25"/>
    <row r="1254" s="79" customFormat="1" ht="15" customHeight="1" x14ac:dyDescent="0.25"/>
    <row r="1255" s="79" customFormat="1" ht="15" customHeight="1" x14ac:dyDescent="0.25"/>
    <row r="1256" s="79" customFormat="1" ht="15" customHeight="1" x14ac:dyDescent="0.25"/>
    <row r="1257" s="79" customFormat="1" ht="15" customHeight="1" x14ac:dyDescent="0.25"/>
    <row r="1258" s="79" customFormat="1" ht="15" customHeight="1" x14ac:dyDescent="0.25"/>
    <row r="1259" s="79" customFormat="1" ht="15" customHeight="1" x14ac:dyDescent="0.25"/>
    <row r="1260" s="79" customFormat="1" ht="15" customHeight="1" x14ac:dyDescent="0.25"/>
    <row r="1261" s="79" customFormat="1" ht="15" customHeight="1" x14ac:dyDescent="0.25"/>
    <row r="1262" s="79" customFormat="1" ht="15" customHeight="1" x14ac:dyDescent="0.25"/>
    <row r="1263" s="79" customFormat="1" ht="15" customHeight="1" x14ac:dyDescent="0.25"/>
    <row r="1264" s="79" customFormat="1" ht="15" customHeight="1" x14ac:dyDescent="0.25"/>
    <row r="1265" s="79" customFormat="1" ht="15" customHeight="1" x14ac:dyDescent="0.25"/>
    <row r="1266" s="79" customFormat="1" ht="15" customHeight="1" x14ac:dyDescent="0.25"/>
    <row r="1267" s="79" customFormat="1" ht="15" customHeight="1" x14ac:dyDescent="0.25"/>
    <row r="1268" s="79" customFormat="1" ht="15" customHeight="1" x14ac:dyDescent="0.25"/>
    <row r="1269" s="79" customFormat="1" ht="15" customHeight="1" x14ac:dyDescent="0.25"/>
    <row r="1270" s="79" customFormat="1" ht="15" customHeight="1" x14ac:dyDescent="0.25"/>
    <row r="1271" s="79" customFormat="1" ht="15" customHeight="1" x14ac:dyDescent="0.25"/>
    <row r="1272" s="79" customFormat="1" ht="15" customHeight="1" x14ac:dyDescent="0.25"/>
    <row r="1273" s="79" customFormat="1" ht="15" customHeight="1" x14ac:dyDescent="0.25"/>
    <row r="1274" s="79" customFormat="1" ht="15" customHeight="1" x14ac:dyDescent="0.25"/>
    <row r="1275" s="79" customFormat="1" ht="15" customHeight="1" x14ac:dyDescent="0.25"/>
    <row r="1276" s="79" customFormat="1" ht="15" customHeight="1" x14ac:dyDescent="0.25"/>
    <row r="1277" s="79" customFormat="1" ht="15" customHeight="1" x14ac:dyDescent="0.25"/>
    <row r="1278" s="79" customFormat="1" ht="15" customHeight="1" x14ac:dyDescent="0.25"/>
    <row r="1279" s="79" customFormat="1" ht="15" customHeight="1" x14ac:dyDescent="0.25"/>
    <row r="1280" s="79" customFormat="1" ht="15" customHeight="1" x14ac:dyDescent="0.25"/>
    <row r="1281" s="79" customFormat="1" ht="15" customHeight="1" x14ac:dyDescent="0.25"/>
    <row r="1282" s="79" customFormat="1" ht="15" customHeight="1" x14ac:dyDescent="0.25"/>
    <row r="1283" s="79" customFormat="1" ht="15" customHeight="1" x14ac:dyDescent="0.25"/>
    <row r="1284" s="79" customFormat="1" ht="15" customHeight="1" x14ac:dyDescent="0.25"/>
    <row r="1285" s="79" customFormat="1" ht="15" customHeight="1" x14ac:dyDescent="0.25"/>
    <row r="1286" s="79" customFormat="1" ht="15" customHeight="1" x14ac:dyDescent="0.25"/>
    <row r="1287" s="79" customFormat="1" ht="15" customHeight="1" x14ac:dyDescent="0.25"/>
    <row r="1288" s="79" customFormat="1" ht="15" customHeight="1" x14ac:dyDescent="0.25"/>
    <row r="1289" s="79" customFormat="1" ht="15" customHeight="1" x14ac:dyDescent="0.25"/>
    <row r="1290" s="79" customFormat="1" ht="15" customHeight="1" x14ac:dyDescent="0.25"/>
    <row r="1291" s="79" customFormat="1" ht="15" customHeight="1" x14ac:dyDescent="0.25"/>
    <row r="1292" s="79" customFormat="1" ht="15" customHeight="1" x14ac:dyDescent="0.25"/>
    <row r="1293" s="79" customFormat="1" ht="15" customHeight="1" x14ac:dyDescent="0.25"/>
    <row r="1294" s="79" customFormat="1" ht="15" customHeight="1" x14ac:dyDescent="0.25"/>
    <row r="1295" s="79" customFormat="1" ht="15" customHeight="1" x14ac:dyDescent="0.25"/>
    <row r="1296" s="79" customFormat="1" ht="15" customHeight="1" x14ac:dyDescent="0.25"/>
    <row r="1297" s="79" customFormat="1" ht="15" customHeight="1" x14ac:dyDescent="0.25"/>
    <row r="1298" s="79" customFormat="1" ht="15" customHeight="1" x14ac:dyDescent="0.25"/>
    <row r="1299" s="79" customFormat="1" ht="15" customHeight="1" x14ac:dyDescent="0.25"/>
    <row r="1300" s="79" customFormat="1" ht="15" customHeight="1" x14ac:dyDescent="0.25"/>
    <row r="1301" s="79" customFormat="1" ht="15" customHeight="1" x14ac:dyDescent="0.25"/>
    <row r="1302" s="79" customFormat="1" ht="15" customHeight="1" x14ac:dyDescent="0.25"/>
    <row r="1303" s="79" customFormat="1" ht="15" customHeight="1" x14ac:dyDescent="0.25"/>
    <row r="1304" s="79" customFormat="1" ht="15" customHeight="1" x14ac:dyDescent="0.25"/>
    <row r="1305" s="79" customFormat="1" ht="15" customHeight="1" x14ac:dyDescent="0.25"/>
    <row r="1306" s="79" customFormat="1" ht="15" customHeight="1" x14ac:dyDescent="0.25"/>
    <row r="1307" s="79" customFormat="1" ht="15" customHeight="1" x14ac:dyDescent="0.25"/>
    <row r="1308" s="79" customFormat="1" ht="15" customHeight="1" x14ac:dyDescent="0.25"/>
    <row r="1309" s="79" customFormat="1" ht="15" customHeight="1" x14ac:dyDescent="0.25"/>
    <row r="1310" s="79" customFormat="1" ht="15" customHeight="1" x14ac:dyDescent="0.25"/>
    <row r="1311" s="79" customFormat="1" ht="15" customHeight="1" x14ac:dyDescent="0.25"/>
    <row r="1312" s="79" customFormat="1" ht="15" customHeight="1" x14ac:dyDescent="0.25"/>
    <row r="1313" s="79" customFormat="1" ht="15" customHeight="1" x14ac:dyDescent="0.25"/>
    <row r="1314" s="79" customFormat="1" ht="15" customHeight="1" x14ac:dyDescent="0.25"/>
    <row r="1315" s="79" customFormat="1" ht="15" customHeight="1" x14ac:dyDescent="0.25"/>
    <row r="1316" s="79" customFormat="1" ht="15" customHeight="1" x14ac:dyDescent="0.25"/>
    <row r="1317" s="79" customFormat="1" ht="15" customHeight="1" x14ac:dyDescent="0.25"/>
    <row r="1318" s="79" customFormat="1" ht="15" customHeight="1" x14ac:dyDescent="0.25"/>
    <row r="1319" s="79" customFormat="1" ht="15" customHeight="1" x14ac:dyDescent="0.25"/>
    <row r="1320" s="79" customFormat="1" ht="15" customHeight="1" x14ac:dyDescent="0.25"/>
    <row r="1321" s="79" customFormat="1" ht="15" customHeight="1" x14ac:dyDescent="0.25"/>
    <row r="1322" s="79" customFormat="1" ht="15" customHeight="1" x14ac:dyDescent="0.25"/>
    <row r="1323" s="79" customFormat="1" ht="15" customHeight="1" x14ac:dyDescent="0.25"/>
    <row r="1324" s="79" customFormat="1" ht="15" customHeight="1" x14ac:dyDescent="0.25"/>
    <row r="1325" s="79" customFormat="1" ht="15" customHeight="1" x14ac:dyDescent="0.25"/>
    <row r="1326" s="79" customFormat="1" ht="15" customHeight="1" x14ac:dyDescent="0.25"/>
    <row r="1327" s="79" customFormat="1" ht="15" customHeight="1" x14ac:dyDescent="0.25"/>
    <row r="1328" s="79" customFormat="1" ht="15" customHeight="1" x14ac:dyDescent="0.25"/>
    <row r="1329" s="79" customFormat="1" ht="15" customHeight="1" x14ac:dyDescent="0.25"/>
    <row r="1330" s="79" customFormat="1" ht="15" customHeight="1" x14ac:dyDescent="0.25"/>
    <row r="1331" s="79" customFormat="1" ht="15" customHeight="1" x14ac:dyDescent="0.25"/>
    <row r="1332" s="79" customFormat="1" ht="15" customHeight="1" x14ac:dyDescent="0.25"/>
    <row r="1333" s="79" customFormat="1" ht="15" customHeight="1" x14ac:dyDescent="0.25"/>
    <row r="1334" s="79" customFormat="1" ht="15" customHeight="1" x14ac:dyDescent="0.25"/>
    <row r="1335" s="79" customFormat="1" ht="15" customHeight="1" x14ac:dyDescent="0.25"/>
    <row r="1336" s="79" customFormat="1" ht="15" customHeight="1" x14ac:dyDescent="0.25"/>
    <row r="1337" s="79" customFormat="1" ht="15" customHeight="1" x14ac:dyDescent="0.25"/>
    <row r="1338" s="79" customFormat="1" ht="15" customHeight="1" x14ac:dyDescent="0.25"/>
    <row r="1339" s="79" customFormat="1" ht="15" customHeight="1" x14ac:dyDescent="0.25"/>
    <row r="1340" s="79" customFormat="1" ht="15" customHeight="1" x14ac:dyDescent="0.25"/>
    <row r="1341" s="79" customFormat="1" ht="15" customHeight="1" x14ac:dyDescent="0.25"/>
    <row r="1342" s="79" customFormat="1" ht="15" customHeight="1" x14ac:dyDescent="0.25"/>
    <row r="1343" s="79" customFormat="1" ht="15" customHeight="1" x14ac:dyDescent="0.25"/>
    <row r="1344" s="79" customFormat="1" ht="15" customHeight="1" x14ac:dyDescent="0.25"/>
    <row r="1345" s="79" customFormat="1" ht="15" customHeight="1" x14ac:dyDescent="0.25"/>
    <row r="1346" s="79" customFormat="1" ht="15" customHeight="1" x14ac:dyDescent="0.25"/>
    <row r="1347" s="79" customFormat="1" ht="15" customHeight="1" x14ac:dyDescent="0.25"/>
    <row r="1348" s="79" customFormat="1" ht="15" customHeight="1" x14ac:dyDescent="0.25"/>
    <row r="1349" s="79" customFormat="1" ht="15" customHeight="1" x14ac:dyDescent="0.25"/>
    <row r="1350" s="79" customFormat="1" ht="15" customHeight="1" x14ac:dyDescent="0.25"/>
    <row r="1351" s="79" customFormat="1" ht="15" customHeight="1" x14ac:dyDescent="0.25"/>
    <row r="1352" s="79" customFormat="1" ht="15" customHeight="1" x14ac:dyDescent="0.25"/>
    <row r="1353" s="79" customFormat="1" ht="15" customHeight="1" x14ac:dyDescent="0.25"/>
    <row r="1354" s="79" customFormat="1" ht="15" customHeight="1" x14ac:dyDescent="0.25"/>
    <row r="1355" s="79" customFormat="1" ht="15" customHeight="1" x14ac:dyDescent="0.25"/>
    <row r="1356" s="79" customFormat="1" ht="15" customHeight="1" x14ac:dyDescent="0.25"/>
    <row r="1357" s="79" customFormat="1" ht="15" customHeight="1" x14ac:dyDescent="0.25"/>
    <row r="1358" s="79" customFormat="1" ht="15" customHeight="1" x14ac:dyDescent="0.25"/>
    <row r="1359" s="79" customFormat="1" ht="15" customHeight="1" x14ac:dyDescent="0.25"/>
    <row r="1360" s="79" customFormat="1" ht="15" customHeight="1" x14ac:dyDescent="0.25"/>
    <row r="1361" s="79" customFormat="1" ht="15" customHeight="1" x14ac:dyDescent="0.25"/>
    <row r="1362" s="79" customFormat="1" ht="15" customHeight="1" x14ac:dyDescent="0.25"/>
    <row r="1363" s="79" customFormat="1" ht="15" customHeight="1" x14ac:dyDescent="0.25"/>
    <row r="1364" s="79" customFormat="1" ht="15" customHeight="1" x14ac:dyDescent="0.25"/>
    <row r="1365" s="79" customFormat="1" ht="15" customHeight="1" x14ac:dyDescent="0.25"/>
    <row r="1366" s="79" customFormat="1" ht="15" customHeight="1" x14ac:dyDescent="0.25"/>
    <row r="1367" s="79" customFormat="1" ht="15" customHeight="1" x14ac:dyDescent="0.25"/>
    <row r="1368" s="79" customFormat="1" ht="15" customHeight="1" x14ac:dyDescent="0.25"/>
    <row r="1369" s="79" customFormat="1" ht="15" customHeight="1" x14ac:dyDescent="0.25"/>
    <row r="1370" s="79" customFormat="1" ht="15" customHeight="1" x14ac:dyDescent="0.25"/>
    <row r="1371" s="79" customFormat="1" ht="15" customHeight="1" x14ac:dyDescent="0.25"/>
    <row r="1372" s="79" customFormat="1" ht="15" customHeight="1" x14ac:dyDescent="0.25"/>
    <row r="1373" s="79" customFormat="1" ht="15" customHeight="1" x14ac:dyDescent="0.25"/>
    <row r="1374" s="79" customFormat="1" ht="15" customHeight="1" x14ac:dyDescent="0.25"/>
    <row r="1375" s="79" customFormat="1" ht="15" customHeight="1" x14ac:dyDescent="0.25"/>
    <row r="1376" s="79" customFormat="1" ht="15" customHeight="1" x14ac:dyDescent="0.25"/>
    <row r="1377" s="79" customFormat="1" ht="15" customHeight="1" x14ac:dyDescent="0.25"/>
    <row r="1378" s="79" customFormat="1" ht="15" customHeight="1" x14ac:dyDescent="0.25"/>
    <row r="1379" s="79" customFormat="1" ht="15" customHeight="1" x14ac:dyDescent="0.25"/>
    <row r="1380" s="79" customFormat="1" ht="15" customHeight="1" x14ac:dyDescent="0.25"/>
    <row r="1381" s="79" customFormat="1" ht="15" customHeight="1" x14ac:dyDescent="0.25"/>
    <row r="1382" s="79" customFormat="1" ht="15" customHeight="1" x14ac:dyDescent="0.25"/>
    <row r="1383" s="79" customFormat="1" ht="15" customHeight="1" x14ac:dyDescent="0.25"/>
    <row r="1384" s="79" customFormat="1" ht="15" customHeight="1" x14ac:dyDescent="0.25"/>
    <row r="1385" s="79" customFormat="1" ht="15" customHeight="1" x14ac:dyDescent="0.25"/>
    <row r="1386" s="79" customFormat="1" ht="15" customHeight="1" x14ac:dyDescent="0.25"/>
    <row r="1387" s="79" customFormat="1" ht="15" customHeight="1" x14ac:dyDescent="0.25"/>
    <row r="1388" s="79" customFormat="1" ht="15" customHeight="1" x14ac:dyDescent="0.25"/>
    <row r="1389" s="79" customFormat="1" ht="15" customHeight="1" x14ac:dyDescent="0.25"/>
    <row r="1390" s="79" customFormat="1" ht="15" customHeight="1" x14ac:dyDescent="0.25"/>
    <row r="1391" s="79" customFormat="1" ht="15" customHeight="1" x14ac:dyDescent="0.25"/>
    <row r="1392" s="79" customFormat="1" ht="15" customHeight="1" x14ac:dyDescent="0.25"/>
    <row r="1393" s="79" customFormat="1" ht="15" customHeight="1" x14ac:dyDescent="0.25"/>
    <row r="1394" s="79" customFormat="1" ht="15" customHeight="1" x14ac:dyDescent="0.25"/>
    <row r="1395" s="79" customFormat="1" ht="15" customHeight="1" x14ac:dyDescent="0.25"/>
    <row r="1396" s="79" customFormat="1" ht="15" customHeight="1" x14ac:dyDescent="0.25"/>
    <row r="1397" s="79" customFormat="1" ht="15" customHeight="1" x14ac:dyDescent="0.25"/>
    <row r="1398" s="79" customFormat="1" ht="15" customHeight="1" x14ac:dyDescent="0.25"/>
    <row r="1399" s="79" customFormat="1" ht="15" customHeight="1" x14ac:dyDescent="0.25"/>
    <row r="1400" s="79" customFormat="1" ht="15" customHeight="1" x14ac:dyDescent="0.25"/>
    <row r="1401" s="79" customFormat="1" ht="15" customHeight="1" x14ac:dyDescent="0.25"/>
    <row r="1402" s="79" customFormat="1" ht="15" customHeight="1" x14ac:dyDescent="0.25"/>
    <row r="1403" s="79" customFormat="1" ht="15" customHeight="1" x14ac:dyDescent="0.25"/>
    <row r="1404" s="79" customFormat="1" ht="15" customHeight="1" x14ac:dyDescent="0.25"/>
    <row r="1405" s="79" customFormat="1" ht="15" customHeight="1" x14ac:dyDescent="0.25"/>
    <row r="1406" s="79" customFormat="1" ht="15" customHeight="1" x14ac:dyDescent="0.25"/>
    <row r="1407" s="79" customFormat="1" ht="15" customHeight="1" x14ac:dyDescent="0.25"/>
    <row r="1408" s="79" customFormat="1" ht="15" customHeight="1" x14ac:dyDescent="0.25"/>
    <row r="1409" s="79" customFormat="1" ht="15" customHeight="1" x14ac:dyDescent="0.25"/>
    <row r="1410" s="79" customFormat="1" ht="15" customHeight="1" x14ac:dyDescent="0.25"/>
    <row r="1411" s="79" customFormat="1" ht="15" customHeight="1" x14ac:dyDescent="0.25"/>
    <row r="1412" s="79" customFormat="1" ht="15" customHeight="1" x14ac:dyDescent="0.25"/>
    <row r="1413" s="79" customFormat="1" ht="15" customHeight="1" x14ac:dyDescent="0.25"/>
    <row r="1414" s="79" customFormat="1" ht="15" customHeight="1" x14ac:dyDescent="0.25"/>
    <row r="1415" s="79" customFormat="1" ht="15" customHeight="1" x14ac:dyDescent="0.25"/>
    <row r="1416" s="79" customFormat="1" ht="15" customHeight="1" x14ac:dyDescent="0.25"/>
    <row r="1417" s="79" customFormat="1" ht="15" customHeight="1" x14ac:dyDescent="0.25"/>
    <row r="1418" s="79" customFormat="1" ht="15" customHeight="1" x14ac:dyDescent="0.25"/>
    <row r="1419" s="79" customFormat="1" ht="15" customHeight="1" x14ac:dyDescent="0.25"/>
    <row r="1420" s="79" customFormat="1" ht="15" customHeight="1" x14ac:dyDescent="0.25"/>
    <row r="1421" s="79" customFormat="1" ht="15" customHeight="1" x14ac:dyDescent="0.25"/>
    <row r="1422" s="79" customFormat="1" ht="15" customHeight="1" x14ac:dyDescent="0.25"/>
    <row r="1423" s="79" customFormat="1" ht="15" customHeight="1" x14ac:dyDescent="0.25"/>
    <row r="1424" s="79" customFormat="1" ht="15" customHeight="1" x14ac:dyDescent="0.25"/>
    <row r="1425" s="79" customFormat="1" ht="15" customHeight="1" x14ac:dyDescent="0.25"/>
    <row r="1426" s="79" customFormat="1" ht="15" customHeight="1" x14ac:dyDescent="0.25"/>
    <row r="1427" s="79" customFormat="1" ht="15" customHeight="1" x14ac:dyDescent="0.25"/>
    <row r="1428" s="79" customFormat="1" ht="15" customHeight="1" x14ac:dyDescent="0.25"/>
    <row r="1429" s="79" customFormat="1" ht="15" customHeight="1" x14ac:dyDescent="0.25"/>
    <row r="1430" s="79" customFormat="1" ht="15" customHeight="1" x14ac:dyDescent="0.25"/>
    <row r="1431" s="79" customFormat="1" ht="15" customHeight="1" x14ac:dyDescent="0.25"/>
    <row r="1432" s="79" customFormat="1" ht="15" customHeight="1" x14ac:dyDescent="0.25"/>
    <row r="1433" s="79" customFormat="1" ht="15" customHeight="1" x14ac:dyDescent="0.25"/>
    <row r="1434" s="79" customFormat="1" ht="15" customHeight="1" x14ac:dyDescent="0.25"/>
    <row r="1435" s="79" customFormat="1" ht="15" customHeight="1" x14ac:dyDescent="0.25"/>
    <row r="1436" s="79" customFormat="1" ht="15" customHeight="1" x14ac:dyDescent="0.25"/>
    <row r="1437" s="79" customFormat="1" ht="15" customHeight="1" x14ac:dyDescent="0.25"/>
    <row r="1438" s="79" customFormat="1" ht="15" customHeight="1" x14ac:dyDescent="0.25"/>
    <row r="1439" s="79" customFormat="1" ht="15" customHeight="1" x14ac:dyDescent="0.25"/>
    <row r="1440" s="79" customFormat="1" ht="15" customHeight="1" x14ac:dyDescent="0.25"/>
    <row r="1441" s="79" customFormat="1" ht="15" customHeight="1" x14ac:dyDescent="0.25"/>
    <row r="1442" s="79" customFormat="1" ht="15" customHeight="1" x14ac:dyDescent="0.25"/>
    <row r="1443" s="79" customFormat="1" ht="15" customHeight="1" x14ac:dyDescent="0.25"/>
    <row r="1444" s="79" customFormat="1" ht="15" customHeight="1" x14ac:dyDescent="0.25"/>
    <row r="1445" s="79" customFormat="1" ht="15" customHeight="1" x14ac:dyDescent="0.25"/>
    <row r="1446" s="79" customFormat="1" ht="15" customHeight="1" x14ac:dyDescent="0.25"/>
    <row r="1447" s="79" customFormat="1" ht="15" customHeight="1" x14ac:dyDescent="0.25"/>
    <row r="1448" s="79" customFormat="1" ht="15" customHeight="1" x14ac:dyDescent="0.25"/>
    <row r="1449" s="79" customFormat="1" ht="15" customHeight="1" x14ac:dyDescent="0.25"/>
    <row r="1450" s="79" customFormat="1" ht="15" customHeight="1" x14ac:dyDescent="0.25"/>
    <row r="1451" s="79" customFormat="1" ht="15" customHeight="1" x14ac:dyDescent="0.25"/>
    <row r="1452" s="79" customFormat="1" ht="15" customHeight="1" x14ac:dyDescent="0.25"/>
    <row r="1453" s="79" customFormat="1" ht="15" customHeight="1" x14ac:dyDescent="0.25"/>
    <row r="1454" s="79" customFormat="1" ht="15" customHeight="1" x14ac:dyDescent="0.25"/>
    <row r="1455" s="79" customFormat="1" ht="15" customHeight="1" x14ac:dyDescent="0.25"/>
    <row r="1456" s="79" customFormat="1" ht="15" customHeight="1" x14ac:dyDescent="0.25"/>
    <row r="1457" s="79" customFormat="1" ht="15" customHeight="1" x14ac:dyDescent="0.25"/>
    <row r="1458" s="79" customFormat="1" ht="15" customHeight="1" x14ac:dyDescent="0.25"/>
    <row r="1459" s="79" customFormat="1" ht="15" customHeight="1" x14ac:dyDescent="0.25"/>
    <row r="1460" s="79" customFormat="1" ht="15" customHeight="1" x14ac:dyDescent="0.25"/>
    <row r="1461" s="79" customFormat="1" ht="15" customHeight="1" x14ac:dyDescent="0.25"/>
    <row r="1462" s="79" customFormat="1" ht="15" customHeight="1" x14ac:dyDescent="0.25"/>
    <row r="1463" s="79" customFormat="1" ht="15" customHeight="1" x14ac:dyDescent="0.25"/>
    <row r="1464" s="79" customFormat="1" ht="15" customHeight="1" x14ac:dyDescent="0.25"/>
    <row r="1465" s="79" customFormat="1" ht="15" customHeight="1" x14ac:dyDescent="0.25"/>
    <row r="1466" s="79" customFormat="1" ht="15" customHeight="1" x14ac:dyDescent="0.25"/>
    <row r="1467" s="79" customFormat="1" ht="15" customHeight="1" x14ac:dyDescent="0.25"/>
    <row r="1468" s="79" customFormat="1" ht="15" customHeight="1" x14ac:dyDescent="0.25"/>
    <row r="1469" s="79" customFormat="1" ht="15" customHeight="1" x14ac:dyDescent="0.25"/>
    <row r="1470" s="79" customFormat="1" ht="15" customHeight="1" x14ac:dyDescent="0.25"/>
    <row r="1471" s="79" customFormat="1" ht="15" customHeight="1" x14ac:dyDescent="0.25"/>
    <row r="1472" s="79" customFormat="1" ht="15" customHeight="1" x14ac:dyDescent="0.25"/>
    <row r="1473" s="79" customFormat="1" ht="15" customHeight="1" x14ac:dyDescent="0.25"/>
    <row r="1474" s="79" customFormat="1" ht="15" customHeight="1" x14ac:dyDescent="0.25"/>
    <row r="1475" s="79" customFormat="1" ht="15" customHeight="1" x14ac:dyDescent="0.25"/>
    <row r="1476" s="79" customFormat="1" ht="15" customHeight="1" x14ac:dyDescent="0.25"/>
    <row r="1477" s="79" customFormat="1" ht="15" customHeight="1" x14ac:dyDescent="0.25"/>
    <row r="1478" s="79" customFormat="1" ht="15" customHeight="1" x14ac:dyDescent="0.25"/>
    <row r="1479" s="79" customFormat="1" ht="15" customHeight="1" x14ac:dyDescent="0.25"/>
    <row r="1480" s="79" customFormat="1" ht="15" customHeight="1" x14ac:dyDescent="0.25"/>
    <row r="1481" s="79" customFormat="1" ht="15" customHeight="1" x14ac:dyDescent="0.25"/>
    <row r="1482" s="79" customFormat="1" ht="15" customHeight="1" x14ac:dyDescent="0.25"/>
    <row r="1483" s="79" customFormat="1" ht="15" customHeight="1" x14ac:dyDescent="0.25"/>
    <row r="1484" s="79" customFormat="1" ht="15" customHeight="1" x14ac:dyDescent="0.25"/>
    <row r="1485" s="79" customFormat="1" ht="15" customHeight="1" x14ac:dyDescent="0.25"/>
    <row r="1486" s="79" customFormat="1" ht="15" customHeight="1" x14ac:dyDescent="0.25"/>
    <row r="1487" s="79" customFormat="1" ht="15" customHeight="1" x14ac:dyDescent="0.25"/>
    <row r="1488" s="79" customFormat="1" ht="15" customHeight="1" x14ac:dyDescent="0.25"/>
    <row r="1489" s="79" customFormat="1" ht="15" customHeight="1" x14ac:dyDescent="0.25"/>
    <row r="1490" s="79" customFormat="1" ht="15" customHeight="1" x14ac:dyDescent="0.25"/>
    <row r="1491" s="79" customFormat="1" ht="15" customHeight="1" x14ac:dyDescent="0.25"/>
    <row r="1492" s="79" customFormat="1" ht="15" customHeight="1" x14ac:dyDescent="0.25"/>
    <row r="1493" s="79" customFormat="1" ht="15" customHeight="1" x14ac:dyDescent="0.25"/>
    <row r="1494" s="79" customFormat="1" ht="15" customHeight="1" x14ac:dyDescent="0.25"/>
    <row r="1495" s="79" customFormat="1" ht="15" customHeight="1" x14ac:dyDescent="0.25"/>
    <row r="1496" s="79" customFormat="1" ht="15" customHeight="1" x14ac:dyDescent="0.25"/>
    <row r="1497" s="79" customFormat="1" ht="15" customHeight="1" x14ac:dyDescent="0.25"/>
    <row r="1498" s="79" customFormat="1" ht="15" customHeight="1" x14ac:dyDescent="0.25"/>
    <row r="1499" s="79" customFormat="1" ht="15" customHeight="1" x14ac:dyDescent="0.25"/>
    <row r="1500" s="79" customFormat="1" ht="15" customHeight="1" x14ac:dyDescent="0.25"/>
    <row r="1501" s="79" customFormat="1" ht="15" customHeight="1" x14ac:dyDescent="0.25"/>
    <row r="1502" s="79" customFormat="1" ht="15" customHeight="1" x14ac:dyDescent="0.25"/>
    <row r="1503" s="79" customFormat="1" ht="15" customHeight="1" x14ac:dyDescent="0.25"/>
    <row r="1504" s="79" customFormat="1" ht="15" customHeight="1" x14ac:dyDescent="0.25"/>
    <row r="1505" s="79" customFormat="1" ht="15" customHeight="1" x14ac:dyDescent="0.25"/>
    <row r="1506" s="79" customFormat="1" ht="15" customHeight="1" x14ac:dyDescent="0.25"/>
    <row r="1507" s="79" customFormat="1" ht="15" customHeight="1" x14ac:dyDescent="0.25"/>
    <row r="1508" s="79" customFormat="1" ht="15" customHeight="1" x14ac:dyDescent="0.25"/>
    <row r="1509" s="79" customFormat="1" ht="15" customHeight="1" x14ac:dyDescent="0.25"/>
    <row r="1510" s="79" customFormat="1" ht="15" customHeight="1" x14ac:dyDescent="0.25"/>
    <row r="1511" s="79" customFormat="1" ht="15" customHeight="1" x14ac:dyDescent="0.25"/>
    <row r="1512" s="79" customFormat="1" ht="15" customHeight="1" x14ac:dyDescent="0.25"/>
    <row r="1513" s="79" customFormat="1" ht="15" customHeight="1" x14ac:dyDescent="0.25"/>
    <row r="1514" s="79" customFormat="1" ht="15" customHeight="1" x14ac:dyDescent="0.25"/>
  </sheetData>
  <sheetProtection selectLockedCells="1"/>
  <mergeCells count="5">
    <mergeCell ref="C2:AG2"/>
    <mergeCell ref="AH2:AH3"/>
    <mergeCell ref="AI2:AL3"/>
    <mergeCell ref="AM2:AP3"/>
    <mergeCell ref="AQ2:AR3"/>
  </mergeCells>
  <conditionalFormatting sqref="C49:K49 M49:AG49 M50:O50">
    <cfRule type="expression" priority="1921" stopIfTrue="1">
      <formula>C49=""</formula>
    </cfRule>
    <cfRule type="expression" dxfId="16679" priority="1922" stopIfTrue="1">
      <formula>C49=CléPersonnalisée2</formula>
    </cfRule>
    <cfRule type="expression" dxfId="16678" priority="1923" stopIfTrue="1">
      <formula>C49=CléPersonnalisée1</formula>
    </cfRule>
    <cfRule type="expression" dxfId="16677" priority="1924" stopIfTrue="1">
      <formula>C49=CléMaladie</formula>
    </cfRule>
    <cfRule type="expression" dxfId="16676" priority="1925" stopIfTrue="1">
      <formula>C49=CléPersonnelle</formula>
    </cfRule>
    <cfRule type="expression" dxfId="16675" priority="1926" stopIfTrue="1">
      <formula>C49=CléCongés</formula>
    </cfRule>
  </conditionalFormatting>
  <conditionalFormatting sqref="C17:C18 C5:AG7 C9:AG11">
    <cfRule type="expression" priority="1896" stopIfTrue="1">
      <formula>C5=""</formula>
    </cfRule>
    <cfRule type="expression" dxfId="16659" priority="1897" stopIfTrue="1">
      <formula>C5=CléPersonnalisée2</formula>
    </cfRule>
    <cfRule type="expression" dxfId="16658" priority="1898" stopIfTrue="1">
      <formula>C5=CléPersonnalisée1</formula>
    </cfRule>
    <cfRule type="expression" dxfId="16657" priority="1899" stopIfTrue="1">
      <formula>C5=CléMaladie</formula>
    </cfRule>
    <cfRule type="expression" dxfId="16656" priority="1900" stopIfTrue="1">
      <formula>C5=CléPersonnelle</formula>
    </cfRule>
    <cfRule type="expression" dxfId="16655" priority="1901" stopIfTrue="1">
      <formula>C5=CléCongés</formula>
    </cfRule>
  </conditionalFormatting>
  <conditionalFormatting sqref="AH9:AH11 AH5:AH6">
    <cfRule type="dataBar" priority="1902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{F5F98DCB-B4F4-4205-B4E1-C53093753B25}</x14:id>
        </ext>
      </extLst>
    </cfRule>
  </conditionalFormatting>
  <conditionalFormatting sqref="AI5:AL6 AI9:AL11">
    <cfRule type="expression" priority="1890" stopIfTrue="1">
      <formula>AI5=""</formula>
    </cfRule>
    <cfRule type="expression" dxfId="16654" priority="1891" stopIfTrue="1">
      <formula>AI5=CléPersonnalisée2</formula>
    </cfRule>
    <cfRule type="expression" dxfId="16653" priority="1892" stopIfTrue="1">
      <formula>AI5=CléPersonnalisée1</formula>
    </cfRule>
    <cfRule type="expression" dxfId="16652" priority="1893" stopIfTrue="1">
      <formula>AI5=CléMaladie</formula>
    </cfRule>
    <cfRule type="expression" dxfId="16651" priority="1894" stopIfTrue="1">
      <formula>AI5=CléPersonnelle</formula>
    </cfRule>
    <cfRule type="expression" dxfId="16650" priority="1895" stopIfTrue="1">
      <formula>AI5=CléCongés</formula>
    </cfRule>
  </conditionalFormatting>
  <conditionalFormatting sqref="AM5:AP6 AM9:AP10">
    <cfRule type="expression" priority="1884" stopIfTrue="1">
      <formula>AM5=""</formula>
    </cfRule>
    <cfRule type="expression" dxfId="16649" priority="1885" stopIfTrue="1">
      <formula>AM5=CléPersonnalisée2</formula>
    </cfRule>
    <cfRule type="expression" dxfId="16648" priority="1886" stopIfTrue="1">
      <formula>AM5=CléPersonnalisée1</formula>
    </cfRule>
    <cfRule type="expression" dxfId="16647" priority="1887" stopIfTrue="1">
      <formula>AM5=CléMaladie</formula>
    </cfRule>
    <cfRule type="expression" dxfId="16646" priority="1888" stopIfTrue="1">
      <formula>AM5=CléPersonnelle</formula>
    </cfRule>
    <cfRule type="expression" dxfId="16645" priority="1889" stopIfTrue="1">
      <formula>AM5=CléCongés</formula>
    </cfRule>
  </conditionalFormatting>
  <conditionalFormatting sqref="AQ5:AR6 AQ9:AR10 AQ32:AR32 AQ44:AR44">
    <cfRule type="expression" priority="1878" stopIfTrue="1">
      <formula>AQ5=""</formula>
    </cfRule>
    <cfRule type="expression" dxfId="16644" priority="1879" stopIfTrue="1">
      <formula>AQ5=CléPersonnalisée2</formula>
    </cfRule>
    <cfRule type="expression" dxfId="16643" priority="1880" stopIfTrue="1">
      <formula>AQ5=CléPersonnalisée1</formula>
    </cfRule>
    <cfRule type="expression" dxfId="16642" priority="1881" stopIfTrue="1">
      <formula>AQ5=CléMaladie</formula>
    </cfRule>
    <cfRule type="expression" dxfId="16641" priority="1882" stopIfTrue="1">
      <formula>AQ5=CléPersonnelle</formula>
    </cfRule>
    <cfRule type="expression" dxfId="16640" priority="1883" stopIfTrue="1">
      <formula>AQ5=CléCongés</formula>
    </cfRule>
  </conditionalFormatting>
  <conditionalFormatting sqref="AP7:AP8">
    <cfRule type="expression" priority="1872" stopIfTrue="1">
      <formula>AP7=""</formula>
    </cfRule>
    <cfRule type="expression" dxfId="16639" priority="1873" stopIfTrue="1">
      <formula>AP7=CléPersonnalisée2</formula>
    </cfRule>
    <cfRule type="expression" dxfId="16638" priority="1874" stopIfTrue="1">
      <formula>AP7=CléPersonnalisée1</formula>
    </cfRule>
    <cfRule type="expression" dxfId="16637" priority="1875" stopIfTrue="1">
      <formula>AP7=CléMaladie</formula>
    </cfRule>
    <cfRule type="expression" dxfId="16636" priority="1876" stopIfTrue="1">
      <formula>AP7=CléPersonnelle</formula>
    </cfRule>
    <cfRule type="expression" dxfId="16635" priority="1877" stopIfTrue="1">
      <formula>AP7=CléCongés</formula>
    </cfRule>
  </conditionalFormatting>
  <conditionalFormatting sqref="AQ8:AR8 AR7">
    <cfRule type="expression" priority="1866" stopIfTrue="1">
      <formula>AQ7=""</formula>
    </cfRule>
    <cfRule type="expression" dxfId="16634" priority="1867" stopIfTrue="1">
      <formula>AQ7=CléPersonnalisée2</formula>
    </cfRule>
    <cfRule type="expression" dxfId="16633" priority="1868" stopIfTrue="1">
      <formula>AQ7=CléPersonnalisée1</formula>
    </cfRule>
    <cfRule type="expression" dxfId="16632" priority="1869" stopIfTrue="1">
      <formula>AQ7=CléMaladie</formula>
    </cfRule>
    <cfRule type="expression" dxfId="16631" priority="1870" stopIfTrue="1">
      <formula>AQ7=CléPersonnelle</formula>
    </cfRule>
    <cfRule type="expression" dxfId="16630" priority="1871" stopIfTrue="1">
      <formula>AQ7=CléCongés</formula>
    </cfRule>
  </conditionalFormatting>
  <conditionalFormatting sqref="AM11 AP11">
    <cfRule type="expression" priority="1860" stopIfTrue="1">
      <formula>AM11=""</formula>
    </cfRule>
    <cfRule type="expression" dxfId="16629" priority="1861" stopIfTrue="1">
      <formula>AM11=CléPersonnalisée2</formula>
    </cfRule>
    <cfRule type="expression" dxfId="16628" priority="1862" stopIfTrue="1">
      <formula>AM11=CléPersonnalisée1</formula>
    </cfRule>
    <cfRule type="expression" dxfId="16627" priority="1863" stopIfTrue="1">
      <formula>AM11=CléMaladie</formula>
    </cfRule>
    <cfRule type="expression" dxfId="16626" priority="1864" stopIfTrue="1">
      <formula>AM11=CléPersonnelle</formula>
    </cfRule>
    <cfRule type="expression" dxfId="16625" priority="1865" stopIfTrue="1">
      <formula>AM11=CléCongés</formula>
    </cfRule>
  </conditionalFormatting>
  <conditionalFormatting sqref="AQ48:AR48">
    <cfRule type="expression" priority="1854" stopIfTrue="1">
      <formula>AQ48=""</formula>
    </cfRule>
    <cfRule type="expression" dxfId="16624" priority="1855" stopIfTrue="1">
      <formula>AQ48=CléPersonnalisée2</formula>
    </cfRule>
    <cfRule type="expression" dxfId="16623" priority="1856" stopIfTrue="1">
      <formula>AQ48=CléPersonnalisée1</formula>
    </cfRule>
    <cfRule type="expression" dxfId="16622" priority="1857" stopIfTrue="1">
      <formula>AQ48=CléMaladie</formula>
    </cfRule>
    <cfRule type="expression" dxfId="16621" priority="1858" stopIfTrue="1">
      <formula>AQ48=CléPersonnelle</formula>
    </cfRule>
    <cfRule type="expression" dxfId="16620" priority="1859" stopIfTrue="1">
      <formula>AQ48=CléCongés</formula>
    </cfRule>
  </conditionalFormatting>
  <conditionalFormatting sqref="AQ52:AR52">
    <cfRule type="expression" priority="1848" stopIfTrue="1">
      <formula>AQ52=""</formula>
    </cfRule>
    <cfRule type="expression" dxfId="16619" priority="1849" stopIfTrue="1">
      <formula>AQ52=CléPersonnalisée2</formula>
    </cfRule>
    <cfRule type="expression" dxfId="16618" priority="1850" stopIfTrue="1">
      <formula>AQ52=CléPersonnalisée1</formula>
    </cfRule>
    <cfRule type="expression" dxfId="16617" priority="1851" stopIfTrue="1">
      <formula>AQ52=CléMaladie</formula>
    </cfRule>
    <cfRule type="expression" dxfId="16616" priority="1852" stopIfTrue="1">
      <formula>AQ52=CléPersonnelle</formula>
    </cfRule>
    <cfRule type="expression" dxfId="16615" priority="1853" stopIfTrue="1">
      <formula>AQ52=CléCongés</formula>
    </cfRule>
  </conditionalFormatting>
  <conditionalFormatting sqref="AQ56:AR56 AQ60:AR60">
    <cfRule type="expression" priority="1842" stopIfTrue="1">
      <formula>AQ56=""</formula>
    </cfRule>
    <cfRule type="expression" dxfId="16614" priority="1843" stopIfTrue="1">
      <formula>AQ56=CléPersonnalisée2</formula>
    </cfRule>
    <cfRule type="expression" dxfId="16613" priority="1844" stopIfTrue="1">
      <formula>AQ56=CléPersonnalisée1</formula>
    </cfRule>
    <cfRule type="expression" dxfId="16612" priority="1845" stopIfTrue="1">
      <formula>AQ56=CléMaladie</formula>
    </cfRule>
    <cfRule type="expression" dxfId="16611" priority="1846" stopIfTrue="1">
      <formula>AQ56=CléPersonnelle</formula>
    </cfRule>
    <cfRule type="expression" dxfId="16610" priority="1847" stopIfTrue="1">
      <formula>AQ56=CléCongés</formula>
    </cfRule>
  </conditionalFormatting>
  <conditionalFormatting sqref="AQ64:AR64 AQ68:AR68">
    <cfRule type="expression" priority="1836" stopIfTrue="1">
      <formula>AQ64=""</formula>
    </cfRule>
    <cfRule type="expression" dxfId="16609" priority="1837" stopIfTrue="1">
      <formula>AQ64=CléPersonnalisée2</formula>
    </cfRule>
    <cfRule type="expression" dxfId="16608" priority="1838" stopIfTrue="1">
      <formula>AQ64=CléPersonnalisée1</formula>
    </cfRule>
    <cfRule type="expression" dxfId="16607" priority="1839" stopIfTrue="1">
      <formula>AQ64=CléMaladie</formula>
    </cfRule>
    <cfRule type="expression" dxfId="16606" priority="1840" stopIfTrue="1">
      <formula>AQ64=CléPersonnelle</formula>
    </cfRule>
    <cfRule type="expression" dxfId="16605" priority="1841" stopIfTrue="1">
      <formula>AQ64=CléCongés</formula>
    </cfRule>
  </conditionalFormatting>
  <conditionalFormatting sqref="AQ72:AR72 AQ76:AR76 AQ84:AR84 AQ88:AR88 AQ92:AR92 AQ80:AR80">
    <cfRule type="expression" priority="1830" stopIfTrue="1">
      <formula>AQ72=""</formula>
    </cfRule>
    <cfRule type="expression" dxfId="16604" priority="1831" stopIfTrue="1">
      <formula>AQ72=CléPersonnalisée2</formula>
    </cfRule>
    <cfRule type="expression" dxfId="16603" priority="1832" stopIfTrue="1">
      <formula>AQ72=CléPersonnalisée1</formula>
    </cfRule>
    <cfRule type="expression" dxfId="16602" priority="1833" stopIfTrue="1">
      <formula>AQ72=CléMaladie</formula>
    </cfRule>
    <cfRule type="expression" dxfId="16601" priority="1834" stopIfTrue="1">
      <formula>AQ72=CléPersonnelle</formula>
    </cfRule>
    <cfRule type="expression" dxfId="16600" priority="1835" stopIfTrue="1">
      <formula>AQ72=CléCongés</formula>
    </cfRule>
  </conditionalFormatting>
  <conditionalFormatting sqref="C19:AG19 D17:AG18">
    <cfRule type="expression" priority="1824" stopIfTrue="1">
      <formula>C17=""</formula>
    </cfRule>
    <cfRule type="expression" dxfId="16599" priority="1825" stopIfTrue="1">
      <formula>C17=CléPersonnalisée2</formula>
    </cfRule>
    <cfRule type="expression" dxfId="16598" priority="1826" stopIfTrue="1">
      <formula>C17=CléPersonnalisée1</formula>
    </cfRule>
    <cfRule type="expression" dxfId="16597" priority="1827" stopIfTrue="1">
      <formula>C17=CléMaladie</formula>
    </cfRule>
    <cfRule type="expression" dxfId="16596" priority="1828" stopIfTrue="1">
      <formula>C17=CléPersonnelle</formula>
    </cfRule>
    <cfRule type="expression" dxfId="16595" priority="1829" stopIfTrue="1">
      <formula>C17=CléCongés</formula>
    </cfRule>
  </conditionalFormatting>
  <conditionalFormatting sqref="AJ17:AL19">
    <cfRule type="expression" priority="1818" stopIfTrue="1">
      <formula>AJ17=""</formula>
    </cfRule>
    <cfRule type="expression" dxfId="16594" priority="1819" stopIfTrue="1">
      <formula>AJ17=CléPersonnalisée2</formula>
    </cfRule>
    <cfRule type="expression" dxfId="16593" priority="1820" stopIfTrue="1">
      <formula>AJ17=CléPersonnalisée1</formula>
    </cfRule>
    <cfRule type="expression" dxfId="16592" priority="1821" stopIfTrue="1">
      <formula>AJ17=CléMaladie</formula>
    </cfRule>
    <cfRule type="expression" dxfId="16591" priority="1822" stopIfTrue="1">
      <formula>AJ17=CléPersonnelle</formula>
    </cfRule>
    <cfRule type="expression" dxfId="16590" priority="1823" stopIfTrue="1">
      <formula>AJ17=CléCongés</formula>
    </cfRule>
  </conditionalFormatting>
  <conditionalFormatting sqref="C21:AG23">
    <cfRule type="expression" priority="1812" stopIfTrue="1">
      <formula>C21=""</formula>
    </cfRule>
    <cfRule type="expression" dxfId="16589" priority="1813" stopIfTrue="1">
      <formula>C21=CléPersonnalisée2</formula>
    </cfRule>
    <cfRule type="expression" dxfId="16588" priority="1814" stopIfTrue="1">
      <formula>C21=CléPersonnalisée1</formula>
    </cfRule>
    <cfRule type="expression" dxfId="16587" priority="1815" stopIfTrue="1">
      <formula>C21=CléMaladie</formula>
    </cfRule>
    <cfRule type="expression" dxfId="16586" priority="1816" stopIfTrue="1">
      <formula>C21=CléPersonnelle</formula>
    </cfRule>
    <cfRule type="expression" dxfId="16585" priority="1817" stopIfTrue="1">
      <formula>C21=CléCongés</formula>
    </cfRule>
  </conditionalFormatting>
  <conditionalFormatting sqref="AJ21:AL23">
    <cfRule type="expression" priority="1806" stopIfTrue="1">
      <formula>AJ21=""</formula>
    </cfRule>
    <cfRule type="expression" dxfId="16584" priority="1807" stopIfTrue="1">
      <formula>AJ21=CléPersonnalisée2</formula>
    </cfRule>
    <cfRule type="expression" dxfId="16583" priority="1808" stopIfTrue="1">
      <formula>AJ21=CléPersonnalisée1</formula>
    </cfRule>
    <cfRule type="expression" dxfId="16582" priority="1809" stopIfTrue="1">
      <formula>AJ21=CléMaladie</formula>
    </cfRule>
    <cfRule type="expression" dxfId="16581" priority="1810" stopIfTrue="1">
      <formula>AJ21=CléPersonnelle</formula>
    </cfRule>
    <cfRule type="expression" dxfId="16580" priority="1811" stopIfTrue="1">
      <formula>AJ21=CléCongés</formula>
    </cfRule>
  </conditionalFormatting>
  <conditionalFormatting sqref="C25:AG27">
    <cfRule type="expression" priority="1799" stopIfTrue="1">
      <formula>C25=""</formula>
    </cfRule>
    <cfRule type="expression" dxfId="16579" priority="1800" stopIfTrue="1">
      <formula>C25=CléPersonnalisée2</formula>
    </cfRule>
    <cfRule type="expression" dxfId="16578" priority="1801" stopIfTrue="1">
      <formula>C25=CléPersonnalisée1</formula>
    </cfRule>
    <cfRule type="expression" dxfId="16577" priority="1802" stopIfTrue="1">
      <formula>C25=CléMaladie</formula>
    </cfRule>
    <cfRule type="expression" dxfId="16576" priority="1803" stopIfTrue="1">
      <formula>C25=CléPersonnelle</formula>
    </cfRule>
    <cfRule type="expression" dxfId="16575" priority="1804" stopIfTrue="1">
      <formula>C25=CléCongés</formula>
    </cfRule>
  </conditionalFormatting>
  <conditionalFormatting sqref="AH27">
    <cfRule type="dataBar" priority="1805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{44BF79F0-D9F6-4F69-8CE7-AE5D954FAFA0}</x14:id>
        </ext>
      </extLst>
    </cfRule>
  </conditionalFormatting>
  <conditionalFormatting sqref="AI27:AL27 AJ25:AL26">
    <cfRule type="expression" priority="1793" stopIfTrue="1">
      <formula>AI25=""</formula>
    </cfRule>
    <cfRule type="expression" dxfId="16574" priority="1794" stopIfTrue="1">
      <formula>AI25=CléPersonnalisée2</formula>
    </cfRule>
    <cfRule type="expression" dxfId="16573" priority="1795" stopIfTrue="1">
      <formula>AI25=CléPersonnalisée1</formula>
    </cfRule>
    <cfRule type="expression" dxfId="16572" priority="1796" stopIfTrue="1">
      <formula>AI25=CléMaladie</formula>
    </cfRule>
    <cfRule type="expression" dxfId="16571" priority="1797" stopIfTrue="1">
      <formula>AI25=CléPersonnelle</formula>
    </cfRule>
    <cfRule type="expression" dxfId="16570" priority="1798" stopIfTrue="1">
      <formula>AI25=CléCongés</formula>
    </cfRule>
  </conditionalFormatting>
  <conditionalFormatting sqref="AM25:AP26">
    <cfRule type="expression" priority="1787" stopIfTrue="1">
      <formula>AM25=""</formula>
    </cfRule>
    <cfRule type="expression" dxfId="16569" priority="1788" stopIfTrue="1">
      <formula>AM25=CléPersonnalisée2</formula>
    </cfRule>
    <cfRule type="expression" dxfId="16568" priority="1789" stopIfTrue="1">
      <formula>AM25=CléPersonnalisée1</formula>
    </cfRule>
    <cfRule type="expression" dxfId="16567" priority="1790" stopIfTrue="1">
      <formula>AM25=CléMaladie</formula>
    </cfRule>
    <cfRule type="expression" dxfId="16566" priority="1791" stopIfTrue="1">
      <formula>AM25=CléPersonnelle</formula>
    </cfRule>
    <cfRule type="expression" dxfId="16565" priority="1792" stopIfTrue="1">
      <formula>AM25=CléCongés</formula>
    </cfRule>
  </conditionalFormatting>
  <conditionalFormatting sqref="AQ25:AR26">
    <cfRule type="expression" priority="1781" stopIfTrue="1">
      <formula>AQ25=""</formula>
    </cfRule>
    <cfRule type="expression" dxfId="16564" priority="1782" stopIfTrue="1">
      <formula>AQ25=CléPersonnalisée2</formula>
    </cfRule>
    <cfRule type="expression" dxfId="16563" priority="1783" stopIfTrue="1">
      <formula>AQ25=CléPersonnalisée1</formula>
    </cfRule>
    <cfRule type="expression" dxfId="16562" priority="1784" stopIfTrue="1">
      <formula>AQ25=CléMaladie</formula>
    </cfRule>
    <cfRule type="expression" dxfId="16561" priority="1785" stopIfTrue="1">
      <formula>AQ25=CléPersonnelle</formula>
    </cfRule>
    <cfRule type="expression" dxfId="16560" priority="1786" stopIfTrue="1">
      <formula>AQ25=CléCongés</formula>
    </cfRule>
  </conditionalFormatting>
  <conditionalFormatting sqref="AM27 AP27">
    <cfRule type="expression" priority="1775" stopIfTrue="1">
      <formula>AM27=""</formula>
    </cfRule>
    <cfRule type="expression" dxfId="16559" priority="1776" stopIfTrue="1">
      <formula>AM27=CléPersonnalisée2</formula>
    </cfRule>
    <cfRule type="expression" dxfId="16558" priority="1777" stopIfTrue="1">
      <formula>AM27=CléPersonnalisée1</formula>
    </cfRule>
    <cfRule type="expression" dxfId="16557" priority="1778" stopIfTrue="1">
      <formula>AM27=CléMaladie</formula>
    </cfRule>
    <cfRule type="expression" dxfId="16556" priority="1779" stopIfTrue="1">
      <formula>AM27=CléPersonnelle</formula>
    </cfRule>
    <cfRule type="expression" dxfId="16555" priority="1780" stopIfTrue="1">
      <formula>AM27=CléCongés</formula>
    </cfRule>
  </conditionalFormatting>
  <conditionalFormatting sqref="C29:AG31">
    <cfRule type="expression" priority="1768" stopIfTrue="1">
      <formula>C29=""</formula>
    </cfRule>
    <cfRule type="expression" dxfId="16554" priority="1769" stopIfTrue="1">
      <formula>C29=CléPersonnalisée2</formula>
    </cfRule>
    <cfRule type="expression" dxfId="16553" priority="1770" stopIfTrue="1">
      <formula>C29=CléPersonnalisée1</formula>
    </cfRule>
    <cfRule type="expression" dxfId="16552" priority="1771" stopIfTrue="1">
      <formula>C29=CléMaladie</formula>
    </cfRule>
    <cfRule type="expression" dxfId="16551" priority="1772" stopIfTrue="1">
      <formula>C29=CléPersonnelle</formula>
    </cfRule>
    <cfRule type="expression" dxfId="16550" priority="1773" stopIfTrue="1">
      <formula>C29=CléCongés</formula>
    </cfRule>
  </conditionalFormatting>
  <conditionalFormatting sqref="AH31">
    <cfRule type="dataBar" priority="1774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{355775AE-701E-43F9-B47F-229FB98705F5}</x14:id>
        </ext>
      </extLst>
    </cfRule>
  </conditionalFormatting>
  <conditionalFormatting sqref="AI31:AL31 AJ29:AL30">
    <cfRule type="expression" priority="1762" stopIfTrue="1">
      <formula>AI29=""</formula>
    </cfRule>
    <cfRule type="expression" dxfId="16549" priority="1763" stopIfTrue="1">
      <formula>AI29=CléPersonnalisée2</formula>
    </cfRule>
    <cfRule type="expression" dxfId="16548" priority="1764" stopIfTrue="1">
      <formula>AI29=CléPersonnalisée1</formula>
    </cfRule>
    <cfRule type="expression" dxfId="16547" priority="1765" stopIfTrue="1">
      <formula>AI29=CléMaladie</formula>
    </cfRule>
    <cfRule type="expression" dxfId="16546" priority="1766" stopIfTrue="1">
      <formula>AI29=CléPersonnelle</formula>
    </cfRule>
    <cfRule type="expression" dxfId="16545" priority="1767" stopIfTrue="1">
      <formula>AI29=CléCongés</formula>
    </cfRule>
  </conditionalFormatting>
  <conditionalFormatting sqref="AM29:AP30">
    <cfRule type="expression" priority="1756" stopIfTrue="1">
      <formula>AM29=""</formula>
    </cfRule>
    <cfRule type="expression" dxfId="16544" priority="1757" stopIfTrue="1">
      <formula>AM29=CléPersonnalisée2</formula>
    </cfRule>
    <cfRule type="expression" dxfId="16543" priority="1758" stopIfTrue="1">
      <formula>AM29=CléPersonnalisée1</formula>
    </cfRule>
    <cfRule type="expression" dxfId="16542" priority="1759" stopIfTrue="1">
      <formula>AM29=CléMaladie</formula>
    </cfRule>
    <cfRule type="expression" dxfId="16541" priority="1760" stopIfTrue="1">
      <formula>AM29=CléPersonnelle</formula>
    </cfRule>
    <cfRule type="expression" dxfId="16540" priority="1761" stopIfTrue="1">
      <formula>AM29=CléCongés</formula>
    </cfRule>
  </conditionalFormatting>
  <conditionalFormatting sqref="AQ29:AR30">
    <cfRule type="expression" priority="1750" stopIfTrue="1">
      <formula>AQ29=""</formula>
    </cfRule>
    <cfRule type="expression" dxfId="16539" priority="1751" stopIfTrue="1">
      <formula>AQ29=CléPersonnalisée2</formula>
    </cfRule>
    <cfRule type="expression" dxfId="16538" priority="1752" stopIfTrue="1">
      <formula>AQ29=CléPersonnalisée1</formula>
    </cfRule>
    <cfRule type="expression" dxfId="16537" priority="1753" stopIfTrue="1">
      <formula>AQ29=CléMaladie</formula>
    </cfRule>
    <cfRule type="expression" dxfId="16536" priority="1754" stopIfTrue="1">
      <formula>AQ29=CléPersonnelle</formula>
    </cfRule>
    <cfRule type="expression" dxfId="16535" priority="1755" stopIfTrue="1">
      <formula>AQ29=CléCongés</formula>
    </cfRule>
  </conditionalFormatting>
  <conditionalFormatting sqref="AM31 AP31">
    <cfRule type="expression" priority="1744" stopIfTrue="1">
      <formula>AM31=""</formula>
    </cfRule>
    <cfRule type="expression" dxfId="16534" priority="1745" stopIfTrue="1">
      <formula>AM31=CléPersonnalisée2</formula>
    </cfRule>
    <cfRule type="expression" dxfId="16533" priority="1746" stopIfTrue="1">
      <formula>AM31=CléPersonnalisée1</formula>
    </cfRule>
    <cfRule type="expression" dxfId="16532" priority="1747" stopIfTrue="1">
      <formula>AM31=CléMaladie</formula>
    </cfRule>
    <cfRule type="expression" dxfId="16531" priority="1748" stopIfTrue="1">
      <formula>AM31=CléPersonnelle</formula>
    </cfRule>
    <cfRule type="expression" dxfId="16530" priority="1749" stopIfTrue="1">
      <formula>AM31=CléCongés</formula>
    </cfRule>
  </conditionalFormatting>
  <conditionalFormatting sqref="C33:AG35">
    <cfRule type="expression" priority="1737" stopIfTrue="1">
      <formula>C33=""</formula>
    </cfRule>
    <cfRule type="expression" dxfId="16529" priority="1738" stopIfTrue="1">
      <formula>C33=CléPersonnalisée2</formula>
    </cfRule>
    <cfRule type="expression" dxfId="16528" priority="1739" stopIfTrue="1">
      <formula>C33=CléPersonnalisée1</formula>
    </cfRule>
    <cfRule type="expression" dxfId="16527" priority="1740" stopIfTrue="1">
      <formula>C33=CléMaladie</formula>
    </cfRule>
    <cfRule type="expression" dxfId="16526" priority="1741" stopIfTrue="1">
      <formula>C33=CléPersonnelle</formula>
    </cfRule>
    <cfRule type="expression" dxfId="16525" priority="1742" stopIfTrue="1">
      <formula>C33=CléCongés</formula>
    </cfRule>
  </conditionalFormatting>
  <conditionalFormatting sqref="AH35">
    <cfRule type="dataBar" priority="1743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{33F1BE06-6422-4FDE-B917-393F42684C93}</x14:id>
        </ext>
      </extLst>
    </cfRule>
  </conditionalFormatting>
  <conditionalFormatting sqref="AI35:AL35 AJ33:AL34">
    <cfRule type="expression" priority="1731" stopIfTrue="1">
      <formula>AI33=""</formula>
    </cfRule>
    <cfRule type="expression" dxfId="16524" priority="1732" stopIfTrue="1">
      <formula>AI33=CléPersonnalisée2</formula>
    </cfRule>
    <cfRule type="expression" dxfId="16523" priority="1733" stopIfTrue="1">
      <formula>AI33=CléPersonnalisée1</formula>
    </cfRule>
    <cfRule type="expression" dxfId="16522" priority="1734" stopIfTrue="1">
      <formula>AI33=CléMaladie</formula>
    </cfRule>
    <cfRule type="expression" dxfId="16521" priority="1735" stopIfTrue="1">
      <formula>AI33=CléPersonnelle</formula>
    </cfRule>
    <cfRule type="expression" dxfId="16520" priority="1736" stopIfTrue="1">
      <formula>AI33=CléCongés</formula>
    </cfRule>
  </conditionalFormatting>
  <conditionalFormatting sqref="AM33:AP34">
    <cfRule type="expression" priority="1725" stopIfTrue="1">
      <formula>AM33=""</formula>
    </cfRule>
    <cfRule type="expression" dxfId="16519" priority="1726" stopIfTrue="1">
      <formula>AM33=CléPersonnalisée2</formula>
    </cfRule>
    <cfRule type="expression" dxfId="16518" priority="1727" stopIfTrue="1">
      <formula>AM33=CléPersonnalisée1</formula>
    </cfRule>
    <cfRule type="expression" dxfId="16517" priority="1728" stopIfTrue="1">
      <formula>AM33=CléMaladie</formula>
    </cfRule>
    <cfRule type="expression" dxfId="16516" priority="1729" stopIfTrue="1">
      <formula>AM33=CléPersonnelle</formula>
    </cfRule>
    <cfRule type="expression" dxfId="16515" priority="1730" stopIfTrue="1">
      <formula>AM33=CléCongés</formula>
    </cfRule>
  </conditionalFormatting>
  <conditionalFormatting sqref="AQ33:AR34">
    <cfRule type="expression" priority="1719" stopIfTrue="1">
      <formula>AQ33=""</formula>
    </cfRule>
    <cfRule type="expression" dxfId="16514" priority="1720" stopIfTrue="1">
      <formula>AQ33=CléPersonnalisée2</formula>
    </cfRule>
    <cfRule type="expression" dxfId="16513" priority="1721" stopIfTrue="1">
      <formula>AQ33=CléPersonnalisée1</formula>
    </cfRule>
    <cfRule type="expression" dxfId="16512" priority="1722" stopIfTrue="1">
      <formula>AQ33=CléMaladie</formula>
    </cfRule>
    <cfRule type="expression" dxfId="16511" priority="1723" stopIfTrue="1">
      <formula>AQ33=CléPersonnelle</formula>
    </cfRule>
    <cfRule type="expression" dxfId="16510" priority="1724" stopIfTrue="1">
      <formula>AQ33=CléCongés</formula>
    </cfRule>
  </conditionalFormatting>
  <conditionalFormatting sqref="AM35 AP35">
    <cfRule type="expression" priority="1713" stopIfTrue="1">
      <formula>AM35=""</formula>
    </cfRule>
    <cfRule type="expression" dxfId="16509" priority="1714" stopIfTrue="1">
      <formula>AM35=CléPersonnalisée2</formula>
    </cfRule>
    <cfRule type="expression" dxfId="16508" priority="1715" stopIfTrue="1">
      <formula>AM35=CléPersonnalisée1</formula>
    </cfRule>
    <cfRule type="expression" dxfId="16507" priority="1716" stopIfTrue="1">
      <formula>AM35=CléMaladie</formula>
    </cfRule>
    <cfRule type="expression" dxfId="16506" priority="1717" stopIfTrue="1">
      <formula>AM35=CléPersonnelle</formula>
    </cfRule>
    <cfRule type="expression" dxfId="16505" priority="1718" stopIfTrue="1">
      <formula>AM35=CléCongés</formula>
    </cfRule>
  </conditionalFormatting>
  <conditionalFormatting sqref="C37:AG39">
    <cfRule type="expression" priority="1706" stopIfTrue="1">
      <formula>C37=""</formula>
    </cfRule>
    <cfRule type="expression" dxfId="16504" priority="1707" stopIfTrue="1">
      <formula>C37=CléPersonnalisée2</formula>
    </cfRule>
    <cfRule type="expression" dxfId="16503" priority="1708" stopIfTrue="1">
      <formula>C37=CléPersonnalisée1</formula>
    </cfRule>
    <cfRule type="expression" dxfId="16502" priority="1709" stopIfTrue="1">
      <formula>C37=CléMaladie</formula>
    </cfRule>
    <cfRule type="expression" dxfId="16501" priority="1710" stopIfTrue="1">
      <formula>C37=CléPersonnelle</formula>
    </cfRule>
    <cfRule type="expression" dxfId="16500" priority="1711" stopIfTrue="1">
      <formula>C37=CléCongés</formula>
    </cfRule>
  </conditionalFormatting>
  <conditionalFormatting sqref="AH39">
    <cfRule type="dataBar" priority="1712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{131DD3F0-EFF7-4F0D-B7C7-892D58C27C01}</x14:id>
        </ext>
      </extLst>
    </cfRule>
  </conditionalFormatting>
  <conditionalFormatting sqref="AI39:AL39 AJ37:AL38">
    <cfRule type="expression" priority="1700" stopIfTrue="1">
      <formula>AI37=""</formula>
    </cfRule>
    <cfRule type="expression" dxfId="16499" priority="1701" stopIfTrue="1">
      <formula>AI37=CléPersonnalisée2</formula>
    </cfRule>
    <cfRule type="expression" dxfId="16498" priority="1702" stopIfTrue="1">
      <formula>AI37=CléPersonnalisée1</formula>
    </cfRule>
    <cfRule type="expression" dxfId="16497" priority="1703" stopIfTrue="1">
      <formula>AI37=CléMaladie</formula>
    </cfRule>
    <cfRule type="expression" dxfId="16496" priority="1704" stopIfTrue="1">
      <formula>AI37=CléPersonnelle</formula>
    </cfRule>
    <cfRule type="expression" dxfId="16495" priority="1705" stopIfTrue="1">
      <formula>AI37=CléCongés</formula>
    </cfRule>
  </conditionalFormatting>
  <conditionalFormatting sqref="AM37:AP38">
    <cfRule type="expression" priority="1694" stopIfTrue="1">
      <formula>AM37=""</formula>
    </cfRule>
    <cfRule type="expression" dxfId="16494" priority="1695" stopIfTrue="1">
      <formula>AM37=CléPersonnalisée2</formula>
    </cfRule>
    <cfRule type="expression" dxfId="16493" priority="1696" stopIfTrue="1">
      <formula>AM37=CléPersonnalisée1</formula>
    </cfRule>
    <cfRule type="expression" dxfId="16492" priority="1697" stopIfTrue="1">
      <formula>AM37=CléMaladie</formula>
    </cfRule>
    <cfRule type="expression" dxfId="16491" priority="1698" stopIfTrue="1">
      <formula>AM37=CléPersonnelle</formula>
    </cfRule>
    <cfRule type="expression" dxfId="16490" priority="1699" stopIfTrue="1">
      <formula>AM37=CléCongés</formula>
    </cfRule>
  </conditionalFormatting>
  <conditionalFormatting sqref="AQ37:AR38">
    <cfRule type="expression" priority="1688" stopIfTrue="1">
      <formula>AQ37=""</formula>
    </cfRule>
    <cfRule type="expression" dxfId="16489" priority="1689" stopIfTrue="1">
      <formula>AQ37=CléPersonnalisée2</formula>
    </cfRule>
    <cfRule type="expression" dxfId="16488" priority="1690" stopIfTrue="1">
      <formula>AQ37=CléPersonnalisée1</formula>
    </cfRule>
    <cfRule type="expression" dxfId="16487" priority="1691" stopIfTrue="1">
      <formula>AQ37=CléMaladie</formula>
    </cfRule>
    <cfRule type="expression" dxfId="16486" priority="1692" stopIfTrue="1">
      <formula>AQ37=CléPersonnelle</formula>
    </cfRule>
    <cfRule type="expression" dxfId="16485" priority="1693" stopIfTrue="1">
      <formula>AQ37=CléCongés</formula>
    </cfRule>
  </conditionalFormatting>
  <conditionalFormatting sqref="AM39 AP39">
    <cfRule type="expression" priority="1682" stopIfTrue="1">
      <formula>AM39=""</formula>
    </cfRule>
    <cfRule type="expression" dxfId="16484" priority="1683" stopIfTrue="1">
      <formula>AM39=CléPersonnalisée2</formula>
    </cfRule>
    <cfRule type="expression" dxfId="16483" priority="1684" stopIfTrue="1">
      <formula>AM39=CléPersonnalisée1</formula>
    </cfRule>
    <cfRule type="expression" dxfId="16482" priority="1685" stopIfTrue="1">
      <formula>AM39=CléMaladie</formula>
    </cfRule>
    <cfRule type="expression" dxfId="16481" priority="1686" stopIfTrue="1">
      <formula>AM39=CléPersonnelle</formula>
    </cfRule>
    <cfRule type="expression" dxfId="16480" priority="1687" stopIfTrue="1">
      <formula>AM39=CléCongés</formula>
    </cfRule>
  </conditionalFormatting>
  <conditionalFormatting sqref="C41:AG43">
    <cfRule type="expression" priority="1675" stopIfTrue="1">
      <formula>C41=""</formula>
    </cfRule>
    <cfRule type="expression" dxfId="16479" priority="1676" stopIfTrue="1">
      <formula>C41=CléPersonnalisée2</formula>
    </cfRule>
    <cfRule type="expression" dxfId="16478" priority="1677" stopIfTrue="1">
      <formula>C41=CléPersonnalisée1</formula>
    </cfRule>
    <cfRule type="expression" dxfId="16477" priority="1678" stopIfTrue="1">
      <formula>C41=CléMaladie</formula>
    </cfRule>
    <cfRule type="expression" dxfId="16476" priority="1679" stopIfTrue="1">
      <formula>C41=CléPersonnelle</formula>
    </cfRule>
    <cfRule type="expression" dxfId="16475" priority="1680" stopIfTrue="1">
      <formula>C41=CléCongés</formula>
    </cfRule>
  </conditionalFormatting>
  <conditionalFormatting sqref="AH43">
    <cfRule type="dataBar" priority="1681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{BC3B4ACF-4B47-4190-B3E8-EB62001DA730}</x14:id>
        </ext>
      </extLst>
    </cfRule>
  </conditionalFormatting>
  <conditionalFormatting sqref="AI43:AL43 AJ41:AL42">
    <cfRule type="expression" priority="1669" stopIfTrue="1">
      <formula>AI41=""</formula>
    </cfRule>
    <cfRule type="expression" dxfId="16474" priority="1670" stopIfTrue="1">
      <formula>AI41=CléPersonnalisée2</formula>
    </cfRule>
    <cfRule type="expression" dxfId="16473" priority="1671" stopIfTrue="1">
      <formula>AI41=CléPersonnalisée1</formula>
    </cfRule>
    <cfRule type="expression" dxfId="16472" priority="1672" stopIfTrue="1">
      <formula>AI41=CléMaladie</formula>
    </cfRule>
    <cfRule type="expression" dxfId="16471" priority="1673" stopIfTrue="1">
      <formula>AI41=CléPersonnelle</formula>
    </cfRule>
    <cfRule type="expression" dxfId="16470" priority="1674" stopIfTrue="1">
      <formula>AI41=CléCongés</formula>
    </cfRule>
  </conditionalFormatting>
  <conditionalFormatting sqref="AM41:AP42">
    <cfRule type="expression" priority="1663" stopIfTrue="1">
      <formula>AM41=""</formula>
    </cfRule>
    <cfRule type="expression" dxfId="16469" priority="1664" stopIfTrue="1">
      <formula>AM41=CléPersonnalisée2</formula>
    </cfRule>
    <cfRule type="expression" dxfId="16468" priority="1665" stopIfTrue="1">
      <formula>AM41=CléPersonnalisée1</formula>
    </cfRule>
    <cfRule type="expression" dxfId="16467" priority="1666" stopIfTrue="1">
      <formula>AM41=CléMaladie</formula>
    </cfRule>
    <cfRule type="expression" dxfId="16466" priority="1667" stopIfTrue="1">
      <formula>AM41=CléPersonnelle</formula>
    </cfRule>
    <cfRule type="expression" dxfId="16465" priority="1668" stopIfTrue="1">
      <formula>AM41=CléCongés</formula>
    </cfRule>
  </conditionalFormatting>
  <conditionalFormatting sqref="AQ41:AR42">
    <cfRule type="expression" priority="1657" stopIfTrue="1">
      <formula>AQ41=""</formula>
    </cfRule>
    <cfRule type="expression" dxfId="16464" priority="1658" stopIfTrue="1">
      <formula>AQ41=CléPersonnalisée2</formula>
    </cfRule>
    <cfRule type="expression" dxfId="16463" priority="1659" stopIfTrue="1">
      <formula>AQ41=CléPersonnalisée1</formula>
    </cfRule>
    <cfRule type="expression" dxfId="16462" priority="1660" stopIfTrue="1">
      <formula>AQ41=CléMaladie</formula>
    </cfRule>
    <cfRule type="expression" dxfId="16461" priority="1661" stopIfTrue="1">
      <formula>AQ41=CléPersonnelle</formula>
    </cfRule>
    <cfRule type="expression" dxfId="16460" priority="1662" stopIfTrue="1">
      <formula>AQ41=CléCongés</formula>
    </cfRule>
  </conditionalFormatting>
  <conditionalFormatting sqref="AM43 AP43">
    <cfRule type="expression" priority="1651" stopIfTrue="1">
      <formula>AM43=""</formula>
    </cfRule>
    <cfRule type="expression" dxfId="16459" priority="1652" stopIfTrue="1">
      <formula>AM43=CléPersonnalisée2</formula>
    </cfRule>
    <cfRule type="expression" dxfId="16458" priority="1653" stopIfTrue="1">
      <formula>AM43=CléPersonnalisée1</formula>
    </cfRule>
    <cfRule type="expression" dxfId="16457" priority="1654" stopIfTrue="1">
      <formula>AM43=CléMaladie</formula>
    </cfRule>
    <cfRule type="expression" dxfId="16456" priority="1655" stopIfTrue="1">
      <formula>AM43=CléPersonnelle</formula>
    </cfRule>
    <cfRule type="expression" dxfId="16455" priority="1656" stopIfTrue="1">
      <formula>AM43=CléCongés</formula>
    </cfRule>
  </conditionalFormatting>
  <conditionalFormatting sqref="C45:AG47">
    <cfRule type="expression" priority="1644" stopIfTrue="1">
      <formula>C45=""</formula>
    </cfRule>
    <cfRule type="expression" dxfId="16454" priority="1645" stopIfTrue="1">
      <formula>C45=CléPersonnalisée2</formula>
    </cfRule>
    <cfRule type="expression" dxfId="16453" priority="1646" stopIfTrue="1">
      <formula>C45=CléPersonnalisée1</formula>
    </cfRule>
    <cfRule type="expression" dxfId="16452" priority="1647" stopIfTrue="1">
      <formula>C45=CléMaladie</formula>
    </cfRule>
    <cfRule type="expression" dxfId="16451" priority="1648" stopIfTrue="1">
      <formula>C45=CléPersonnelle</formula>
    </cfRule>
    <cfRule type="expression" dxfId="16450" priority="1649" stopIfTrue="1">
      <formula>C45=CléCongés</formula>
    </cfRule>
  </conditionalFormatting>
  <conditionalFormatting sqref="AH47">
    <cfRule type="dataBar" priority="1650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{51A43FFB-A367-42D7-BDE7-2B5DBD6377B0}</x14:id>
        </ext>
      </extLst>
    </cfRule>
  </conditionalFormatting>
  <conditionalFormatting sqref="AI47:AL47 AJ45:AL46">
    <cfRule type="expression" priority="1638" stopIfTrue="1">
      <formula>AI45=""</formula>
    </cfRule>
    <cfRule type="expression" dxfId="16449" priority="1639" stopIfTrue="1">
      <formula>AI45=CléPersonnalisée2</formula>
    </cfRule>
    <cfRule type="expression" dxfId="16448" priority="1640" stopIfTrue="1">
      <formula>AI45=CléPersonnalisée1</formula>
    </cfRule>
    <cfRule type="expression" dxfId="16447" priority="1641" stopIfTrue="1">
      <formula>AI45=CléMaladie</formula>
    </cfRule>
    <cfRule type="expression" dxfId="16446" priority="1642" stopIfTrue="1">
      <formula>AI45=CléPersonnelle</formula>
    </cfRule>
    <cfRule type="expression" dxfId="16445" priority="1643" stopIfTrue="1">
      <formula>AI45=CléCongés</formula>
    </cfRule>
  </conditionalFormatting>
  <conditionalFormatting sqref="AM45:AP46">
    <cfRule type="expression" priority="1632" stopIfTrue="1">
      <formula>AM45=""</formula>
    </cfRule>
    <cfRule type="expression" dxfId="16444" priority="1633" stopIfTrue="1">
      <formula>AM45=CléPersonnalisée2</formula>
    </cfRule>
    <cfRule type="expression" dxfId="16443" priority="1634" stopIfTrue="1">
      <formula>AM45=CléPersonnalisée1</formula>
    </cfRule>
    <cfRule type="expression" dxfId="16442" priority="1635" stopIfTrue="1">
      <formula>AM45=CléMaladie</formula>
    </cfRule>
    <cfRule type="expression" dxfId="16441" priority="1636" stopIfTrue="1">
      <formula>AM45=CléPersonnelle</formula>
    </cfRule>
    <cfRule type="expression" dxfId="16440" priority="1637" stopIfTrue="1">
      <formula>AM45=CléCongés</formula>
    </cfRule>
  </conditionalFormatting>
  <conditionalFormatting sqref="AQ45:AR46">
    <cfRule type="expression" priority="1626" stopIfTrue="1">
      <formula>AQ45=""</formula>
    </cfRule>
    <cfRule type="expression" dxfId="16439" priority="1627" stopIfTrue="1">
      <formula>AQ45=CléPersonnalisée2</formula>
    </cfRule>
    <cfRule type="expression" dxfId="16438" priority="1628" stopIfTrue="1">
      <formula>AQ45=CléPersonnalisée1</formula>
    </cfRule>
    <cfRule type="expression" dxfId="16437" priority="1629" stopIfTrue="1">
      <formula>AQ45=CléMaladie</formula>
    </cfRule>
    <cfRule type="expression" dxfId="16436" priority="1630" stopIfTrue="1">
      <formula>AQ45=CléPersonnelle</formula>
    </cfRule>
    <cfRule type="expression" dxfId="16435" priority="1631" stopIfTrue="1">
      <formula>AQ45=CléCongés</formula>
    </cfRule>
  </conditionalFormatting>
  <conditionalFormatting sqref="AM47 AP47">
    <cfRule type="expression" priority="1620" stopIfTrue="1">
      <formula>AM47=""</formula>
    </cfRule>
    <cfRule type="expression" dxfId="16434" priority="1621" stopIfTrue="1">
      <formula>AM47=CléPersonnalisée2</formula>
    </cfRule>
    <cfRule type="expression" dxfId="16433" priority="1622" stopIfTrue="1">
      <formula>AM47=CléPersonnalisée1</formula>
    </cfRule>
    <cfRule type="expression" dxfId="16432" priority="1623" stopIfTrue="1">
      <formula>AM47=CléMaladie</formula>
    </cfRule>
    <cfRule type="expression" dxfId="16431" priority="1624" stopIfTrue="1">
      <formula>AM47=CléPersonnelle</formula>
    </cfRule>
    <cfRule type="expression" dxfId="16430" priority="1625" stopIfTrue="1">
      <formula>AM47=CléCongés</formula>
    </cfRule>
  </conditionalFormatting>
  <conditionalFormatting sqref="C50:K51 P50:AG50 M51:AG51">
    <cfRule type="expression" priority="1613" stopIfTrue="1">
      <formula>C50=""</formula>
    </cfRule>
    <cfRule type="expression" dxfId="16429" priority="1614" stopIfTrue="1">
      <formula>C50=CléPersonnalisée2</formula>
    </cfRule>
    <cfRule type="expression" dxfId="16428" priority="1615" stopIfTrue="1">
      <formula>C50=CléPersonnalisée1</formula>
    </cfRule>
    <cfRule type="expression" dxfId="16427" priority="1616" stopIfTrue="1">
      <formula>C50=CléMaladie</formula>
    </cfRule>
    <cfRule type="expression" dxfId="16426" priority="1617" stopIfTrue="1">
      <formula>C50=CléPersonnelle</formula>
    </cfRule>
    <cfRule type="expression" dxfId="16425" priority="1618" stopIfTrue="1">
      <formula>C50=CléCongés</formula>
    </cfRule>
  </conditionalFormatting>
  <conditionalFormatting sqref="AH51">
    <cfRule type="dataBar" priority="1619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{F5CD9496-E156-4BEA-9059-44A3247D4D78}</x14:id>
        </ext>
      </extLst>
    </cfRule>
  </conditionalFormatting>
  <conditionalFormatting sqref="AI51:AL51 AJ49:AL50">
    <cfRule type="expression" priority="1607" stopIfTrue="1">
      <formula>AI49=""</formula>
    </cfRule>
    <cfRule type="expression" dxfId="16424" priority="1608" stopIfTrue="1">
      <formula>AI49=CléPersonnalisée2</formula>
    </cfRule>
    <cfRule type="expression" dxfId="16423" priority="1609" stopIfTrue="1">
      <formula>AI49=CléPersonnalisée1</formula>
    </cfRule>
    <cfRule type="expression" dxfId="16422" priority="1610" stopIfTrue="1">
      <formula>AI49=CléMaladie</formula>
    </cfRule>
    <cfRule type="expression" dxfId="16421" priority="1611" stopIfTrue="1">
      <formula>AI49=CléPersonnelle</formula>
    </cfRule>
    <cfRule type="expression" dxfId="16420" priority="1612" stopIfTrue="1">
      <formula>AI49=CléCongés</formula>
    </cfRule>
  </conditionalFormatting>
  <conditionalFormatting sqref="AM49:AP50">
    <cfRule type="expression" priority="1601" stopIfTrue="1">
      <formula>AM49=""</formula>
    </cfRule>
    <cfRule type="expression" dxfId="16419" priority="1602" stopIfTrue="1">
      <formula>AM49=CléPersonnalisée2</formula>
    </cfRule>
    <cfRule type="expression" dxfId="16418" priority="1603" stopIfTrue="1">
      <formula>AM49=CléPersonnalisée1</formula>
    </cfRule>
    <cfRule type="expression" dxfId="16417" priority="1604" stopIfTrue="1">
      <formula>AM49=CléMaladie</formula>
    </cfRule>
    <cfRule type="expression" dxfId="16416" priority="1605" stopIfTrue="1">
      <formula>AM49=CléPersonnelle</formula>
    </cfRule>
    <cfRule type="expression" dxfId="16415" priority="1606" stopIfTrue="1">
      <formula>AM49=CléCongés</formula>
    </cfRule>
  </conditionalFormatting>
  <conditionalFormatting sqref="AQ49:AR50">
    <cfRule type="expression" priority="1595" stopIfTrue="1">
      <formula>AQ49=""</formula>
    </cfRule>
    <cfRule type="expression" dxfId="16414" priority="1596" stopIfTrue="1">
      <formula>AQ49=CléPersonnalisée2</formula>
    </cfRule>
    <cfRule type="expression" dxfId="16413" priority="1597" stopIfTrue="1">
      <formula>AQ49=CléPersonnalisée1</formula>
    </cfRule>
    <cfRule type="expression" dxfId="16412" priority="1598" stopIfTrue="1">
      <formula>AQ49=CléMaladie</formula>
    </cfRule>
    <cfRule type="expression" dxfId="16411" priority="1599" stopIfTrue="1">
      <formula>AQ49=CléPersonnelle</formula>
    </cfRule>
    <cfRule type="expression" dxfId="16410" priority="1600" stopIfTrue="1">
      <formula>AQ49=CléCongés</formula>
    </cfRule>
  </conditionalFormatting>
  <conditionalFormatting sqref="AM51 AP51">
    <cfRule type="expression" priority="1589" stopIfTrue="1">
      <formula>AM51=""</formula>
    </cfRule>
    <cfRule type="expression" dxfId="16409" priority="1590" stopIfTrue="1">
      <formula>AM51=CléPersonnalisée2</formula>
    </cfRule>
    <cfRule type="expression" dxfId="16408" priority="1591" stopIfTrue="1">
      <formula>AM51=CléPersonnalisée1</formula>
    </cfRule>
    <cfRule type="expression" dxfId="16407" priority="1592" stopIfTrue="1">
      <formula>AM51=CléMaladie</formula>
    </cfRule>
    <cfRule type="expression" dxfId="16406" priority="1593" stopIfTrue="1">
      <formula>AM51=CléPersonnelle</formula>
    </cfRule>
    <cfRule type="expression" dxfId="16405" priority="1594" stopIfTrue="1">
      <formula>AM51=CléCongés</formula>
    </cfRule>
  </conditionalFormatting>
  <conditionalFormatting sqref="C53:AG55">
    <cfRule type="expression" priority="1582" stopIfTrue="1">
      <formula>C53=""</formula>
    </cfRule>
    <cfRule type="expression" dxfId="16404" priority="1583" stopIfTrue="1">
      <formula>C53=CléPersonnalisée2</formula>
    </cfRule>
    <cfRule type="expression" dxfId="16403" priority="1584" stopIfTrue="1">
      <formula>C53=CléPersonnalisée1</formula>
    </cfRule>
    <cfRule type="expression" dxfId="16402" priority="1585" stopIfTrue="1">
      <formula>C53=CléMaladie</formula>
    </cfRule>
    <cfRule type="expression" dxfId="16401" priority="1586" stopIfTrue="1">
      <formula>C53=CléPersonnelle</formula>
    </cfRule>
    <cfRule type="expression" dxfId="16400" priority="1587" stopIfTrue="1">
      <formula>C53=CléCongés</formula>
    </cfRule>
  </conditionalFormatting>
  <conditionalFormatting sqref="AH55">
    <cfRule type="dataBar" priority="1588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{BA057425-7CA6-4878-BC0C-B89EF4337FC2}</x14:id>
        </ext>
      </extLst>
    </cfRule>
  </conditionalFormatting>
  <conditionalFormatting sqref="AI55:AL55 AJ53:AL54">
    <cfRule type="expression" priority="1576" stopIfTrue="1">
      <formula>AI53=""</formula>
    </cfRule>
    <cfRule type="expression" dxfId="16399" priority="1577" stopIfTrue="1">
      <formula>AI53=CléPersonnalisée2</formula>
    </cfRule>
    <cfRule type="expression" dxfId="16398" priority="1578" stopIfTrue="1">
      <formula>AI53=CléPersonnalisée1</formula>
    </cfRule>
    <cfRule type="expression" dxfId="16397" priority="1579" stopIfTrue="1">
      <formula>AI53=CléMaladie</formula>
    </cfRule>
    <cfRule type="expression" dxfId="16396" priority="1580" stopIfTrue="1">
      <formula>AI53=CléPersonnelle</formula>
    </cfRule>
    <cfRule type="expression" dxfId="16395" priority="1581" stopIfTrue="1">
      <formula>AI53=CléCongés</formula>
    </cfRule>
  </conditionalFormatting>
  <conditionalFormatting sqref="AM53:AP54">
    <cfRule type="expression" priority="1570" stopIfTrue="1">
      <formula>AM53=""</formula>
    </cfRule>
    <cfRule type="expression" dxfId="16394" priority="1571" stopIfTrue="1">
      <formula>AM53=CléPersonnalisée2</formula>
    </cfRule>
    <cfRule type="expression" dxfId="16393" priority="1572" stopIfTrue="1">
      <formula>AM53=CléPersonnalisée1</formula>
    </cfRule>
    <cfRule type="expression" dxfId="16392" priority="1573" stopIfTrue="1">
      <formula>AM53=CléMaladie</formula>
    </cfRule>
    <cfRule type="expression" dxfId="16391" priority="1574" stopIfTrue="1">
      <formula>AM53=CléPersonnelle</formula>
    </cfRule>
    <cfRule type="expression" dxfId="16390" priority="1575" stopIfTrue="1">
      <formula>AM53=CléCongés</formula>
    </cfRule>
  </conditionalFormatting>
  <conditionalFormatting sqref="AQ53:AR54">
    <cfRule type="expression" priority="1564" stopIfTrue="1">
      <formula>AQ53=""</formula>
    </cfRule>
    <cfRule type="expression" dxfId="16389" priority="1565" stopIfTrue="1">
      <formula>AQ53=CléPersonnalisée2</formula>
    </cfRule>
    <cfRule type="expression" dxfId="16388" priority="1566" stopIfTrue="1">
      <formula>AQ53=CléPersonnalisée1</formula>
    </cfRule>
    <cfRule type="expression" dxfId="16387" priority="1567" stopIfTrue="1">
      <formula>AQ53=CléMaladie</formula>
    </cfRule>
    <cfRule type="expression" dxfId="16386" priority="1568" stopIfTrue="1">
      <formula>AQ53=CléPersonnelle</formula>
    </cfRule>
    <cfRule type="expression" dxfId="16385" priority="1569" stopIfTrue="1">
      <formula>AQ53=CléCongés</formula>
    </cfRule>
  </conditionalFormatting>
  <conditionalFormatting sqref="AM55 AP55">
    <cfRule type="expression" priority="1558" stopIfTrue="1">
      <formula>AM55=""</formula>
    </cfRule>
    <cfRule type="expression" dxfId="16384" priority="1559" stopIfTrue="1">
      <formula>AM55=CléPersonnalisée2</formula>
    </cfRule>
    <cfRule type="expression" dxfId="16383" priority="1560" stopIfTrue="1">
      <formula>AM55=CléPersonnalisée1</formula>
    </cfRule>
    <cfRule type="expression" dxfId="16382" priority="1561" stopIfTrue="1">
      <formula>AM55=CléMaladie</formula>
    </cfRule>
    <cfRule type="expression" dxfId="16381" priority="1562" stopIfTrue="1">
      <formula>AM55=CléPersonnelle</formula>
    </cfRule>
    <cfRule type="expression" dxfId="16380" priority="1563" stopIfTrue="1">
      <formula>AM55=CléCongés</formula>
    </cfRule>
  </conditionalFormatting>
  <conditionalFormatting sqref="C61:AG63">
    <cfRule type="expression" priority="1551" stopIfTrue="1">
      <formula>C61=""</formula>
    </cfRule>
    <cfRule type="expression" dxfId="16379" priority="1552" stopIfTrue="1">
      <formula>C61=CléPersonnalisée2</formula>
    </cfRule>
    <cfRule type="expression" dxfId="16378" priority="1553" stopIfTrue="1">
      <formula>C61=CléPersonnalisée1</formula>
    </cfRule>
    <cfRule type="expression" dxfId="16377" priority="1554" stopIfTrue="1">
      <formula>C61=CléMaladie</formula>
    </cfRule>
    <cfRule type="expression" dxfId="16376" priority="1555" stopIfTrue="1">
      <formula>C61=CléPersonnelle</formula>
    </cfRule>
    <cfRule type="expression" dxfId="16375" priority="1556" stopIfTrue="1">
      <formula>C61=CléCongés</formula>
    </cfRule>
  </conditionalFormatting>
  <conditionalFormatting sqref="AH63">
    <cfRule type="dataBar" priority="1557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{742AFD0D-70A1-414B-BB74-DC14DC7870FB}</x14:id>
        </ext>
      </extLst>
    </cfRule>
  </conditionalFormatting>
  <conditionalFormatting sqref="AI63:AL63 AJ61:AL62">
    <cfRule type="expression" priority="1545" stopIfTrue="1">
      <formula>AI61=""</formula>
    </cfRule>
    <cfRule type="expression" dxfId="16374" priority="1546" stopIfTrue="1">
      <formula>AI61=CléPersonnalisée2</formula>
    </cfRule>
    <cfRule type="expression" dxfId="16373" priority="1547" stopIfTrue="1">
      <formula>AI61=CléPersonnalisée1</formula>
    </cfRule>
    <cfRule type="expression" dxfId="16372" priority="1548" stopIfTrue="1">
      <formula>AI61=CléMaladie</formula>
    </cfRule>
    <cfRule type="expression" dxfId="16371" priority="1549" stopIfTrue="1">
      <formula>AI61=CléPersonnelle</formula>
    </cfRule>
    <cfRule type="expression" dxfId="16370" priority="1550" stopIfTrue="1">
      <formula>AI61=CléCongés</formula>
    </cfRule>
  </conditionalFormatting>
  <conditionalFormatting sqref="AM61:AP62">
    <cfRule type="expression" priority="1539" stopIfTrue="1">
      <formula>AM61=""</formula>
    </cfRule>
    <cfRule type="expression" dxfId="16369" priority="1540" stopIfTrue="1">
      <formula>AM61=CléPersonnalisée2</formula>
    </cfRule>
    <cfRule type="expression" dxfId="16368" priority="1541" stopIfTrue="1">
      <formula>AM61=CléPersonnalisée1</formula>
    </cfRule>
    <cfRule type="expression" dxfId="16367" priority="1542" stopIfTrue="1">
      <formula>AM61=CléMaladie</formula>
    </cfRule>
    <cfRule type="expression" dxfId="16366" priority="1543" stopIfTrue="1">
      <formula>AM61=CléPersonnelle</formula>
    </cfRule>
    <cfRule type="expression" dxfId="16365" priority="1544" stopIfTrue="1">
      <formula>AM61=CléCongés</formula>
    </cfRule>
  </conditionalFormatting>
  <conditionalFormatting sqref="AQ61:AR62">
    <cfRule type="expression" priority="1533" stopIfTrue="1">
      <formula>AQ61=""</formula>
    </cfRule>
    <cfRule type="expression" dxfId="16364" priority="1534" stopIfTrue="1">
      <formula>AQ61=CléPersonnalisée2</formula>
    </cfRule>
    <cfRule type="expression" dxfId="16363" priority="1535" stopIfTrue="1">
      <formula>AQ61=CléPersonnalisée1</formula>
    </cfRule>
    <cfRule type="expression" dxfId="16362" priority="1536" stopIfTrue="1">
      <formula>AQ61=CléMaladie</formula>
    </cfRule>
    <cfRule type="expression" dxfId="16361" priority="1537" stopIfTrue="1">
      <formula>AQ61=CléPersonnelle</formula>
    </cfRule>
    <cfRule type="expression" dxfId="16360" priority="1538" stopIfTrue="1">
      <formula>AQ61=CléCongés</formula>
    </cfRule>
  </conditionalFormatting>
  <conditionalFormatting sqref="AM63 AP63">
    <cfRule type="expression" priority="1527" stopIfTrue="1">
      <formula>AM63=""</formula>
    </cfRule>
    <cfRule type="expression" dxfId="16359" priority="1528" stopIfTrue="1">
      <formula>AM63=CléPersonnalisée2</formula>
    </cfRule>
    <cfRule type="expression" dxfId="16358" priority="1529" stopIfTrue="1">
      <formula>AM63=CléPersonnalisée1</formula>
    </cfRule>
    <cfRule type="expression" dxfId="16357" priority="1530" stopIfTrue="1">
      <formula>AM63=CléMaladie</formula>
    </cfRule>
    <cfRule type="expression" dxfId="16356" priority="1531" stopIfTrue="1">
      <formula>AM63=CléPersonnelle</formula>
    </cfRule>
    <cfRule type="expression" dxfId="16355" priority="1532" stopIfTrue="1">
      <formula>AM63=CléCongés</formula>
    </cfRule>
  </conditionalFormatting>
  <conditionalFormatting sqref="AO39">
    <cfRule type="expression" priority="1392" stopIfTrue="1">
      <formula>AO39=""</formula>
    </cfRule>
    <cfRule type="expression" dxfId="16354" priority="1393" stopIfTrue="1">
      <formula>AO39=CléPersonnalisée2</formula>
    </cfRule>
    <cfRule type="expression" dxfId="16353" priority="1394" stopIfTrue="1">
      <formula>AO39=CléPersonnalisée1</formula>
    </cfRule>
    <cfRule type="expression" dxfId="16352" priority="1395" stopIfTrue="1">
      <formula>AO39=CléMaladie</formula>
    </cfRule>
    <cfRule type="expression" dxfId="16351" priority="1396" stopIfTrue="1">
      <formula>AO39=CléPersonnelle</formula>
    </cfRule>
    <cfRule type="expression" dxfId="16350" priority="1397" stopIfTrue="1">
      <formula>AO39=CléCongés</formula>
    </cfRule>
  </conditionalFormatting>
  <conditionalFormatting sqref="C69:AG71">
    <cfRule type="expression" priority="1520" stopIfTrue="1">
      <formula>C69=""</formula>
    </cfRule>
    <cfRule type="expression" dxfId="16349" priority="1521" stopIfTrue="1">
      <formula>C69=CléPersonnalisée2</formula>
    </cfRule>
    <cfRule type="expression" dxfId="16348" priority="1522" stopIfTrue="1">
      <formula>C69=CléPersonnalisée1</formula>
    </cfRule>
    <cfRule type="expression" dxfId="16347" priority="1523" stopIfTrue="1">
      <formula>C69=CléMaladie</formula>
    </cfRule>
    <cfRule type="expression" dxfId="16346" priority="1524" stopIfTrue="1">
      <formula>C69=CléPersonnelle</formula>
    </cfRule>
    <cfRule type="expression" dxfId="16345" priority="1525" stopIfTrue="1">
      <formula>C69=CléCongés</formula>
    </cfRule>
  </conditionalFormatting>
  <conditionalFormatting sqref="AH71">
    <cfRule type="dataBar" priority="1526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{9A7F23F1-7456-46E2-8092-E366AC965DE9}</x14:id>
        </ext>
      </extLst>
    </cfRule>
  </conditionalFormatting>
  <conditionalFormatting sqref="AI71:AL71 AJ69:AL70">
    <cfRule type="expression" priority="1514" stopIfTrue="1">
      <formula>AI69=""</formula>
    </cfRule>
    <cfRule type="expression" dxfId="16344" priority="1515" stopIfTrue="1">
      <formula>AI69=CléPersonnalisée2</formula>
    </cfRule>
    <cfRule type="expression" dxfId="16343" priority="1516" stopIfTrue="1">
      <formula>AI69=CléPersonnalisée1</formula>
    </cfRule>
    <cfRule type="expression" dxfId="16342" priority="1517" stopIfTrue="1">
      <formula>AI69=CléMaladie</formula>
    </cfRule>
    <cfRule type="expression" dxfId="16341" priority="1518" stopIfTrue="1">
      <formula>AI69=CléPersonnelle</formula>
    </cfRule>
    <cfRule type="expression" dxfId="16340" priority="1519" stopIfTrue="1">
      <formula>AI69=CléCongés</formula>
    </cfRule>
  </conditionalFormatting>
  <conditionalFormatting sqref="AM69:AP70">
    <cfRule type="expression" priority="1508" stopIfTrue="1">
      <formula>AM69=""</formula>
    </cfRule>
    <cfRule type="expression" dxfId="16339" priority="1509" stopIfTrue="1">
      <formula>AM69=CléPersonnalisée2</formula>
    </cfRule>
    <cfRule type="expression" dxfId="16338" priority="1510" stopIfTrue="1">
      <formula>AM69=CléPersonnalisée1</formula>
    </cfRule>
    <cfRule type="expression" dxfId="16337" priority="1511" stopIfTrue="1">
      <formula>AM69=CléMaladie</formula>
    </cfRule>
    <cfRule type="expression" dxfId="16336" priority="1512" stopIfTrue="1">
      <formula>AM69=CléPersonnelle</formula>
    </cfRule>
    <cfRule type="expression" dxfId="16335" priority="1513" stopIfTrue="1">
      <formula>AM69=CléCongés</formula>
    </cfRule>
  </conditionalFormatting>
  <conditionalFormatting sqref="AQ69:AR70">
    <cfRule type="expression" priority="1502" stopIfTrue="1">
      <formula>AQ69=""</formula>
    </cfRule>
    <cfRule type="expression" dxfId="16334" priority="1503" stopIfTrue="1">
      <formula>AQ69=CléPersonnalisée2</formula>
    </cfRule>
    <cfRule type="expression" dxfId="16333" priority="1504" stopIfTrue="1">
      <formula>AQ69=CléPersonnalisée1</formula>
    </cfRule>
    <cfRule type="expression" dxfId="16332" priority="1505" stopIfTrue="1">
      <formula>AQ69=CléMaladie</formula>
    </cfRule>
    <cfRule type="expression" dxfId="16331" priority="1506" stopIfTrue="1">
      <formula>AQ69=CléPersonnelle</formula>
    </cfRule>
    <cfRule type="expression" dxfId="16330" priority="1507" stopIfTrue="1">
      <formula>AQ69=CléCongés</formula>
    </cfRule>
  </conditionalFormatting>
  <conditionalFormatting sqref="AM71 AP71">
    <cfRule type="expression" priority="1496" stopIfTrue="1">
      <formula>AM71=""</formula>
    </cfRule>
    <cfRule type="expression" dxfId="16329" priority="1497" stopIfTrue="1">
      <formula>AM71=CléPersonnalisée2</formula>
    </cfRule>
    <cfRule type="expression" dxfId="16328" priority="1498" stopIfTrue="1">
      <formula>AM71=CléPersonnalisée1</formula>
    </cfRule>
    <cfRule type="expression" dxfId="16327" priority="1499" stopIfTrue="1">
      <formula>AM71=CléMaladie</formula>
    </cfRule>
    <cfRule type="expression" dxfId="16326" priority="1500" stopIfTrue="1">
      <formula>AM71=CléPersonnelle</formula>
    </cfRule>
    <cfRule type="expression" dxfId="16325" priority="1501" stopIfTrue="1">
      <formula>AM71=CléCongés</formula>
    </cfRule>
  </conditionalFormatting>
  <conditionalFormatting sqref="AI23">
    <cfRule type="expression" priority="1484" stopIfTrue="1">
      <formula>AI23=""</formula>
    </cfRule>
    <cfRule type="expression" dxfId="16324" priority="1485" stopIfTrue="1">
      <formula>AI23=CléPersonnalisée2</formula>
    </cfRule>
    <cfRule type="expression" dxfId="16323" priority="1486" stopIfTrue="1">
      <formula>AI23=CléPersonnalisée1</formula>
    </cfRule>
    <cfRule type="expression" dxfId="16322" priority="1487" stopIfTrue="1">
      <formula>AI23=CléMaladie</formula>
    </cfRule>
    <cfRule type="expression" dxfId="16321" priority="1488" stopIfTrue="1">
      <formula>AI23=CléPersonnelle</formula>
    </cfRule>
    <cfRule type="expression" dxfId="16320" priority="1489" stopIfTrue="1">
      <formula>AI23=CléCongés</formula>
    </cfRule>
  </conditionalFormatting>
  <conditionalFormatting sqref="AI19">
    <cfRule type="expression" priority="1490" stopIfTrue="1">
      <formula>AI19=""</formula>
    </cfRule>
    <cfRule type="expression" dxfId="16319" priority="1491" stopIfTrue="1">
      <formula>AI19=CléPersonnalisée2</formula>
    </cfRule>
    <cfRule type="expression" dxfId="16318" priority="1492" stopIfTrue="1">
      <formula>AI19=CléPersonnalisée1</formula>
    </cfRule>
    <cfRule type="expression" dxfId="16317" priority="1493" stopIfTrue="1">
      <formula>AI19=CléMaladie</formula>
    </cfRule>
    <cfRule type="expression" dxfId="16316" priority="1494" stopIfTrue="1">
      <formula>AI19=CléPersonnelle</formula>
    </cfRule>
    <cfRule type="expression" dxfId="16315" priority="1495" stopIfTrue="1">
      <formula>AI19=CléCongés</formula>
    </cfRule>
  </conditionalFormatting>
  <conditionalFormatting sqref="AI25:AI26">
    <cfRule type="expression" priority="1338" stopIfTrue="1">
      <formula>AI25=""</formula>
    </cfRule>
    <cfRule type="expression" dxfId="16314" priority="1339" stopIfTrue="1">
      <formula>AI25=CléPersonnalisée2</formula>
    </cfRule>
    <cfRule type="expression" dxfId="16313" priority="1340" stopIfTrue="1">
      <formula>AI25=CléPersonnalisée1</formula>
    </cfRule>
    <cfRule type="expression" dxfId="16312" priority="1341" stopIfTrue="1">
      <formula>AI25=CléMaladie</formula>
    </cfRule>
    <cfRule type="expression" dxfId="16311" priority="1342" stopIfTrue="1">
      <formula>AI25=CléPersonnelle</formula>
    </cfRule>
    <cfRule type="expression" dxfId="16310" priority="1343" stopIfTrue="1">
      <formula>AI25=CléCongés</formula>
    </cfRule>
  </conditionalFormatting>
  <conditionalFormatting sqref="AH19">
    <cfRule type="dataBar" priority="1483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{E99B7124-0E0C-4575-95A6-4EB02A68422D}</x14:id>
        </ext>
      </extLst>
    </cfRule>
  </conditionalFormatting>
  <conditionalFormatting sqref="AH23">
    <cfRule type="dataBar" priority="1482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{557FA23C-0F78-480C-8414-7D70178D9F3F}</x14:id>
        </ext>
      </extLst>
    </cfRule>
  </conditionalFormatting>
  <conditionalFormatting sqref="AM17:AP18">
    <cfRule type="expression" priority="1476" stopIfTrue="1">
      <formula>AM17=""</formula>
    </cfRule>
    <cfRule type="expression" dxfId="16309" priority="1477" stopIfTrue="1">
      <formula>AM17=CléPersonnalisée2</formula>
    </cfRule>
    <cfRule type="expression" dxfId="16308" priority="1478" stopIfTrue="1">
      <formula>AM17=CléPersonnalisée1</formula>
    </cfRule>
    <cfRule type="expression" dxfId="16307" priority="1479" stopIfTrue="1">
      <formula>AM17=CléMaladie</formula>
    </cfRule>
    <cfRule type="expression" dxfId="16306" priority="1480" stopIfTrue="1">
      <formula>AM17=CléPersonnelle</formula>
    </cfRule>
    <cfRule type="expression" dxfId="16305" priority="1481" stopIfTrue="1">
      <formula>AM17=CléCongés</formula>
    </cfRule>
  </conditionalFormatting>
  <conditionalFormatting sqref="AQ17:AR18">
    <cfRule type="expression" priority="1470" stopIfTrue="1">
      <formula>AQ17=""</formula>
    </cfRule>
    <cfRule type="expression" dxfId="16304" priority="1471" stopIfTrue="1">
      <formula>AQ17=CléPersonnalisée2</formula>
    </cfRule>
    <cfRule type="expression" dxfId="16303" priority="1472" stopIfTrue="1">
      <formula>AQ17=CléPersonnalisée1</formula>
    </cfRule>
    <cfRule type="expression" dxfId="16302" priority="1473" stopIfTrue="1">
      <formula>AQ17=CléMaladie</formula>
    </cfRule>
    <cfRule type="expression" dxfId="16301" priority="1474" stopIfTrue="1">
      <formula>AQ17=CléPersonnelle</formula>
    </cfRule>
    <cfRule type="expression" dxfId="16300" priority="1475" stopIfTrue="1">
      <formula>AQ17=CléCongés</formula>
    </cfRule>
  </conditionalFormatting>
  <conditionalFormatting sqref="AM19 AP19">
    <cfRule type="expression" priority="1464" stopIfTrue="1">
      <formula>AM19=""</formula>
    </cfRule>
    <cfRule type="expression" dxfId="16299" priority="1465" stopIfTrue="1">
      <formula>AM19=CléPersonnalisée2</formula>
    </cfRule>
    <cfRule type="expression" dxfId="16298" priority="1466" stopIfTrue="1">
      <formula>AM19=CléPersonnalisée1</formula>
    </cfRule>
    <cfRule type="expression" dxfId="16297" priority="1467" stopIfTrue="1">
      <formula>AM19=CléMaladie</formula>
    </cfRule>
    <cfRule type="expression" dxfId="16296" priority="1468" stopIfTrue="1">
      <formula>AM19=CléPersonnelle</formula>
    </cfRule>
    <cfRule type="expression" dxfId="16295" priority="1469" stopIfTrue="1">
      <formula>AM19=CléCongés</formula>
    </cfRule>
  </conditionalFormatting>
  <conditionalFormatting sqref="AO31">
    <cfRule type="expression" priority="1404" stopIfTrue="1">
      <formula>AO31=""</formula>
    </cfRule>
    <cfRule type="expression" dxfId="16294" priority="1405" stopIfTrue="1">
      <formula>AO31=CléPersonnalisée2</formula>
    </cfRule>
    <cfRule type="expression" dxfId="16293" priority="1406" stopIfTrue="1">
      <formula>AO31=CléPersonnalisée1</formula>
    </cfRule>
    <cfRule type="expression" dxfId="16292" priority="1407" stopIfTrue="1">
      <formula>AO31=CléMaladie</formula>
    </cfRule>
    <cfRule type="expression" dxfId="16291" priority="1408" stopIfTrue="1">
      <formula>AO31=CléPersonnelle</formula>
    </cfRule>
    <cfRule type="expression" dxfId="16290" priority="1409" stopIfTrue="1">
      <formula>AO31=CléCongés</formula>
    </cfRule>
  </conditionalFormatting>
  <conditionalFormatting sqref="AM21:AP22">
    <cfRule type="expression" priority="1458" stopIfTrue="1">
      <formula>AM21=""</formula>
    </cfRule>
    <cfRule type="expression" dxfId="16289" priority="1459" stopIfTrue="1">
      <formula>AM21=CléPersonnalisée2</formula>
    </cfRule>
    <cfRule type="expression" dxfId="16288" priority="1460" stopIfTrue="1">
      <formula>AM21=CléPersonnalisée1</formula>
    </cfRule>
    <cfRule type="expression" dxfId="16287" priority="1461" stopIfTrue="1">
      <formula>AM21=CléMaladie</formula>
    </cfRule>
    <cfRule type="expression" dxfId="16286" priority="1462" stopIfTrue="1">
      <formula>AM21=CléPersonnelle</formula>
    </cfRule>
    <cfRule type="expression" dxfId="16285" priority="1463" stopIfTrue="1">
      <formula>AM21=CléCongés</formula>
    </cfRule>
  </conditionalFormatting>
  <conditionalFormatting sqref="AQ21:AR22">
    <cfRule type="expression" priority="1452" stopIfTrue="1">
      <formula>AQ21=""</formula>
    </cfRule>
    <cfRule type="expression" dxfId="16284" priority="1453" stopIfTrue="1">
      <formula>AQ21=CléPersonnalisée2</formula>
    </cfRule>
    <cfRule type="expression" dxfId="16283" priority="1454" stopIfTrue="1">
      <formula>AQ21=CléPersonnalisée1</formula>
    </cfRule>
    <cfRule type="expression" dxfId="16282" priority="1455" stopIfTrue="1">
      <formula>AQ21=CléMaladie</formula>
    </cfRule>
    <cfRule type="expression" dxfId="16281" priority="1456" stopIfTrue="1">
      <formula>AQ21=CléPersonnelle</formula>
    </cfRule>
    <cfRule type="expression" dxfId="16280" priority="1457" stopIfTrue="1">
      <formula>AQ21=CléCongés</formula>
    </cfRule>
  </conditionalFormatting>
  <conditionalFormatting sqref="AM23 AP23">
    <cfRule type="expression" priority="1446" stopIfTrue="1">
      <formula>AM23=""</formula>
    </cfRule>
    <cfRule type="expression" dxfId="16279" priority="1447" stopIfTrue="1">
      <formula>AM23=CléPersonnalisée2</formula>
    </cfRule>
    <cfRule type="expression" dxfId="16278" priority="1448" stopIfTrue="1">
      <formula>AM23=CléPersonnalisée1</formula>
    </cfRule>
    <cfRule type="expression" dxfId="16277" priority="1449" stopIfTrue="1">
      <formula>AM23=CléMaladie</formula>
    </cfRule>
    <cfRule type="expression" dxfId="16276" priority="1450" stopIfTrue="1">
      <formula>AM23=CléPersonnelle</formula>
    </cfRule>
    <cfRule type="expression" dxfId="16275" priority="1451" stopIfTrue="1">
      <formula>AM23=CléCongés</formula>
    </cfRule>
  </conditionalFormatting>
  <conditionalFormatting sqref="AH17:AH18">
    <cfRule type="dataBar" priority="1445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{9A5EC948-5276-497C-BE58-435F5E18493C}</x14:id>
        </ext>
      </extLst>
    </cfRule>
  </conditionalFormatting>
  <conditionalFormatting sqref="AH21:AH22">
    <cfRule type="dataBar" priority="1444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{FE3CD9B9-0A50-4892-9202-33158D9B9183}</x14:id>
        </ext>
      </extLst>
    </cfRule>
  </conditionalFormatting>
  <conditionalFormatting sqref="AH25:AH26">
    <cfRule type="dataBar" priority="1443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{87594533-BFA7-4F92-8682-32DAFA61E3B7}</x14:id>
        </ext>
      </extLst>
    </cfRule>
  </conditionalFormatting>
  <conditionalFormatting sqref="AH29:AH30">
    <cfRule type="dataBar" priority="1442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{C9F7FA33-79F5-4A92-A523-0A6C6A41711B}</x14:id>
        </ext>
      </extLst>
    </cfRule>
  </conditionalFormatting>
  <conditionalFormatting sqref="AH33:AH34">
    <cfRule type="dataBar" priority="1441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{43D708C4-4B5A-4AA7-A4FB-AD99E0C1A8F6}</x14:id>
        </ext>
      </extLst>
    </cfRule>
  </conditionalFormatting>
  <conditionalFormatting sqref="AH37:AH38">
    <cfRule type="dataBar" priority="1440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{0A58943F-E9B0-4D8A-A1E0-B07FCEA7885C}</x14:id>
        </ext>
      </extLst>
    </cfRule>
  </conditionalFormatting>
  <conditionalFormatting sqref="AH41:AH42">
    <cfRule type="dataBar" priority="1439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{A97C7ED7-99F8-47B7-A10A-E9AB5E07B0FC}</x14:id>
        </ext>
      </extLst>
    </cfRule>
  </conditionalFormatting>
  <conditionalFormatting sqref="AH45:AH46">
    <cfRule type="dataBar" priority="1438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{1E2263BB-2EFC-44F9-ADC6-CA9A71C07750}</x14:id>
        </ext>
      </extLst>
    </cfRule>
  </conditionalFormatting>
  <conditionalFormatting sqref="AH49:AH50">
    <cfRule type="dataBar" priority="1437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{606CFBB9-DC5E-4379-B644-DFA031385D65}</x14:id>
        </ext>
      </extLst>
    </cfRule>
  </conditionalFormatting>
  <conditionalFormatting sqref="AH53:AH54">
    <cfRule type="dataBar" priority="1436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{720D3F78-DCBA-4162-B9D5-6A31157553AA}</x14:id>
        </ext>
      </extLst>
    </cfRule>
  </conditionalFormatting>
  <conditionalFormatting sqref="AH61:AH62">
    <cfRule type="dataBar" priority="1435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{C913EC92-E1E1-4020-B688-4707525582B8}</x14:id>
        </ext>
      </extLst>
    </cfRule>
  </conditionalFormatting>
  <conditionalFormatting sqref="AH69:AH70">
    <cfRule type="dataBar" priority="1434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{526ABD54-7FE3-4DC1-8F0F-5C23B7CF88B4}</x14:id>
        </ext>
      </extLst>
    </cfRule>
  </conditionalFormatting>
  <conditionalFormatting sqref="AO11">
    <cfRule type="expression" priority="1428" stopIfTrue="1">
      <formula>AO11=""</formula>
    </cfRule>
    <cfRule type="expression" dxfId="16274" priority="1429" stopIfTrue="1">
      <formula>AO11=CléPersonnalisée2</formula>
    </cfRule>
    <cfRule type="expression" dxfId="16273" priority="1430" stopIfTrue="1">
      <formula>AO11=CléPersonnalisée1</formula>
    </cfRule>
    <cfRule type="expression" dxfId="16272" priority="1431" stopIfTrue="1">
      <formula>AO11=CléMaladie</formula>
    </cfRule>
    <cfRule type="expression" dxfId="16271" priority="1432" stopIfTrue="1">
      <formula>AO11=CléPersonnelle</formula>
    </cfRule>
    <cfRule type="expression" dxfId="16270" priority="1433" stopIfTrue="1">
      <formula>AO11=CléCongés</formula>
    </cfRule>
  </conditionalFormatting>
  <conditionalFormatting sqref="AO19">
    <cfRule type="expression" priority="1422" stopIfTrue="1">
      <formula>AO19=""</formula>
    </cfRule>
    <cfRule type="expression" dxfId="16269" priority="1423" stopIfTrue="1">
      <formula>AO19=CléPersonnalisée2</formula>
    </cfRule>
    <cfRule type="expression" dxfId="16268" priority="1424" stopIfTrue="1">
      <formula>AO19=CléPersonnalisée1</formula>
    </cfRule>
    <cfRule type="expression" dxfId="16267" priority="1425" stopIfTrue="1">
      <formula>AO19=CléMaladie</formula>
    </cfRule>
    <cfRule type="expression" dxfId="16266" priority="1426" stopIfTrue="1">
      <formula>AO19=CléPersonnelle</formula>
    </cfRule>
    <cfRule type="expression" dxfId="16265" priority="1427" stopIfTrue="1">
      <formula>AO19=CléCongés</formula>
    </cfRule>
  </conditionalFormatting>
  <conditionalFormatting sqref="AO23">
    <cfRule type="expression" priority="1416" stopIfTrue="1">
      <formula>AO23=""</formula>
    </cfRule>
    <cfRule type="expression" dxfId="16264" priority="1417" stopIfTrue="1">
      <formula>AO23=CléPersonnalisée2</formula>
    </cfRule>
    <cfRule type="expression" dxfId="16263" priority="1418" stopIfTrue="1">
      <formula>AO23=CléPersonnalisée1</formula>
    </cfRule>
    <cfRule type="expression" dxfId="16262" priority="1419" stopIfTrue="1">
      <formula>AO23=CléMaladie</formula>
    </cfRule>
    <cfRule type="expression" dxfId="16261" priority="1420" stopIfTrue="1">
      <formula>AO23=CléPersonnelle</formula>
    </cfRule>
    <cfRule type="expression" dxfId="16260" priority="1421" stopIfTrue="1">
      <formula>AO23=CléCongés</formula>
    </cfRule>
  </conditionalFormatting>
  <conditionalFormatting sqref="AO27">
    <cfRule type="expression" priority="1410" stopIfTrue="1">
      <formula>AO27=""</formula>
    </cfRule>
    <cfRule type="expression" dxfId="16259" priority="1411" stopIfTrue="1">
      <formula>AO27=CléPersonnalisée2</formula>
    </cfRule>
    <cfRule type="expression" dxfId="16258" priority="1412" stopIfTrue="1">
      <formula>AO27=CléPersonnalisée1</formula>
    </cfRule>
    <cfRule type="expression" dxfId="16257" priority="1413" stopIfTrue="1">
      <formula>AO27=CléMaladie</formula>
    </cfRule>
    <cfRule type="expression" dxfId="16256" priority="1414" stopIfTrue="1">
      <formula>AO27=CléPersonnelle</formula>
    </cfRule>
    <cfRule type="expression" dxfId="16255" priority="1415" stopIfTrue="1">
      <formula>AO27=CléCongés</formula>
    </cfRule>
  </conditionalFormatting>
  <conditionalFormatting sqref="AM65:AP66">
    <cfRule type="expression" priority="1156" stopIfTrue="1">
      <formula>AM65=""</formula>
    </cfRule>
    <cfRule type="expression" dxfId="16254" priority="1157" stopIfTrue="1">
      <formula>AM65=CléPersonnalisée2</formula>
    </cfRule>
    <cfRule type="expression" dxfId="16253" priority="1158" stopIfTrue="1">
      <formula>AM65=CléPersonnalisée1</formula>
    </cfRule>
    <cfRule type="expression" dxfId="16252" priority="1159" stopIfTrue="1">
      <formula>AM65=CléMaladie</formula>
    </cfRule>
    <cfRule type="expression" dxfId="16251" priority="1160" stopIfTrue="1">
      <formula>AM65=CléPersonnelle</formula>
    </cfRule>
    <cfRule type="expression" dxfId="16250" priority="1161" stopIfTrue="1">
      <formula>AM65=CléCongés</formula>
    </cfRule>
  </conditionalFormatting>
  <conditionalFormatting sqref="AO35">
    <cfRule type="expression" priority="1398" stopIfTrue="1">
      <formula>AO35=""</formula>
    </cfRule>
    <cfRule type="expression" dxfId="16249" priority="1399" stopIfTrue="1">
      <formula>AO35=CléPersonnalisée2</formula>
    </cfRule>
    <cfRule type="expression" dxfId="16248" priority="1400" stopIfTrue="1">
      <formula>AO35=CléPersonnalisée1</formula>
    </cfRule>
    <cfRule type="expression" dxfId="16247" priority="1401" stopIfTrue="1">
      <formula>AO35=CléMaladie</formula>
    </cfRule>
    <cfRule type="expression" dxfId="16246" priority="1402" stopIfTrue="1">
      <formula>AO35=CléPersonnelle</formula>
    </cfRule>
    <cfRule type="expression" dxfId="16245" priority="1403" stopIfTrue="1">
      <formula>AO35=CléCongés</formula>
    </cfRule>
  </conditionalFormatting>
  <conditionalFormatting sqref="AM67 AP67">
    <cfRule type="expression" priority="1144" stopIfTrue="1">
      <formula>AM67=""</formula>
    </cfRule>
    <cfRule type="expression" dxfId="16244" priority="1145" stopIfTrue="1">
      <formula>AM67=CléPersonnalisée2</formula>
    </cfRule>
    <cfRule type="expression" dxfId="16243" priority="1146" stopIfTrue="1">
      <formula>AM67=CléPersonnalisée1</formula>
    </cfRule>
    <cfRule type="expression" dxfId="16242" priority="1147" stopIfTrue="1">
      <formula>AM67=CléMaladie</formula>
    </cfRule>
    <cfRule type="expression" dxfId="16241" priority="1148" stopIfTrue="1">
      <formula>AM67=CléPersonnelle</formula>
    </cfRule>
    <cfRule type="expression" dxfId="16240" priority="1149" stopIfTrue="1">
      <formula>AM67=CléCongés</formula>
    </cfRule>
  </conditionalFormatting>
  <conditionalFormatting sqref="AO43">
    <cfRule type="expression" priority="1386" stopIfTrue="1">
      <formula>AO43=""</formula>
    </cfRule>
    <cfRule type="expression" dxfId="16239" priority="1387" stopIfTrue="1">
      <formula>AO43=CléPersonnalisée2</formula>
    </cfRule>
    <cfRule type="expression" dxfId="16238" priority="1388" stopIfTrue="1">
      <formula>AO43=CléPersonnalisée1</formula>
    </cfRule>
    <cfRule type="expression" dxfId="16237" priority="1389" stopIfTrue="1">
      <formula>AO43=CléMaladie</formula>
    </cfRule>
    <cfRule type="expression" dxfId="16236" priority="1390" stopIfTrue="1">
      <formula>AO43=CléPersonnelle</formula>
    </cfRule>
    <cfRule type="expression" dxfId="16235" priority="1391" stopIfTrue="1">
      <formula>AO43=CléCongés</formula>
    </cfRule>
  </conditionalFormatting>
  <conditionalFormatting sqref="AO47">
    <cfRule type="expression" priority="1380" stopIfTrue="1">
      <formula>AO47=""</formula>
    </cfRule>
    <cfRule type="expression" dxfId="16234" priority="1381" stopIfTrue="1">
      <formula>AO47=CléPersonnalisée2</formula>
    </cfRule>
    <cfRule type="expression" dxfId="16233" priority="1382" stopIfTrue="1">
      <formula>AO47=CléPersonnalisée1</formula>
    </cfRule>
    <cfRule type="expression" dxfId="16232" priority="1383" stopIfTrue="1">
      <formula>AO47=CléMaladie</formula>
    </cfRule>
    <cfRule type="expression" dxfId="16231" priority="1384" stopIfTrue="1">
      <formula>AO47=CléPersonnelle</formula>
    </cfRule>
    <cfRule type="expression" dxfId="16230" priority="1385" stopIfTrue="1">
      <formula>AO47=CléCongés</formula>
    </cfRule>
  </conditionalFormatting>
  <conditionalFormatting sqref="AO51">
    <cfRule type="expression" priority="1374" stopIfTrue="1">
      <formula>AO51=""</formula>
    </cfRule>
    <cfRule type="expression" dxfId="16229" priority="1375" stopIfTrue="1">
      <formula>AO51=CléPersonnalisée2</formula>
    </cfRule>
    <cfRule type="expression" dxfId="16228" priority="1376" stopIfTrue="1">
      <formula>AO51=CléPersonnalisée1</formula>
    </cfRule>
    <cfRule type="expression" dxfId="16227" priority="1377" stopIfTrue="1">
      <formula>AO51=CléMaladie</formula>
    </cfRule>
    <cfRule type="expression" dxfId="16226" priority="1378" stopIfTrue="1">
      <formula>AO51=CléPersonnelle</formula>
    </cfRule>
    <cfRule type="expression" dxfId="16225" priority="1379" stopIfTrue="1">
      <formula>AO51=CléCongés</formula>
    </cfRule>
  </conditionalFormatting>
  <conditionalFormatting sqref="AO55">
    <cfRule type="expression" priority="1368" stopIfTrue="1">
      <formula>AO55=""</formula>
    </cfRule>
    <cfRule type="expression" dxfId="16224" priority="1369" stopIfTrue="1">
      <formula>AO55=CléPersonnalisée2</formula>
    </cfRule>
    <cfRule type="expression" dxfId="16223" priority="1370" stopIfTrue="1">
      <formula>AO55=CléPersonnalisée1</formula>
    </cfRule>
    <cfRule type="expression" dxfId="16222" priority="1371" stopIfTrue="1">
      <formula>AO55=CléMaladie</formula>
    </cfRule>
    <cfRule type="expression" dxfId="16221" priority="1372" stopIfTrue="1">
      <formula>AO55=CléPersonnelle</formula>
    </cfRule>
    <cfRule type="expression" dxfId="16220" priority="1373" stopIfTrue="1">
      <formula>AO55=CléCongés</formula>
    </cfRule>
  </conditionalFormatting>
  <conditionalFormatting sqref="AO63">
    <cfRule type="expression" priority="1362" stopIfTrue="1">
      <formula>AO63=""</formula>
    </cfRule>
    <cfRule type="expression" dxfId="16219" priority="1363" stopIfTrue="1">
      <formula>AO63=CléPersonnalisée2</formula>
    </cfRule>
    <cfRule type="expression" dxfId="16218" priority="1364" stopIfTrue="1">
      <formula>AO63=CléPersonnalisée1</formula>
    </cfRule>
    <cfRule type="expression" dxfId="16217" priority="1365" stopIfTrue="1">
      <formula>AO63=CléMaladie</formula>
    </cfRule>
    <cfRule type="expression" dxfId="16216" priority="1366" stopIfTrue="1">
      <formula>AO63=CléPersonnelle</formula>
    </cfRule>
    <cfRule type="expression" dxfId="16215" priority="1367" stopIfTrue="1">
      <formula>AO63=CléCongés</formula>
    </cfRule>
  </conditionalFormatting>
  <conditionalFormatting sqref="AO71">
    <cfRule type="expression" priority="1356" stopIfTrue="1">
      <formula>AO71=""</formula>
    </cfRule>
    <cfRule type="expression" dxfId="16214" priority="1357" stopIfTrue="1">
      <formula>AO71=CléPersonnalisée2</formula>
    </cfRule>
    <cfRule type="expression" dxfId="16213" priority="1358" stopIfTrue="1">
      <formula>AO71=CléPersonnalisée1</formula>
    </cfRule>
    <cfRule type="expression" dxfId="16212" priority="1359" stopIfTrue="1">
      <formula>AO71=CléMaladie</formula>
    </cfRule>
    <cfRule type="expression" dxfId="16211" priority="1360" stopIfTrue="1">
      <formula>AO71=CléPersonnelle</formula>
    </cfRule>
    <cfRule type="expression" dxfId="16210" priority="1361" stopIfTrue="1">
      <formula>AO71=CléCongés</formula>
    </cfRule>
  </conditionalFormatting>
  <conditionalFormatting sqref="AI17:AI18">
    <cfRule type="expression" priority="1350" stopIfTrue="1">
      <formula>AI17=""</formula>
    </cfRule>
    <cfRule type="expression" dxfId="16209" priority="1351" stopIfTrue="1">
      <formula>AI17=CléPersonnalisée2</formula>
    </cfRule>
    <cfRule type="expression" dxfId="16208" priority="1352" stopIfTrue="1">
      <formula>AI17=CléPersonnalisée1</formula>
    </cfRule>
    <cfRule type="expression" dxfId="16207" priority="1353" stopIfTrue="1">
      <formula>AI17=CléMaladie</formula>
    </cfRule>
    <cfRule type="expression" dxfId="16206" priority="1354" stopIfTrue="1">
      <formula>AI17=CléPersonnelle</formula>
    </cfRule>
    <cfRule type="expression" dxfId="16205" priority="1355" stopIfTrue="1">
      <formula>AI17=CléCongés</formula>
    </cfRule>
  </conditionalFormatting>
  <conditionalFormatting sqref="AI21:AI22">
    <cfRule type="expression" priority="1344" stopIfTrue="1">
      <formula>AI21=""</formula>
    </cfRule>
    <cfRule type="expression" dxfId="16204" priority="1345" stopIfTrue="1">
      <formula>AI21=CléPersonnalisée2</formula>
    </cfRule>
    <cfRule type="expression" dxfId="16203" priority="1346" stopIfTrue="1">
      <formula>AI21=CléPersonnalisée1</formula>
    </cfRule>
    <cfRule type="expression" dxfId="16202" priority="1347" stopIfTrue="1">
      <formula>AI21=CléMaladie</formula>
    </cfRule>
    <cfRule type="expression" dxfId="16201" priority="1348" stopIfTrue="1">
      <formula>AI21=CléPersonnelle</formula>
    </cfRule>
    <cfRule type="expression" dxfId="16200" priority="1349" stopIfTrue="1">
      <formula>AI21=CléCongés</formula>
    </cfRule>
  </conditionalFormatting>
  <conditionalFormatting sqref="AI29:AI30">
    <cfRule type="expression" priority="1332" stopIfTrue="1">
      <formula>AI29=""</formula>
    </cfRule>
    <cfRule type="expression" dxfId="16199" priority="1333" stopIfTrue="1">
      <formula>AI29=CléPersonnalisée2</formula>
    </cfRule>
    <cfRule type="expression" dxfId="16198" priority="1334" stopIfTrue="1">
      <formula>AI29=CléPersonnalisée1</formula>
    </cfRule>
    <cfRule type="expression" dxfId="16197" priority="1335" stopIfTrue="1">
      <formula>AI29=CléMaladie</formula>
    </cfRule>
    <cfRule type="expression" dxfId="16196" priority="1336" stopIfTrue="1">
      <formula>AI29=CléPersonnelle</formula>
    </cfRule>
    <cfRule type="expression" dxfId="16195" priority="1337" stopIfTrue="1">
      <formula>AI29=CléCongés</formula>
    </cfRule>
  </conditionalFormatting>
  <conditionalFormatting sqref="AI33:AI34">
    <cfRule type="expression" priority="1326" stopIfTrue="1">
      <formula>AI33=""</formula>
    </cfRule>
    <cfRule type="expression" dxfId="16194" priority="1327" stopIfTrue="1">
      <formula>AI33=CléPersonnalisée2</formula>
    </cfRule>
    <cfRule type="expression" dxfId="16193" priority="1328" stopIfTrue="1">
      <formula>AI33=CléPersonnalisée1</formula>
    </cfRule>
    <cfRule type="expression" dxfId="16192" priority="1329" stopIfTrue="1">
      <formula>AI33=CléMaladie</formula>
    </cfRule>
    <cfRule type="expression" dxfId="16191" priority="1330" stopIfTrue="1">
      <formula>AI33=CléPersonnelle</formula>
    </cfRule>
    <cfRule type="expression" dxfId="16190" priority="1331" stopIfTrue="1">
      <formula>AI33=CléCongés</formula>
    </cfRule>
  </conditionalFormatting>
  <conditionalFormatting sqref="AI37:AI38">
    <cfRule type="expression" priority="1320" stopIfTrue="1">
      <formula>AI37=""</formula>
    </cfRule>
    <cfRule type="expression" dxfId="16189" priority="1321" stopIfTrue="1">
      <formula>AI37=CléPersonnalisée2</formula>
    </cfRule>
    <cfRule type="expression" dxfId="16188" priority="1322" stopIfTrue="1">
      <formula>AI37=CléPersonnalisée1</formula>
    </cfRule>
    <cfRule type="expression" dxfId="16187" priority="1323" stopIfTrue="1">
      <formula>AI37=CléMaladie</formula>
    </cfRule>
    <cfRule type="expression" dxfId="16186" priority="1324" stopIfTrue="1">
      <formula>AI37=CléPersonnelle</formula>
    </cfRule>
    <cfRule type="expression" dxfId="16185" priority="1325" stopIfTrue="1">
      <formula>AI37=CléCongés</formula>
    </cfRule>
  </conditionalFormatting>
  <conditionalFormatting sqref="AI41:AI42">
    <cfRule type="expression" priority="1314" stopIfTrue="1">
      <formula>AI41=""</formula>
    </cfRule>
    <cfRule type="expression" dxfId="16184" priority="1315" stopIfTrue="1">
      <formula>AI41=CléPersonnalisée2</formula>
    </cfRule>
    <cfRule type="expression" dxfId="16183" priority="1316" stopIfTrue="1">
      <formula>AI41=CléPersonnalisée1</formula>
    </cfRule>
    <cfRule type="expression" dxfId="16182" priority="1317" stopIfTrue="1">
      <formula>AI41=CléMaladie</formula>
    </cfRule>
    <cfRule type="expression" dxfId="16181" priority="1318" stopIfTrue="1">
      <formula>AI41=CléPersonnelle</formula>
    </cfRule>
    <cfRule type="expression" dxfId="16180" priority="1319" stopIfTrue="1">
      <formula>AI41=CléCongés</formula>
    </cfRule>
  </conditionalFormatting>
  <conditionalFormatting sqref="AI45:AI46">
    <cfRule type="expression" priority="1308" stopIfTrue="1">
      <formula>AI45=""</formula>
    </cfRule>
    <cfRule type="expression" dxfId="16179" priority="1309" stopIfTrue="1">
      <formula>AI45=CléPersonnalisée2</formula>
    </cfRule>
    <cfRule type="expression" dxfId="16178" priority="1310" stopIfTrue="1">
      <formula>AI45=CléPersonnalisée1</formula>
    </cfRule>
    <cfRule type="expression" dxfId="16177" priority="1311" stopIfTrue="1">
      <formula>AI45=CléMaladie</formula>
    </cfRule>
    <cfRule type="expression" dxfId="16176" priority="1312" stopIfTrue="1">
      <formula>AI45=CléPersonnelle</formula>
    </cfRule>
    <cfRule type="expression" dxfId="16175" priority="1313" stopIfTrue="1">
      <formula>AI45=CléCongés</formula>
    </cfRule>
  </conditionalFormatting>
  <conditionalFormatting sqref="AI49:AI50">
    <cfRule type="expression" priority="1302" stopIfTrue="1">
      <formula>AI49=""</formula>
    </cfRule>
    <cfRule type="expression" dxfId="16174" priority="1303" stopIfTrue="1">
      <formula>AI49=CléPersonnalisée2</formula>
    </cfRule>
    <cfRule type="expression" dxfId="16173" priority="1304" stopIfTrue="1">
      <formula>AI49=CléPersonnalisée1</formula>
    </cfRule>
    <cfRule type="expression" dxfId="16172" priority="1305" stopIfTrue="1">
      <formula>AI49=CléMaladie</formula>
    </cfRule>
    <cfRule type="expression" dxfId="16171" priority="1306" stopIfTrue="1">
      <formula>AI49=CléPersonnelle</formula>
    </cfRule>
    <cfRule type="expression" dxfId="16170" priority="1307" stopIfTrue="1">
      <formula>AI49=CléCongés</formula>
    </cfRule>
  </conditionalFormatting>
  <conditionalFormatting sqref="AI53:AI54">
    <cfRule type="expression" priority="1296" stopIfTrue="1">
      <formula>AI53=""</formula>
    </cfRule>
    <cfRule type="expression" dxfId="16169" priority="1297" stopIfTrue="1">
      <formula>AI53=CléPersonnalisée2</formula>
    </cfRule>
    <cfRule type="expression" dxfId="16168" priority="1298" stopIfTrue="1">
      <formula>AI53=CléPersonnalisée1</formula>
    </cfRule>
    <cfRule type="expression" dxfId="16167" priority="1299" stopIfTrue="1">
      <formula>AI53=CléMaladie</formula>
    </cfRule>
    <cfRule type="expression" dxfId="16166" priority="1300" stopIfTrue="1">
      <formula>AI53=CléPersonnelle</formula>
    </cfRule>
    <cfRule type="expression" dxfId="16165" priority="1301" stopIfTrue="1">
      <formula>AI53=CléCongés</formula>
    </cfRule>
  </conditionalFormatting>
  <conditionalFormatting sqref="AI61:AI62">
    <cfRule type="expression" priority="1290" stopIfTrue="1">
      <formula>AI61=""</formula>
    </cfRule>
    <cfRule type="expression" dxfId="16164" priority="1291" stopIfTrue="1">
      <formula>AI61=CléPersonnalisée2</formula>
    </cfRule>
    <cfRule type="expression" dxfId="16163" priority="1292" stopIfTrue="1">
      <formula>AI61=CléPersonnalisée1</formula>
    </cfRule>
    <cfRule type="expression" dxfId="16162" priority="1293" stopIfTrue="1">
      <formula>AI61=CléMaladie</formula>
    </cfRule>
    <cfRule type="expression" dxfId="16161" priority="1294" stopIfTrue="1">
      <formula>AI61=CléPersonnelle</formula>
    </cfRule>
    <cfRule type="expression" dxfId="16160" priority="1295" stopIfTrue="1">
      <formula>AI61=CléCongés</formula>
    </cfRule>
  </conditionalFormatting>
  <conditionalFormatting sqref="AI69:AI70">
    <cfRule type="expression" priority="1284" stopIfTrue="1">
      <formula>AI69=""</formula>
    </cfRule>
    <cfRule type="expression" dxfId="16159" priority="1285" stopIfTrue="1">
      <formula>AI69=CléPersonnalisée2</formula>
    </cfRule>
    <cfRule type="expression" dxfId="16158" priority="1286" stopIfTrue="1">
      <formula>AI69=CléPersonnalisée1</formula>
    </cfRule>
    <cfRule type="expression" dxfId="16157" priority="1287" stopIfTrue="1">
      <formula>AI69=CléMaladie</formula>
    </cfRule>
    <cfRule type="expression" dxfId="16156" priority="1288" stopIfTrue="1">
      <formula>AI69=CléPersonnelle</formula>
    </cfRule>
    <cfRule type="expression" dxfId="16155" priority="1289" stopIfTrue="1">
      <formula>AI69=CléCongés</formula>
    </cfRule>
  </conditionalFormatting>
  <conditionalFormatting sqref="AN11">
    <cfRule type="expression" priority="1278" stopIfTrue="1">
      <formula>AN11=""</formula>
    </cfRule>
    <cfRule type="expression" dxfId="16154" priority="1279" stopIfTrue="1">
      <formula>AN11=CléPersonnalisée2</formula>
    </cfRule>
    <cfRule type="expression" dxfId="16153" priority="1280" stopIfTrue="1">
      <formula>AN11=CléPersonnalisée1</formula>
    </cfRule>
    <cfRule type="expression" dxfId="16152" priority="1281" stopIfTrue="1">
      <formula>AN11=CléMaladie</formula>
    </cfRule>
    <cfRule type="expression" dxfId="16151" priority="1282" stopIfTrue="1">
      <formula>AN11=CléPersonnelle</formula>
    </cfRule>
    <cfRule type="expression" dxfId="16150" priority="1283" stopIfTrue="1">
      <formula>AN11=CléCongés</formula>
    </cfRule>
  </conditionalFormatting>
  <conditionalFormatting sqref="AN19">
    <cfRule type="expression" priority="1272" stopIfTrue="1">
      <formula>AN19=""</formula>
    </cfRule>
    <cfRule type="expression" dxfId="16149" priority="1273" stopIfTrue="1">
      <formula>AN19=CléPersonnalisée2</formula>
    </cfRule>
    <cfRule type="expression" dxfId="16148" priority="1274" stopIfTrue="1">
      <formula>AN19=CléPersonnalisée1</formula>
    </cfRule>
    <cfRule type="expression" dxfId="16147" priority="1275" stopIfTrue="1">
      <formula>AN19=CléMaladie</formula>
    </cfRule>
    <cfRule type="expression" dxfId="16146" priority="1276" stopIfTrue="1">
      <formula>AN19=CléPersonnelle</formula>
    </cfRule>
    <cfRule type="expression" dxfId="16145" priority="1277" stopIfTrue="1">
      <formula>AN19=CléCongés</formula>
    </cfRule>
  </conditionalFormatting>
  <conditionalFormatting sqref="AN23">
    <cfRule type="expression" priority="1266" stopIfTrue="1">
      <formula>AN23=""</formula>
    </cfRule>
    <cfRule type="expression" dxfId="16144" priority="1267" stopIfTrue="1">
      <formula>AN23=CléPersonnalisée2</formula>
    </cfRule>
    <cfRule type="expression" dxfId="16143" priority="1268" stopIfTrue="1">
      <formula>AN23=CléPersonnalisée1</formula>
    </cfRule>
    <cfRule type="expression" dxfId="16142" priority="1269" stopIfTrue="1">
      <formula>AN23=CléMaladie</formula>
    </cfRule>
    <cfRule type="expression" dxfId="16141" priority="1270" stopIfTrue="1">
      <formula>AN23=CléPersonnelle</formula>
    </cfRule>
    <cfRule type="expression" dxfId="16140" priority="1271" stopIfTrue="1">
      <formula>AN23=CléCongés</formula>
    </cfRule>
  </conditionalFormatting>
  <conditionalFormatting sqref="AN27">
    <cfRule type="expression" priority="1260" stopIfTrue="1">
      <formula>AN27=""</formula>
    </cfRule>
    <cfRule type="expression" dxfId="16139" priority="1261" stopIfTrue="1">
      <formula>AN27=CléPersonnalisée2</formula>
    </cfRule>
    <cfRule type="expression" dxfId="16138" priority="1262" stopIfTrue="1">
      <formula>AN27=CléPersonnalisée1</formula>
    </cfRule>
    <cfRule type="expression" dxfId="16137" priority="1263" stopIfTrue="1">
      <formula>AN27=CléMaladie</formula>
    </cfRule>
    <cfRule type="expression" dxfId="16136" priority="1264" stopIfTrue="1">
      <formula>AN27=CléPersonnelle</formula>
    </cfRule>
    <cfRule type="expression" dxfId="16135" priority="1265" stopIfTrue="1">
      <formula>AN27=CléCongés</formula>
    </cfRule>
  </conditionalFormatting>
  <conditionalFormatting sqref="AN31">
    <cfRule type="expression" priority="1254" stopIfTrue="1">
      <formula>AN31=""</formula>
    </cfRule>
    <cfRule type="expression" dxfId="16134" priority="1255" stopIfTrue="1">
      <formula>AN31=CléPersonnalisée2</formula>
    </cfRule>
    <cfRule type="expression" dxfId="16133" priority="1256" stopIfTrue="1">
      <formula>AN31=CléPersonnalisée1</formula>
    </cfRule>
    <cfRule type="expression" dxfId="16132" priority="1257" stopIfTrue="1">
      <formula>AN31=CléMaladie</formula>
    </cfRule>
    <cfRule type="expression" dxfId="16131" priority="1258" stopIfTrue="1">
      <formula>AN31=CléPersonnelle</formula>
    </cfRule>
    <cfRule type="expression" dxfId="16130" priority="1259" stopIfTrue="1">
      <formula>AN31=CléCongés</formula>
    </cfRule>
  </conditionalFormatting>
  <conditionalFormatting sqref="AN35">
    <cfRule type="expression" priority="1248" stopIfTrue="1">
      <formula>AN35=""</formula>
    </cfRule>
    <cfRule type="expression" dxfId="16129" priority="1249" stopIfTrue="1">
      <formula>AN35=CléPersonnalisée2</formula>
    </cfRule>
    <cfRule type="expression" dxfId="16128" priority="1250" stopIfTrue="1">
      <formula>AN35=CléPersonnalisée1</formula>
    </cfRule>
    <cfRule type="expression" dxfId="16127" priority="1251" stopIfTrue="1">
      <formula>AN35=CléMaladie</formula>
    </cfRule>
    <cfRule type="expression" dxfId="16126" priority="1252" stopIfTrue="1">
      <formula>AN35=CléPersonnelle</formula>
    </cfRule>
    <cfRule type="expression" dxfId="16125" priority="1253" stopIfTrue="1">
      <formula>AN35=CléCongés</formula>
    </cfRule>
  </conditionalFormatting>
  <conditionalFormatting sqref="AN39">
    <cfRule type="expression" priority="1242" stopIfTrue="1">
      <formula>AN39=""</formula>
    </cfRule>
    <cfRule type="expression" dxfId="16124" priority="1243" stopIfTrue="1">
      <formula>AN39=CléPersonnalisée2</formula>
    </cfRule>
    <cfRule type="expression" dxfId="16123" priority="1244" stopIfTrue="1">
      <formula>AN39=CléPersonnalisée1</formula>
    </cfRule>
    <cfRule type="expression" dxfId="16122" priority="1245" stopIfTrue="1">
      <formula>AN39=CléMaladie</formula>
    </cfRule>
    <cfRule type="expression" dxfId="16121" priority="1246" stopIfTrue="1">
      <formula>AN39=CléPersonnelle</formula>
    </cfRule>
    <cfRule type="expression" dxfId="16120" priority="1247" stopIfTrue="1">
      <formula>AN39=CléCongés</formula>
    </cfRule>
  </conditionalFormatting>
  <conditionalFormatting sqref="AN43">
    <cfRule type="expression" priority="1236" stopIfTrue="1">
      <formula>AN43=""</formula>
    </cfRule>
    <cfRule type="expression" dxfId="16119" priority="1237" stopIfTrue="1">
      <formula>AN43=CléPersonnalisée2</formula>
    </cfRule>
    <cfRule type="expression" dxfId="16118" priority="1238" stopIfTrue="1">
      <formula>AN43=CléPersonnalisée1</formula>
    </cfRule>
    <cfRule type="expression" dxfId="16117" priority="1239" stopIfTrue="1">
      <formula>AN43=CléMaladie</formula>
    </cfRule>
    <cfRule type="expression" dxfId="16116" priority="1240" stopIfTrue="1">
      <formula>AN43=CléPersonnelle</formula>
    </cfRule>
    <cfRule type="expression" dxfId="16115" priority="1241" stopIfTrue="1">
      <formula>AN43=CléCongés</formula>
    </cfRule>
  </conditionalFormatting>
  <conditionalFormatting sqref="AN47">
    <cfRule type="expression" priority="1230" stopIfTrue="1">
      <formula>AN47=""</formula>
    </cfRule>
    <cfRule type="expression" dxfId="16114" priority="1231" stopIfTrue="1">
      <formula>AN47=CléPersonnalisée2</formula>
    </cfRule>
    <cfRule type="expression" dxfId="16113" priority="1232" stopIfTrue="1">
      <formula>AN47=CléPersonnalisée1</formula>
    </cfRule>
    <cfRule type="expression" dxfId="16112" priority="1233" stopIfTrue="1">
      <formula>AN47=CléMaladie</formula>
    </cfRule>
    <cfRule type="expression" dxfId="16111" priority="1234" stopIfTrue="1">
      <formula>AN47=CléPersonnelle</formula>
    </cfRule>
    <cfRule type="expression" dxfId="16110" priority="1235" stopIfTrue="1">
      <formula>AN47=CléCongés</formula>
    </cfRule>
  </conditionalFormatting>
  <conditionalFormatting sqref="AN51">
    <cfRule type="expression" priority="1224" stopIfTrue="1">
      <formula>AN51=""</formula>
    </cfRule>
    <cfRule type="expression" dxfId="16109" priority="1225" stopIfTrue="1">
      <formula>AN51=CléPersonnalisée2</formula>
    </cfRule>
    <cfRule type="expression" dxfId="16108" priority="1226" stopIfTrue="1">
      <formula>AN51=CléPersonnalisée1</formula>
    </cfRule>
    <cfRule type="expression" dxfId="16107" priority="1227" stopIfTrue="1">
      <formula>AN51=CléMaladie</formula>
    </cfRule>
    <cfRule type="expression" dxfId="16106" priority="1228" stopIfTrue="1">
      <formula>AN51=CléPersonnelle</formula>
    </cfRule>
    <cfRule type="expression" dxfId="16105" priority="1229" stopIfTrue="1">
      <formula>AN51=CléCongés</formula>
    </cfRule>
  </conditionalFormatting>
  <conditionalFormatting sqref="AN55">
    <cfRule type="expression" priority="1218" stopIfTrue="1">
      <formula>AN55=""</formula>
    </cfRule>
    <cfRule type="expression" dxfId="16104" priority="1219" stopIfTrue="1">
      <formula>AN55=CléPersonnalisée2</formula>
    </cfRule>
    <cfRule type="expression" dxfId="16103" priority="1220" stopIfTrue="1">
      <formula>AN55=CléPersonnalisée1</formula>
    </cfRule>
    <cfRule type="expression" dxfId="16102" priority="1221" stopIfTrue="1">
      <formula>AN55=CléMaladie</formula>
    </cfRule>
    <cfRule type="expression" dxfId="16101" priority="1222" stopIfTrue="1">
      <formula>AN55=CléPersonnelle</formula>
    </cfRule>
    <cfRule type="expression" dxfId="16100" priority="1223" stopIfTrue="1">
      <formula>AN55=CléCongés</formula>
    </cfRule>
  </conditionalFormatting>
  <conditionalFormatting sqref="AN63">
    <cfRule type="expression" priority="1212" stopIfTrue="1">
      <formula>AN63=""</formula>
    </cfRule>
    <cfRule type="expression" dxfId="16099" priority="1213" stopIfTrue="1">
      <formula>AN63=CléPersonnalisée2</formula>
    </cfRule>
    <cfRule type="expression" dxfId="16098" priority="1214" stopIfTrue="1">
      <formula>AN63=CléPersonnalisée1</formula>
    </cfRule>
    <cfRule type="expression" dxfId="16097" priority="1215" stopIfTrue="1">
      <formula>AN63=CléMaladie</formula>
    </cfRule>
    <cfRule type="expression" dxfId="16096" priority="1216" stopIfTrue="1">
      <formula>AN63=CléPersonnelle</formula>
    </cfRule>
    <cfRule type="expression" dxfId="16095" priority="1217" stopIfTrue="1">
      <formula>AN63=CléCongés</formula>
    </cfRule>
  </conditionalFormatting>
  <conditionalFormatting sqref="AN71">
    <cfRule type="expression" priority="1206" stopIfTrue="1">
      <formula>AN71=""</formula>
    </cfRule>
    <cfRule type="expression" dxfId="16094" priority="1207" stopIfTrue="1">
      <formula>AN71=CléPersonnalisée2</formula>
    </cfRule>
    <cfRule type="expression" dxfId="16093" priority="1208" stopIfTrue="1">
      <formula>AN71=CléPersonnalisée1</formula>
    </cfRule>
    <cfRule type="expression" dxfId="16092" priority="1209" stopIfTrue="1">
      <formula>AN71=CléMaladie</formula>
    </cfRule>
    <cfRule type="expression" dxfId="16091" priority="1210" stopIfTrue="1">
      <formula>AN71=CléPersonnelle</formula>
    </cfRule>
    <cfRule type="expression" dxfId="16090" priority="1211" stopIfTrue="1">
      <formula>AN71=CléCongés</formula>
    </cfRule>
  </conditionalFormatting>
  <conditionalFormatting sqref="AH7">
    <cfRule type="dataBar" priority="1205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{E7E84E6F-DED1-477C-8D8E-CEE0A8670870}</x14:id>
        </ext>
      </extLst>
    </cfRule>
  </conditionalFormatting>
  <conditionalFormatting sqref="AI7:AL7">
    <cfRule type="expression" priority="1199" stopIfTrue="1">
      <formula>AI7=""</formula>
    </cfRule>
    <cfRule type="expression" dxfId="16089" priority="1200" stopIfTrue="1">
      <formula>AI7=CléPersonnalisée2</formula>
    </cfRule>
    <cfRule type="expression" dxfId="16088" priority="1201" stopIfTrue="1">
      <formula>AI7=CléPersonnalisée1</formula>
    </cfRule>
    <cfRule type="expression" dxfId="16087" priority="1202" stopIfTrue="1">
      <formula>AI7=CléMaladie</formula>
    </cfRule>
    <cfRule type="expression" dxfId="16086" priority="1203" stopIfTrue="1">
      <formula>AI7=CléPersonnelle</formula>
    </cfRule>
    <cfRule type="expression" dxfId="16085" priority="1204" stopIfTrue="1">
      <formula>AI7=CléCongés</formula>
    </cfRule>
  </conditionalFormatting>
  <conditionalFormatting sqref="AM7">
    <cfRule type="expression" priority="1193" stopIfTrue="1">
      <formula>AM7=""</formula>
    </cfRule>
    <cfRule type="expression" dxfId="16084" priority="1194" stopIfTrue="1">
      <formula>AM7=CléPersonnalisée2</formula>
    </cfRule>
    <cfRule type="expression" dxfId="16083" priority="1195" stopIfTrue="1">
      <formula>AM7=CléPersonnalisée1</formula>
    </cfRule>
    <cfRule type="expression" dxfId="16082" priority="1196" stopIfTrue="1">
      <formula>AM7=CléMaladie</formula>
    </cfRule>
    <cfRule type="expression" dxfId="16081" priority="1197" stopIfTrue="1">
      <formula>AM7=CléPersonnelle</formula>
    </cfRule>
    <cfRule type="expression" dxfId="16080" priority="1198" stopIfTrue="1">
      <formula>AM7=CléCongés</formula>
    </cfRule>
  </conditionalFormatting>
  <conditionalFormatting sqref="AO7">
    <cfRule type="expression" priority="1187" stopIfTrue="1">
      <formula>AO7=""</formula>
    </cfRule>
    <cfRule type="expression" dxfId="16079" priority="1188" stopIfTrue="1">
      <formula>AO7=CléPersonnalisée2</formula>
    </cfRule>
    <cfRule type="expression" dxfId="16078" priority="1189" stopIfTrue="1">
      <formula>AO7=CléPersonnalisée1</formula>
    </cfRule>
    <cfRule type="expression" dxfId="16077" priority="1190" stopIfTrue="1">
      <formula>AO7=CléMaladie</formula>
    </cfRule>
    <cfRule type="expression" dxfId="16076" priority="1191" stopIfTrue="1">
      <formula>AO7=CléPersonnelle</formula>
    </cfRule>
    <cfRule type="expression" dxfId="16075" priority="1192" stopIfTrue="1">
      <formula>AO7=CléCongés</formula>
    </cfRule>
  </conditionalFormatting>
  <conditionalFormatting sqref="AN7">
    <cfRule type="expression" priority="1181" stopIfTrue="1">
      <formula>AN7=""</formula>
    </cfRule>
    <cfRule type="expression" dxfId="16074" priority="1182" stopIfTrue="1">
      <formula>AN7=CléPersonnalisée2</formula>
    </cfRule>
    <cfRule type="expression" dxfId="16073" priority="1183" stopIfTrue="1">
      <formula>AN7=CléPersonnalisée1</formula>
    </cfRule>
    <cfRule type="expression" dxfId="16072" priority="1184" stopIfTrue="1">
      <formula>AN7=CléMaladie</formula>
    </cfRule>
    <cfRule type="expression" dxfId="16071" priority="1185" stopIfTrue="1">
      <formula>AN7=CléPersonnelle</formula>
    </cfRule>
    <cfRule type="expression" dxfId="16070" priority="1186" stopIfTrue="1">
      <formula>AN7=CléCongés</formula>
    </cfRule>
  </conditionalFormatting>
  <conditionalFormatting sqref="AQ7">
    <cfRule type="expression" priority="1175" stopIfTrue="1">
      <formula>AQ7=""</formula>
    </cfRule>
    <cfRule type="expression" dxfId="16069" priority="1176" stopIfTrue="1">
      <formula>AQ7=CléPersonnalisée2</formula>
    </cfRule>
    <cfRule type="expression" dxfId="16068" priority="1177" stopIfTrue="1">
      <formula>AQ7=CléPersonnalisée1</formula>
    </cfRule>
    <cfRule type="expression" dxfId="16067" priority="1178" stopIfTrue="1">
      <formula>AQ7=CléMaladie</formula>
    </cfRule>
    <cfRule type="expression" dxfId="16066" priority="1179" stopIfTrue="1">
      <formula>AQ7=CléPersonnelle</formula>
    </cfRule>
    <cfRule type="expression" dxfId="16065" priority="1180" stopIfTrue="1">
      <formula>AQ7=CléCongés</formula>
    </cfRule>
  </conditionalFormatting>
  <conditionalFormatting sqref="AQ71">
    <cfRule type="expression" priority="957" stopIfTrue="1">
      <formula>AQ71=""</formula>
    </cfRule>
    <cfRule type="expression" dxfId="16064" priority="958" stopIfTrue="1">
      <formula>AQ71=CléPersonnalisée2</formula>
    </cfRule>
    <cfRule type="expression" dxfId="16063" priority="959" stopIfTrue="1">
      <formula>AQ71=CléPersonnalisée1</formula>
    </cfRule>
    <cfRule type="expression" dxfId="16062" priority="960" stopIfTrue="1">
      <formula>AQ71=CléMaladie</formula>
    </cfRule>
    <cfRule type="expression" dxfId="16061" priority="961" stopIfTrue="1">
      <formula>AQ71=CléPersonnelle</formula>
    </cfRule>
    <cfRule type="expression" dxfId="16060" priority="962" stopIfTrue="1">
      <formula>AQ71=CléCongés</formula>
    </cfRule>
  </conditionalFormatting>
  <conditionalFormatting sqref="AQ83">
    <cfRule type="expression" priority="851" stopIfTrue="1">
      <formula>AQ83=""</formula>
    </cfRule>
    <cfRule type="expression" dxfId="16059" priority="852" stopIfTrue="1">
      <formula>AQ83=CléPersonnalisée2</formula>
    </cfRule>
    <cfRule type="expression" dxfId="16058" priority="853" stopIfTrue="1">
      <formula>AQ83=CléPersonnalisée1</formula>
    </cfRule>
    <cfRule type="expression" dxfId="16057" priority="854" stopIfTrue="1">
      <formula>AQ83=CléMaladie</formula>
    </cfRule>
    <cfRule type="expression" dxfId="16056" priority="855" stopIfTrue="1">
      <formula>AQ83=CléPersonnelle</formula>
    </cfRule>
    <cfRule type="expression" dxfId="16055" priority="856" stopIfTrue="1">
      <formula>AQ83=CléCongés</formula>
    </cfRule>
  </conditionalFormatting>
  <conditionalFormatting sqref="AQ91">
    <cfRule type="expression" priority="733" stopIfTrue="1">
      <formula>AQ91=""</formula>
    </cfRule>
    <cfRule type="expression" dxfId="16054" priority="734" stopIfTrue="1">
      <formula>AQ91=CléPersonnalisée2</formula>
    </cfRule>
    <cfRule type="expression" dxfId="16053" priority="735" stopIfTrue="1">
      <formula>AQ91=CléPersonnalisée1</formula>
    </cfRule>
    <cfRule type="expression" dxfId="16052" priority="736" stopIfTrue="1">
      <formula>AQ91=CléMaladie</formula>
    </cfRule>
    <cfRule type="expression" dxfId="16051" priority="737" stopIfTrue="1">
      <formula>AQ91=CléPersonnelle</formula>
    </cfRule>
    <cfRule type="expression" dxfId="16050" priority="738" stopIfTrue="1">
      <formula>AQ91=CléCongés</formula>
    </cfRule>
  </conditionalFormatting>
  <conditionalFormatting sqref="C65:AG67">
    <cfRule type="expression" priority="1168" stopIfTrue="1">
      <formula>C65=""</formula>
    </cfRule>
    <cfRule type="expression" dxfId="16049" priority="1169" stopIfTrue="1">
      <formula>C65=CléPersonnalisée2</formula>
    </cfRule>
    <cfRule type="expression" dxfId="16048" priority="1170" stopIfTrue="1">
      <formula>C65=CléPersonnalisée1</formula>
    </cfRule>
    <cfRule type="expression" dxfId="16047" priority="1171" stopIfTrue="1">
      <formula>C65=CléMaladie</formula>
    </cfRule>
    <cfRule type="expression" dxfId="16046" priority="1172" stopIfTrue="1">
      <formula>C65=CléPersonnelle</formula>
    </cfRule>
    <cfRule type="expression" dxfId="16045" priority="1173" stopIfTrue="1">
      <formula>C65=CléCongés</formula>
    </cfRule>
  </conditionalFormatting>
  <conditionalFormatting sqref="AH67">
    <cfRule type="dataBar" priority="1174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{6CB11564-49D4-45EB-99BF-101C4C7DEB30}</x14:id>
        </ext>
      </extLst>
    </cfRule>
  </conditionalFormatting>
  <conditionalFormatting sqref="AI67:AL67 AJ65:AL66">
    <cfRule type="expression" priority="1162" stopIfTrue="1">
      <formula>AI65=""</formula>
    </cfRule>
    <cfRule type="expression" dxfId="16044" priority="1163" stopIfTrue="1">
      <formula>AI65=CléPersonnalisée2</formula>
    </cfRule>
    <cfRule type="expression" dxfId="16043" priority="1164" stopIfTrue="1">
      <formula>AI65=CléPersonnalisée1</formula>
    </cfRule>
    <cfRule type="expression" dxfId="16042" priority="1165" stopIfTrue="1">
      <formula>AI65=CléMaladie</formula>
    </cfRule>
    <cfRule type="expression" dxfId="16041" priority="1166" stopIfTrue="1">
      <formula>AI65=CléPersonnelle</formula>
    </cfRule>
    <cfRule type="expression" dxfId="16040" priority="1167" stopIfTrue="1">
      <formula>AI65=CléCongés</formula>
    </cfRule>
  </conditionalFormatting>
  <conditionalFormatting sqref="AQ65:AR66">
    <cfRule type="expression" priority="1150" stopIfTrue="1">
      <formula>AQ65=""</formula>
    </cfRule>
    <cfRule type="expression" dxfId="16039" priority="1151" stopIfTrue="1">
      <formula>AQ65=CléPersonnalisée2</formula>
    </cfRule>
    <cfRule type="expression" dxfId="16038" priority="1152" stopIfTrue="1">
      <formula>AQ65=CléPersonnalisée1</formula>
    </cfRule>
    <cfRule type="expression" dxfId="16037" priority="1153" stopIfTrue="1">
      <formula>AQ65=CléMaladie</formula>
    </cfRule>
    <cfRule type="expression" dxfId="16036" priority="1154" stopIfTrue="1">
      <formula>AQ65=CléPersonnelle</formula>
    </cfRule>
    <cfRule type="expression" dxfId="16035" priority="1155" stopIfTrue="1">
      <formula>AQ65=CléCongés</formula>
    </cfRule>
  </conditionalFormatting>
  <conditionalFormatting sqref="AH65:AH66">
    <cfRule type="dataBar" priority="1143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{AFA4BA73-88EC-4BD4-983E-0C9FAA0FF60C}</x14:id>
        </ext>
      </extLst>
    </cfRule>
  </conditionalFormatting>
  <conditionalFormatting sqref="AO67">
    <cfRule type="expression" priority="1137" stopIfTrue="1">
      <formula>AO67=""</formula>
    </cfRule>
    <cfRule type="expression" dxfId="16034" priority="1138" stopIfTrue="1">
      <formula>AO67=CléPersonnalisée2</formula>
    </cfRule>
    <cfRule type="expression" dxfId="16033" priority="1139" stopIfTrue="1">
      <formula>AO67=CléPersonnalisée1</formula>
    </cfRule>
    <cfRule type="expression" dxfId="16032" priority="1140" stopIfTrue="1">
      <formula>AO67=CléMaladie</formula>
    </cfRule>
    <cfRule type="expression" dxfId="16031" priority="1141" stopIfTrue="1">
      <formula>AO67=CléPersonnelle</formula>
    </cfRule>
    <cfRule type="expression" dxfId="16030" priority="1142" stopIfTrue="1">
      <formula>AO67=CléCongés</formula>
    </cfRule>
  </conditionalFormatting>
  <conditionalFormatting sqref="AI65:AI66">
    <cfRule type="expression" priority="1131" stopIfTrue="1">
      <formula>AI65=""</formula>
    </cfRule>
    <cfRule type="expression" dxfId="16029" priority="1132" stopIfTrue="1">
      <formula>AI65=CléPersonnalisée2</formula>
    </cfRule>
    <cfRule type="expression" dxfId="16028" priority="1133" stopIfTrue="1">
      <formula>AI65=CléPersonnalisée1</formula>
    </cfRule>
    <cfRule type="expression" dxfId="16027" priority="1134" stopIfTrue="1">
      <formula>AI65=CléMaladie</formula>
    </cfRule>
    <cfRule type="expression" dxfId="16026" priority="1135" stopIfTrue="1">
      <formula>AI65=CléPersonnelle</formula>
    </cfRule>
    <cfRule type="expression" dxfId="16025" priority="1136" stopIfTrue="1">
      <formula>AI65=CléCongés</formula>
    </cfRule>
  </conditionalFormatting>
  <conditionalFormatting sqref="AN67">
    <cfRule type="expression" priority="1125" stopIfTrue="1">
      <formula>AN67=""</formula>
    </cfRule>
    <cfRule type="expression" dxfId="16024" priority="1126" stopIfTrue="1">
      <formula>AN67=CléPersonnalisée2</formula>
    </cfRule>
    <cfRule type="expression" dxfId="16023" priority="1127" stopIfTrue="1">
      <formula>AN67=CléPersonnalisée1</formula>
    </cfRule>
    <cfRule type="expression" dxfId="16022" priority="1128" stopIfTrue="1">
      <formula>AN67=CléMaladie</formula>
    </cfRule>
    <cfRule type="expression" dxfId="16021" priority="1129" stopIfTrue="1">
      <formula>AN67=CléPersonnelle</formula>
    </cfRule>
    <cfRule type="expression" dxfId="16020" priority="1130" stopIfTrue="1">
      <formula>AN67=CléCongés</formula>
    </cfRule>
  </conditionalFormatting>
  <conditionalFormatting sqref="AR11">
    <cfRule type="expression" priority="1119" stopIfTrue="1">
      <formula>AR11=""</formula>
    </cfRule>
    <cfRule type="expression" dxfId="16019" priority="1120" stopIfTrue="1">
      <formula>AR11=CléPersonnalisée2</formula>
    </cfRule>
    <cfRule type="expression" dxfId="16018" priority="1121" stopIfTrue="1">
      <formula>AR11=CléPersonnalisée1</formula>
    </cfRule>
    <cfRule type="expression" dxfId="16017" priority="1122" stopIfTrue="1">
      <formula>AR11=CléMaladie</formula>
    </cfRule>
    <cfRule type="expression" dxfId="16016" priority="1123" stopIfTrue="1">
      <formula>AR11=CléPersonnelle</formula>
    </cfRule>
    <cfRule type="expression" dxfId="16015" priority="1124" stopIfTrue="1">
      <formula>AR11=CléCongés</formula>
    </cfRule>
  </conditionalFormatting>
  <conditionalFormatting sqref="AQ11">
    <cfRule type="expression" priority="1113" stopIfTrue="1">
      <formula>AQ11=""</formula>
    </cfRule>
    <cfRule type="expression" dxfId="16014" priority="1114" stopIfTrue="1">
      <formula>AQ11=CléPersonnalisée2</formula>
    </cfRule>
    <cfRule type="expression" dxfId="16013" priority="1115" stopIfTrue="1">
      <formula>AQ11=CléPersonnalisée1</formula>
    </cfRule>
    <cfRule type="expression" dxfId="16012" priority="1116" stopIfTrue="1">
      <formula>AQ11=CléMaladie</formula>
    </cfRule>
    <cfRule type="expression" dxfId="16011" priority="1117" stopIfTrue="1">
      <formula>AQ11=CléPersonnelle</formula>
    </cfRule>
    <cfRule type="expression" dxfId="16010" priority="1118" stopIfTrue="1">
      <formula>AQ11=CléCongés</formula>
    </cfRule>
  </conditionalFormatting>
  <conditionalFormatting sqref="AR19">
    <cfRule type="expression" priority="1107" stopIfTrue="1">
      <formula>AR19=""</formula>
    </cfRule>
    <cfRule type="expression" dxfId="16009" priority="1108" stopIfTrue="1">
      <formula>AR19=CléPersonnalisée2</formula>
    </cfRule>
    <cfRule type="expression" dxfId="16008" priority="1109" stopIfTrue="1">
      <formula>AR19=CléPersonnalisée1</formula>
    </cfRule>
    <cfRule type="expression" dxfId="16007" priority="1110" stopIfTrue="1">
      <formula>AR19=CléMaladie</formula>
    </cfRule>
    <cfRule type="expression" dxfId="16006" priority="1111" stopIfTrue="1">
      <formula>AR19=CléPersonnelle</formula>
    </cfRule>
    <cfRule type="expression" dxfId="16005" priority="1112" stopIfTrue="1">
      <formula>AR19=CléCongés</formula>
    </cfRule>
  </conditionalFormatting>
  <conditionalFormatting sqref="AQ19">
    <cfRule type="expression" priority="1101" stopIfTrue="1">
      <formula>AQ19=""</formula>
    </cfRule>
    <cfRule type="expression" dxfId="16004" priority="1102" stopIfTrue="1">
      <formula>AQ19=CléPersonnalisée2</formula>
    </cfRule>
    <cfRule type="expression" dxfId="16003" priority="1103" stopIfTrue="1">
      <formula>AQ19=CléPersonnalisée1</formula>
    </cfRule>
    <cfRule type="expression" dxfId="16002" priority="1104" stopIfTrue="1">
      <formula>AQ19=CléMaladie</formula>
    </cfRule>
    <cfRule type="expression" dxfId="16001" priority="1105" stopIfTrue="1">
      <formula>AQ19=CléPersonnelle</formula>
    </cfRule>
    <cfRule type="expression" dxfId="16000" priority="1106" stopIfTrue="1">
      <formula>AQ19=CléCongés</formula>
    </cfRule>
  </conditionalFormatting>
  <conditionalFormatting sqref="AR23">
    <cfRule type="expression" priority="1095" stopIfTrue="1">
      <formula>AR23=""</formula>
    </cfRule>
    <cfRule type="expression" dxfId="15999" priority="1096" stopIfTrue="1">
      <formula>AR23=CléPersonnalisée2</formula>
    </cfRule>
    <cfRule type="expression" dxfId="15998" priority="1097" stopIfTrue="1">
      <formula>AR23=CléPersonnalisée1</formula>
    </cfRule>
    <cfRule type="expression" dxfId="15997" priority="1098" stopIfTrue="1">
      <formula>AR23=CléMaladie</formula>
    </cfRule>
    <cfRule type="expression" dxfId="15996" priority="1099" stopIfTrue="1">
      <formula>AR23=CléPersonnelle</formula>
    </cfRule>
    <cfRule type="expression" dxfId="15995" priority="1100" stopIfTrue="1">
      <formula>AR23=CléCongés</formula>
    </cfRule>
  </conditionalFormatting>
  <conditionalFormatting sqref="AQ23">
    <cfRule type="expression" priority="1089" stopIfTrue="1">
      <formula>AQ23=""</formula>
    </cfRule>
    <cfRule type="expression" dxfId="15994" priority="1090" stopIfTrue="1">
      <formula>AQ23=CléPersonnalisée2</formula>
    </cfRule>
    <cfRule type="expression" dxfId="15993" priority="1091" stopIfTrue="1">
      <formula>AQ23=CléPersonnalisée1</formula>
    </cfRule>
    <cfRule type="expression" dxfId="15992" priority="1092" stopIfTrue="1">
      <formula>AQ23=CléMaladie</formula>
    </cfRule>
    <cfRule type="expression" dxfId="15991" priority="1093" stopIfTrue="1">
      <formula>AQ23=CléPersonnelle</formula>
    </cfRule>
    <cfRule type="expression" dxfId="15990" priority="1094" stopIfTrue="1">
      <formula>AQ23=CléCongés</formula>
    </cfRule>
  </conditionalFormatting>
  <conditionalFormatting sqref="AR27">
    <cfRule type="expression" priority="1083" stopIfTrue="1">
      <formula>AR27=""</formula>
    </cfRule>
    <cfRule type="expression" dxfId="15989" priority="1084" stopIfTrue="1">
      <formula>AR27=CléPersonnalisée2</formula>
    </cfRule>
    <cfRule type="expression" dxfId="15988" priority="1085" stopIfTrue="1">
      <formula>AR27=CléPersonnalisée1</formula>
    </cfRule>
    <cfRule type="expression" dxfId="15987" priority="1086" stopIfTrue="1">
      <formula>AR27=CléMaladie</formula>
    </cfRule>
    <cfRule type="expression" dxfId="15986" priority="1087" stopIfTrue="1">
      <formula>AR27=CléPersonnelle</formula>
    </cfRule>
    <cfRule type="expression" dxfId="15985" priority="1088" stopIfTrue="1">
      <formula>AR27=CléCongés</formula>
    </cfRule>
  </conditionalFormatting>
  <conditionalFormatting sqref="AQ27">
    <cfRule type="expression" priority="1077" stopIfTrue="1">
      <formula>AQ27=""</formula>
    </cfRule>
    <cfRule type="expression" dxfId="15984" priority="1078" stopIfTrue="1">
      <formula>AQ27=CléPersonnalisée2</formula>
    </cfRule>
    <cfRule type="expression" dxfId="15983" priority="1079" stopIfTrue="1">
      <formula>AQ27=CléPersonnalisée1</formula>
    </cfRule>
    <cfRule type="expression" dxfId="15982" priority="1080" stopIfTrue="1">
      <formula>AQ27=CléMaladie</formula>
    </cfRule>
    <cfRule type="expression" dxfId="15981" priority="1081" stopIfTrue="1">
      <formula>AQ27=CléPersonnelle</formula>
    </cfRule>
    <cfRule type="expression" dxfId="15980" priority="1082" stopIfTrue="1">
      <formula>AQ27=CléCongés</formula>
    </cfRule>
  </conditionalFormatting>
  <conditionalFormatting sqref="AR31">
    <cfRule type="expression" priority="1071" stopIfTrue="1">
      <formula>AR31=""</formula>
    </cfRule>
    <cfRule type="expression" dxfId="15979" priority="1072" stopIfTrue="1">
      <formula>AR31=CléPersonnalisée2</formula>
    </cfRule>
    <cfRule type="expression" dxfId="15978" priority="1073" stopIfTrue="1">
      <formula>AR31=CléPersonnalisée1</formula>
    </cfRule>
    <cfRule type="expression" dxfId="15977" priority="1074" stopIfTrue="1">
      <formula>AR31=CléMaladie</formula>
    </cfRule>
    <cfRule type="expression" dxfId="15976" priority="1075" stopIfTrue="1">
      <formula>AR31=CléPersonnelle</formula>
    </cfRule>
    <cfRule type="expression" dxfId="15975" priority="1076" stopIfTrue="1">
      <formula>AR31=CléCongés</formula>
    </cfRule>
  </conditionalFormatting>
  <conditionalFormatting sqref="AQ31">
    <cfRule type="expression" priority="1065" stopIfTrue="1">
      <formula>AQ31=""</formula>
    </cfRule>
    <cfRule type="expression" dxfId="15974" priority="1066" stopIfTrue="1">
      <formula>AQ31=CléPersonnalisée2</formula>
    </cfRule>
    <cfRule type="expression" dxfId="15973" priority="1067" stopIfTrue="1">
      <formula>AQ31=CléPersonnalisée1</formula>
    </cfRule>
    <cfRule type="expression" dxfId="15972" priority="1068" stopIfTrue="1">
      <formula>AQ31=CléMaladie</formula>
    </cfRule>
    <cfRule type="expression" dxfId="15971" priority="1069" stopIfTrue="1">
      <formula>AQ31=CléPersonnelle</formula>
    </cfRule>
    <cfRule type="expression" dxfId="15970" priority="1070" stopIfTrue="1">
      <formula>AQ31=CléCongés</formula>
    </cfRule>
  </conditionalFormatting>
  <conditionalFormatting sqref="AR35">
    <cfRule type="expression" priority="1059" stopIfTrue="1">
      <formula>AR35=""</formula>
    </cfRule>
    <cfRule type="expression" dxfId="15969" priority="1060" stopIfTrue="1">
      <formula>AR35=CléPersonnalisée2</formula>
    </cfRule>
    <cfRule type="expression" dxfId="15968" priority="1061" stopIfTrue="1">
      <formula>AR35=CléPersonnalisée1</formula>
    </cfRule>
    <cfRule type="expression" dxfId="15967" priority="1062" stopIfTrue="1">
      <formula>AR35=CléMaladie</formula>
    </cfRule>
    <cfRule type="expression" dxfId="15966" priority="1063" stopIfTrue="1">
      <formula>AR35=CléPersonnelle</formula>
    </cfRule>
    <cfRule type="expression" dxfId="15965" priority="1064" stopIfTrue="1">
      <formula>AR35=CléCongés</formula>
    </cfRule>
  </conditionalFormatting>
  <conditionalFormatting sqref="AQ35">
    <cfRule type="expression" priority="1053" stopIfTrue="1">
      <formula>AQ35=""</formula>
    </cfRule>
    <cfRule type="expression" dxfId="15964" priority="1054" stopIfTrue="1">
      <formula>AQ35=CléPersonnalisée2</formula>
    </cfRule>
    <cfRule type="expression" dxfId="15963" priority="1055" stopIfTrue="1">
      <formula>AQ35=CléPersonnalisée1</formula>
    </cfRule>
    <cfRule type="expression" dxfId="15962" priority="1056" stopIfTrue="1">
      <formula>AQ35=CléMaladie</formula>
    </cfRule>
    <cfRule type="expression" dxfId="15961" priority="1057" stopIfTrue="1">
      <formula>AQ35=CléPersonnelle</formula>
    </cfRule>
    <cfRule type="expression" dxfId="15960" priority="1058" stopIfTrue="1">
      <formula>AQ35=CléCongés</formula>
    </cfRule>
  </conditionalFormatting>
  <conditionalFormatting sqref="AR39">
    <cfRule type="expression" priority="1047" stopIfTrue="1">
      <formula>AR39=""</formula>
    </cfRule>
    <cfRule type="expression" dxfId="15959" priority="1048" stopIfTrue="1">
      <formula>AR39=CléPersonnalisée2</formula>
    </cfRule>
    <cfRule type="expression" dxfId="15958" priority="1049" stopIfTrue="1">
      <formula>AR39=CléPersonnalisée1</formula>
    </cfRule>
    <cfRule type="expression" dxfId="15957" priority="1050" stopIfTrue="1">
      <formula>AR39=CléMaladie</formula>
    </cfRule>
    <cfRule type="expression" dxfId="15956" priority="1051" stopIfTrue="1">
      <formula>AR39=CléPersonnelle</formula>
    </cfRule>
    <cfRule type="expression" dxfId="15955" priority="1052" stopIfTrue="1">
      <formula>AR39=CléCongés</formula>
    </cfRule>
  </conditionalFormatting>
  <conditionalFormatting sqref="AQ39">
    <cfRule type="expression" priority="1041" stopIfTrue="1">
      <formula>AQ39=""</formula>
    </cfRule>
    <cfRule type="expression" dxfId="15954" priority="1042" stopIfTrue="1">
      <formula>AQ39=CléPersonnalisée2</formula>
    </cfRule>
    <cfRule type="expression" dxfId="15953" priority="1043" stopIfTrue="1">
      <formula>AQ39=CléPersonnalisée1</formula>
    </cfRule>
    <cfRule type="expression" dxfId="15952" priority="1044" stopIfTrue="1">
      <formula>AQ39=CléMaladie</formula>
    </cfRule>
    <cfRule type="expression" dxfId="15951" priority="1045" stopIfTrue="1">
      <formula>AQ39=CléPersonnelle</formula>
    </cfRule>
    <cfRule type="expression" dxfId="15950" priority="1046" stopIfTrue="1">
      <formula>AQ39=CléCongés</formula>
    </cfRule>
  </conditionalFormatting>
  <conditionalFormatting sqref="AR43">
    <cfRule type="expression" priority="1035" stopIfTrue="1">
      <formula>AR43=""</formula>
    </cfRule>
    <cfRule type="expression" dxfId="15949" priority="1036" stopIfTrue="1">
      <formula>AR43=CléPersonnalisée2</formula>
    </cfRule>
    <cfRule type="expression" dxfId="15948" priority="1037" stopIfTrue="1">
      <formula>AR43=CléPersonnalisée1</formula>
    </cfRule>
    <cfRule type="expression" dxfId="15947" priority="1038" stopIfTrue="1">
      <formula>AR43=CléMaladie</formula>
    </cfRule>
    <cfRule type="expression" dxfId="15946" priority="1039" stopIfTrue="1">
      <formula>AR43=CléPersonnelle</formula>
    </cfRule>
    <cfRule type="expression" dxfId="15945" priority="1040" stopIfTrue="1">
      <formula>AR43=CléCongés</formula>
    </cfRule>
  </conditionalFormatting>
  <conditionalFormatting sqref="AQ43">
    <cfRule type="expression" priority="1029" stopIfTrue="1">
      <formula>AQ43=""</formula>
    </cfRule>
    <cfRule type="expression" dxfId="15944" priority="1030" stopIfTrue="1">
      <formula>AQ43=CléPersonnalisée2</formula>
    </cfRule>
    <cfRule type="expression" dxfId="15943" priority="1031" stopIfTrue="1">
      <formula>AQ43=CléPersonnalisée1</formula>
    </cfRule>
    <cfRule type="expression" dxfId="15942" priority="1032" stopIfTrue="1">
      <formula>AQ43=CléMaladie</formula>
    </cfRule>
    <cfRule type="expression" dxfId="15941" priority="1033" stopIfTrue="1">
      <formula>AQ43=CléPersonnelle</formula>
    </cfRule>
    <cfRule type="expression" dxfId="15940" priority="1034" stopIfTrue="1">
      <formula>AQ43=CléCongés</formula>
    </cfRule>
  </conditionalFormatting>
  <conditionalFormatting sqref="AR47">
    <cfRule type="expression" priority="1023" stopIfTrue="1">
      <formula>AR47=""</formula>
    </cfRule>
    <cfRule type="expression" dxfId="15939" priority="1024" stopIfTrue="1">
      <formula>AR47=CléPersonnalisée2</formula>
    </cfRule>
    <cfRule type="expression" dxfId="15938" priority="1025" stopIfTrue="1">
      <formula>AR47=CléPersonnalisée1</formula>
    </cfRule>
    <cfRule type="expression" dxfId="15937" priority="1026" stopIfTrue="1">
      <formula>AR47=CléMaladie</formula>
    </cfRule>
    <cfRule type="expression" dxfId="15936" priority="1027" stopIfTrue="1">
      <formula>AR47=CléPersonnelle</formula>
    </cfRule>
    <cfRule type="expression" dxfId="15935" priority="1028" stopIfTrue="1">
      <formula>AR47=CléCongés</formula>
    </cfRule>
  </conditionalFormatting>
  <conditionalFormatting sqref="AQ47">
    <cfRule type="expression" priority="1017" stopIfTrue="1">
      <formula>AQ47=""</formula>
    </cfRule>
    <cfRule type="expression" dxfId="15934" priority="1018" stopIfTrue="1">
      <formula>AQ47=CléPersonnalisée2</formula>
    </cfRule>
    <cfRule type="expression" dxfId="15933" priority="1019" stopIfTrue="1">
      <formula>AQ47=CléPersonnalisée1</formula>
    </cfRule>
    <cfRule type="expression" dxfId="15932" priority="1020" stopIfTrue="1">
      <formula>AQ47=CléMaladie</formula>
    </cfRule>
    <cfRule type="expression" dxfId="15931" priority="1021" stopIfTrue="1">
      <formula>AQ47=CléPersonnelle</formula>
    </cfRule>
    <cfRule type="expression" dxfId="15930" priority="1022" stopIfTrue="1">
      <formula>AQ47=CléCongés</formula>
    </cfRule>
  </conditionalFormatting>
  <conditionalFormatting sqref="AR51">
    <cfRule type="expression" priority="1011" stopIfTrue="1">
      <formula>AR51=""</formula>
    </cfRule>
    <cfRule type="expression" dxfId="15929" priority="1012" stopIfTrue="1">
      <formula>AR51=CléPersonnalisée2</formula>
    </cfRule>
    <cfRule type="expression" dxfId="15928" priority="1013" stopIfTrue="1">
      <formula>AR51=CléPersonnalisée1</formula>
    </cfRule>
    <cfRule type="expression" dxfId="15927" priority="1014" stopIfTrue="1">
      <formula>AR51=CléMaladie</formula>
    </cfRule>
    <cfRule type="expression" dxfId="15926" priority="1015" stopIfTrue="1">
      <formula>AR51=CléPersonnelle</formula>
    </cfRule>
    <cfRule type="expression" dxfId="15925" priority="1016" stopIfTrue="1">
      <formula>AR51=CléCongés</formula>
    </cfRule>
  </conditionalFormatting>
  <conditionalFormatting sqref="AQ51">
    <cfRule type="expression" priority="1005" stopIfTrue="1">
      <formula>AQ51=""</formula>
    </cfRule>
    <cfRule type="expression" dxfId="15924" priority="1006" stopIfTrue="1">
      <formula>AQ51=CléPersonnalisée2</formula>
    </cfRule>
    <cfRule type="expression" dxfId="15923" priority="1007" stopIfTrue="1">
      <formula>AQ51=CléPersonnalisée1</formula>
    </cfRule>
    <cfRule type="expression" dxfId="15922" priority="1008" stopIfTrue="1">
      <formula>AQ51=CléMaladie</formula>
    </cfRule>
    <cfRule type="expression" dxfId="15921" priority="1009" stopIfTrue="1">
      <formula>AQ51=CléPersonnelle</formula>
    </cfRule>
    <cfRule type="expression" dxfId="15920" priority="1010" stopIfTrue="1">
      <formula>AQ51=CléCongés</formula>
    </cfRule>
  </conditionalFormatting>
  <conditionalFormatting sqref="AR55">
    <cfRule type="expression" priority="999" stopIfTrue="1">
      <formula>AR55=""</formula>
    </cfRule>
    <cfRule type="expression" dxfId="15919" priority="1000" stopIfTrue="1">
      <formula>AR55=CléPersonnalisée2</formula>
    </cfRule>
    <cfRule type="expression" dxfId="15918" priority="1001" stopIfTrue="1">
      <formula>AR55=CléPersonnalisée1</formula>
    </cfRule>
    <cfRule type="expression" dxfId="15917" priority="1002" stopIfTrue="1">
      <formula>AR55=CléMaladie</formula>
    </cfRule>
    <cfRule type="expression" dxfId="15916" priority="1003" stopIfTrue="1">
      <formula>AR55=CléPersonnelle</formula>
    </cfRule>
    <cfRule type="expression" dxfId="15915" priority="1004" stopIfTrue="1">
      <formula>AR55=CléCongés</formula>
    </cfRule>
  </conditionalFormatting>
  <conditionalFormatting sqref="AQ55">
    <cfRule type="expression" priority="993" stopIfTrue="1">
      <formula>AQ55=""</formula>
    </cfRule>
    <cfRule type="expression" dxfId="15914" priority="994" stopIfTrue="1">
      <formula>AQ55=CléPersonnalisée2</formula>
    </cfRule>
    <cfRule type="expression" dxfId="15913" priority="995" stopIfTrue="1">
      <formula>AQ55=CléPersonnalisée1</formula>
    </cfRule>
    <cfRule type="expression" dxfId="15912" priority="996" stopIfTrue="1">
      <formula>AQ55=CléMaladie</formula>
    </cfRule>
    <cfRule type="expression" dxfId="15911" priority="997" stopIfTrue="1">
      <formula>AQ55=CléPersonnelle</formula>
    </cfRule>
    <cfRule type="expression" dxfId="15910" priority="998" stopIfTrue="1">
      <formula>AQ55=CléCongés</formula>
    </cfRule>
  </conditionalFormatting>
  <conditionalFormatting sqref="AR63">
    <cfRule type="expression" priority="987" stopIfTrue="1">
      <formula>AR63=""</formula>
    </cfRule>
    <cfRule type="expression" dxfId="15909" priority="988" stopIfTrue="1">
      <formula>AR63=CléPersonnalisée2</formula>
    </cfRule>
    <cfRule type="expression" dxfId="15908" priority="989" stopIfTrue="1">
      <formula>AR63=CléPersonnalisée1</formula>
    </cfRule>
    <cfRule type="expression" dxfId="15907" priority="990" stopIfTrue="1">
      <formula>AR63=CléMaladie</formula>
    </cfRule>
    <cfRule type="expression" dxfId="15906" priority="991" stopIfTrue="1">
      <formula>AR63=CléPersonnelle</formula>
    </cfRule>
    <cfRule type="expression" dxfId="15905" priority="992" stopIfTrue="1">
      <formula>AR63=CléCongés</formula>
    </cfRule>
  </conditionalFormatting>
  <conditionalFormatting sqref="AQ63">
    <cfRule type="expression" priority="981" stopIfTrue="1">
      <formula>AQ63=""</formula>
    </cfRule>
    <cfRule type="expression" dxfId="15904" priority="982" stopIfTrue="1">
      <formula>AQ63=CléPersonnalisée2</formula>
    </cfRule>
    <cfRule type="expression" dxfId="15903" priority="983" stopIfTrue="1">
      <formula>AQ63=CléPersonnalisée1</formula>
    </cfRule>
    <cfRule type="expression" dxfId="15902" priority="984" stopIfTrue="1">
      <formula>AQ63=CléMaladie</formula>
    </cfRule>
    <cfRule type="expression" dxfId="15901" priority="985" stopIfTrue="1">
      <formula>AQ63=CléPersonnelle</formula>
    </cfRule>
    <cfRule type="expression" dxfId="15900" priority="986" stopIfTrue="1">
      <formula>AQ63=CléCongés</formula>
    </cfRule>
  </conditionalFormatting>
  <conditionalFormatting sqref="AR67">
    <cfRule type="expression" priority="975" stopIfTrue="1">
      <formula>AR67=""</formula>
    </cfRule>
    <cfRule type="expression" dxfId="15899" priority="976" stopIfTrue="1">
      <formula>AR67=CléPersonnalisée2</formula>
    </cfRule>
    <cfRule type="expression" dxfId="15898" priority="977" stopIfTrue="1">
      <formula>AR67=CléPersonnalisée1</formula>
    </cfRule>
    <cfRule type="expression" dxfId="15897" priority="978" stopIfTrue="1">
      <formula>AR67=CléMaladie</formula>
    </cfRule>
    <cfRule type="expression" dxfId="15896" priority="979" stopIfTrue="1">
      <formula>AR67=CléPersonnelle</formula>
    </cfRule>
    <cfRule type="expression" dxfId="15895" priority="980" stopIfTrue="1">
      <formula>AR67=CléCongés</formula>
    </cfRule>
  </conditionalFormatting>
  <conditionalFormatting sqref="AQ67">
    <cfRule type="expression" priority="969" stopIfTrue="1">
      <formula>AQ67=""</formula>
    </cfRule>
    <cfRule type="expression" dxfId="15894" priority="970" stopIfTrue="1">
      <formula>AQ67=CléPersonnalisée2</formula>
    </cfRule>
    <cfRule type="expression" dxfId="15893" priority="971" stopIfTrue="1">
      <formula>AQ67=CléPersonnalisée1</formula>
    </cfRule>
    <cfRule type="expression" dxfId="15892" priority="972" stopIfTrue="1">
      <formula>AQ67=CléMaladie</formula>
    </cfRule>
    <cfRule type="expression" dxfId="15891" priority="973" stopIfTrue="1">
      <formula>AQ67=CléPersonnelle</formula>
    </cfRule>
    <cfRule type="expression" dxfId="15890" priority="974" stopIfTrue="1">
      <formula>AQ67=CléCongés</formula>
    </cfRule>
  </conditionalFormatting>
  <conditionalFormatting sqref="AR71">
    <cfRule type="expression" priority="963" stopIfTrue="1">
      <formula>AR71=""</formula>
    </cfRule>
    <cfRule type="expression" dxfId="15889" priority="964" stopIfTrue="1">
      <formula>AR71=CléPersonnalisée2</formula>
    </cfRule>
    <cfRule type="expression" dxfId="15888" priority="965" stopIfTrue="1">
      <formula>AR71=CléPersonnalisée1</formula>
    </cfRule>
    <cfRule type="expression" dxfId="15887" priority="966" stopIfTrue="1">
      <formula>AR71=CléMaladie</formula>
    </cfRule>
    <cfRule type="expression" dxfId="15886" priority="967" stopIfTrue="1">
      <formula>AR71=CléPersonnelle</formula>
    </cfRule>
    <cfRule type="expression" dxfId="15885" priority="968" stopIfTrue="1">
      <formula>AR71=CléCongés</formula>
    </cfRule>
  </conditionalFormatting>
  <conditionalFormatting sqref="C73:AG75">
    <cfRule type="expression" priority="950" stopIfTrue="1">
      <formula>C73=""</formula>
    </cfRule>
    <cfRule type="expression" dxfId="15884" priority="951" stopIfTrue="1">
      <formula>C73=CléPersonnalisée2</formula>
    </cfRule>
    <cfRule type="expression" dxfId="15883" priority="952" stopIfTrue="1">
      <formula>C73=CléPersonnalisée1</formula>
    </cfRule>
    <cfRule type="expression" dxfId="15882" priority="953" stopIfTrue="1">
      <formula>C73=CléMaladie</formula>
    </cfRule>
    <cfRule type="expression" dxfId="15881" priority="954" stopIfTrue="1">
      <formula>C73=CléPersonnelle</formula>
    </cfRule>
    <cfRule type="expression" dxfId="15880" priority="955" stopIfTrue="1">
      <formula>C73=CléCongés</formula>
    </cfRule>
  </conditionalFormatting>
  <conditionalFormatting sqref="AH75">
    <cfRule type="dataBar" priority="956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{73D4C8A6-C855-4CEB-B0D9-5A7B5610FBC8}</x14:id>
        </ext>
      </extLst>
    </cfRule>
  </conditionalFormatting>
  <conditionalFormatting sqref="AI75:AL75 AJ73:AL74">
    <cfRule type="expression" priority="944" stopIfTrue="1">
      <formula>AI73=""</formula>
    </cfRule>
    <cfRule type="expression" dxfId="15879" priority="945" stopIfTrue="1">
      <formula>AI73=CléPersonnalisée2</formula>
    </cfRule>
    <cfRule type="expression" dxfId="15878" priority="946" stopIfTrue="1">
      <formula>AI73=CléPersonnalisée1</formula>
    </cfRule>
    <cfRule type="expression" dxfId="15877" priority="947" stopIfTrue="1">
      <formula>AI73=CléMaladie</formula>
    </cfRule>
    <cfRule type="expression" dxfId="15876" priority="948" stopIfTrue="1">
      <formula>AI73=CléPersonnelle</formula>
    </cfRule>
    <cfRule type="expression" dxfId="15875" priority="949" stopIfTrue="1">
      <formula>AI73=CléCongés</formula>
    </cfRule>
  </conditionalFormatting>
  <conditionalFormatting sqref="AM73:AP74">
    <cfRule type="expression" priority="938" stopIfTrue="1">
      <formula>AM73=""</formula>
    </cfRule>
    <cfRule type="expression" dxfId="15874" priority="939" stopIfTrue="1">
      <formula>AM73=CléPersonnalisée2</formula>
    </cfRule>
    <cfRule type="expression" dxfId="15873" priority="940" stopIfTrue="1">
      <formula>AM73=CléPersonnalisée1</formula>
    </cfRule>
    <cfRule type="expression" dxfId="15872" priority="941" stopIfTrue="1">
      <formula>AM73=CléMaladie</formula>
    </cfRule>
    <cfRule type="expression" dxfId="15871" priority="942" stopIfTrue="1">
      <formula>AM73=CléPersonnelle</formula>
    </cfRule>
    <cfRule type="expression" dxfId="15870" priority="943" stopIfTrue="1">
      <formula>AM73=CléCongés</formula>
    </cfRule>
  </conditionalFormatting>
  <conditionalFormatting sqref="AQ73:AR74">
    <cfRule type="expression" priority="932" stopIfTrue="1">
      <formula>AQ73=""</formula>
    </cfRule>
    <cfRule type="expression" dxfId="15869" priority="933" stopIfTrue="1">
      <formula>AQ73=CléPersonnalisée2</formula>
    </cfRule>
    <cfRule type="expression" dxfId="15868" priority="934" stopIfTrue="1">
      <formula>AQ73=CléPersonnalisée1</formula>
    </cfRule>
    <cfRule type="expression" dxfId="15867" priority="935" stopIfTrue="1">
      <formula>AQ73=CléMaladie</formula>
    </cfRule>
    <cfRule type="expression" dxfId="15866" priority="936" stopIfTrue="1">
      <formula>AQ73=CléPersonnelle</formula>
    </cfRule>
    <cfRule type="expression" dxfId="15865" priority="937" stopIfTrue="1">
      <formula>AQ73=CléCongés</formula>
    </cfRule>
  </conditionalFormatting>
  <conditionalFormatting sqref="AM75 AP75">
    <cfRule type="expression" priority="926" stopIfTrue="1">
      <formula>AM75=""</formula>
    </cfRule>
    <cfRule type="expression" dxfId="15864" priority="927" stopIfTrue="1">
      <formula>AM75=CléPersonnalisée2</formula>
    </cfRule>
    <cfRule type="expression" dxfId="15863" priority="928" stopIfTrue="1">
      <formula>AM75=CléPersonnalisée1</formula>
    </cfRule>
    <cfRule type="expression" dxfId="15862" priority="929" stopIfTrue="1">
      <formula>AM75=CléMaladie</formula>
    </cfRule>
    <cfRule type="expression" dxfId="15861" priority="930" stopIfTrue="1">
      <formula>AM75=CléPersonnelle</formula>
    </cfRule>
    <cfRule type="expression" dxfId="15860" priority="931" stopIfTrue="1">
      <formula>AM75=CléCongés</formula>
    </cfRule>
  </conditionalFormatting>
  <conditionalFormatting sqref="AH73:AH74">
    <cfRule type="dataBar" priority="925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{A25ABB0C-B6EA-4383-AD4D-C3A56A75BF70}</x14:id>
        </ext>
      </extLst>
    </cfRule>
  </conditionalFormatting>
  <conditionalFormatting sqref="AI73:AI74">
    <cfRule type="expression" priority="919" stopIfTrue="1">
      <formula>AI73=""</formula>
    </cfRule>
    <cfRule type="expression" dxfId="15859" priority="920" stopIfTrue="1">
      <formula>AI73=CléPersonnalisée2</formula>
    </cfRule>
    <cfRule type="expression" dxfId="15858" priority="921" stopIfTrue="1">
      <formula>AI73=CléPersonnalisée1</formula>
    </cfRule>
    <cfRule type="expression" dxfId="15857" priority="922" stopIfTrue="1">
      <formula>AI73=CléMaladie</formula>
    </cfRule>
    <cfRule type="expression" dxfId="15856" priority="923" stopIfTrue="1">
      <formula>AI73=CléPersonnelle</formula>
    </cfRule>
    <cfRule type="expression" dxfId="15855" priority="924" stopIfTrue="1">
      <formula>AI73=CléCongés</formula>
    </cfRule>
  </conditionalFormatting>
  <conditionalFormatting sqref="AR75">
    <cfRule type="expression" priority="913" stopIfTrue="1">
      <formula>AR75=""</formula>
    </cfRule>
    <cfRule type="expression" dxfId="15854" priority="914" stopIfTrue="1">
      <formula>AR75=CléPersonnalisée2</formula>
    </cfRule>
    <cfRule type="expression" dxfId="15853" priority="915" stopIfTrue="1">
      <formula>AR75=CléPersonnalisée1</formula>
    </cfRule>
    <cfRule type="expression" dxfId="15852" priority="916" stopIfTrue="1">
      <formula>AR75=CléMaladie</formula>
    </cfRule>
    <cfRule type="expression" dxfId="15851" priority="917" stopIfTrue="1">
      <formula>AR75=CléPersonnelle</formula>
    </cfRule>
    <cfRule type="expression" dxfId="15850" priority="918" stopIfTrue="1">
      <formula>AR75=CléCongés</formula>
    </cfRule>
  </conditionalFormatting>
  <conditionalFormatting sqref="C81:AG83">
    <cfRule type="expression" priority="906" stopIfTrue="1">
      <formula>C81=""</formula>
    </cfRule>
    <cfRule type="expression" dxfId="15849" priority="907" stopIfTrue="1">
      <formula>C81=CléPersonnalisée2</formula>
    </cfRule>
    <cfRule type="expression" dxfId="15848" priority="908" stopIfTrue="1">
      <formula>C81=CléPersonnalisée1</formula>
    </cfRule>
    <cfRule type="expression" dxfId="15847" priority="909" stopIfTrue="1">
      <formula>C81=CléMaladie</formula>
    </cfRule>
    <cfRule type="expression" dxfId="15846" priority="910" stopIfTrue="1">
      <formula>C81=CléPersonnelle</formula>
    </cfRule>
    <cfRule type="expression" dxfId="15845" priority="911" stopIfTrue="1">
      <formula>C81=CléCongés</formula>
    </cfRule>
  </conditionalFormatting>
  <conditionalFormatting sqref="AH83">
    <cfRule type="dataBar" priority="912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{0FAF21A2-0E62-45AA-B76C-C1A8EE9AF8D1}</x14:id>
        </ext>
      </extLst>
    </cfRule>
  </conditionalFormatting>
  <conditionalFormatting sqref="AI83:AL83 AJ81:AL82">
    <cfRule type="expression" priority="900" stopIfTrue="1">
      <formula>AI81=""</formula>
    </cfRule>
    <cfRule type="expression" dxfId="15844" priority="901" stopIfTrue="1">
      <formula>AI81=CléPersonnalisée2</formula>
    </cfRule>
    <cfRule type="expression" dxfId="15843" priority="902" stopIfTrue="1">
      <formula>AI81=CléPersonnalisée1</formula>
    </cfRule>
    <cfRule type="expression" dxfId="15842" priority="903" stopIfTrue="1">
      <formula>AI81=CléMaladie</formula>
    </cfRule>
    <cfRule type="expression" dxfId="15841" priority="904" stopIfTrue="1">
      <formula>AI81=CléPersonnelle</formula>
    </cfRule>
    <cfRule type="expression" dxfId="15840" priority="905" stopIfTrue="1">
      <formula>AI81=CléCongés</formula>
    </cfRule>
  </conditionalFormatting>
  <conditionalFormatting sqref="AM81:AP82">
    <cfRule type="expression" priority="894" stopIfTrue="1">
      <formula>AM81=""</formula>
    </cfRule>
    <cfRule type="expression" dxfId="15839" priority="895" stopIfTrue="1">
      <formula>AM81=CléPersonnalisée2</formula>
    </cfRule>
    <cfRule type="expression" dxfId="15838" priority="896" stopIfTrue="1">
      <formula>AM81=CléPersonnalisée1</formula>
    </cfRule>
    <cfRule type="expression" dxfId="15837" priority="897" stopIfTrue="1">
      <formula>AM81=CléMaladie</formula>
    </cfRule>
    <cfRule type="expression" dxfId="15836" priority="898" stopIfTrue="1">
      <formula>AM81=CléPersonnelle</formula>
    </cfRule>
    <cfRule type="expression" dxfId="15835" priority="899" stopIfTrue="1">
      <formula>AM81=CléCongés</formula>
    </cfRule>
  </conditionalFormatting>
  <conditionalFormatting sqref="AQ81:AR82">
    <cfRule type="expression" priority="888" stopIfTrue="1">
      <formula>AQ81=""</formula>
    </cfRule>
    <cfRule type="expression" dxfId="15834" priority="889" stopIfTrue="1">
      <formula>AQ81=CléPersonnalisée2</formula>
    </cfRule>
    <cfRule type="expression" dxfId="15833" priority="890" stopIfTrue="1">
      <formula>AQ81=CléPersonnalisée1</formula>
    </cfRule>
    <cfRule type="expression" dxfId="15832" priority="891" stopIfTrue="1">
      <formula>AQ81=CléMaladie</formula>
    </cfRule>
    <cfRule type="expression" dxfId="15831" priority="892" stopIfTrue="1">
      <formula>AQ81=CléPersonnelle</formula>
    </cfRule>
    <cfRule type="expression" dxfId="15830" priority="893" stopIfTrue="1">
      <formula>AQ81=CléCongés</formula>
    </cfRule>
  </conditionalFormatting>
  <conditionalFormatting sqref="AM83 AP83">
    <cfRule type="expression" priority="882" stopIfTrue="1">
      <formula>AM83=""</formula>
    </cfRule>
    <cfRule type="expression" dxfId="15829" priority="883" stopIfTrue="1">
      <formula>AM83=CléPersonnalisée2</formula>
    </cfRule>
    <cfRule type="expression" dxfId="15828" priority="884" stopIfTrue="1">
      <formula>AM83=CléPersonnalisée1</formula>
    </cfRule>
    <cfRule type="expression" dxfId="15827" priority="885" stopIfTrue="1">
      <formula>AM83=CléMaladie</formula>
    </cfRule>
    <cfRule type="expression" dxfId="15826" priority="886" stopIfTrue="1">
      <formula>AM83=CléPersonnelle</formula>
    </cfRule>
    <cfRule type="expression" dxfId="15825" priority="887" stopIfTrue="1">
      <formula>AM83=CléCongés</formula>
    </cfRule>
  </conditionalFormatting>
  <conditionalFormatting sqref="AH81:AH82">
    <cfRule type="dataBar" priority="881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{BC6ED1D4-0F02-46CE-9669-A09654FCA07C}</x14:id>
        </ext>
      </extLst>
    </cfRule>
  </conditionalFormatting>
  <conditionalFormatting sqref="AO83">
    <cfRule type="expression" priority="875" stopIfTrue="1">
      <formula>AO83=""</formula>
    </cfRule>
    <cfRule type="expression" dxfId="15824" priority="876" stopIfTrue="1">
      <formula>AO83=CléPersonnalisée2</formula>
    </cfRule>
    <cfRule type="expression" dxfId="15823" priority="877" stopIfTrue="1">
      <formula>AO83=CléPersonnalisée1</formula>
    </cfRule>
    <cfRule type="expression" dxfId="15822" priority="878" stopIfTrue="1">
      <formula>AO83=CléMaladie</formula>
    </cfRule>
    <cfRule type="expression" dxfId="15821" priority="879" stopIfTrue="1">
      <formula>AO83=CléPersonnelle</formula>
    </cfRule>
    <cfRule type="expression" dxfId="15820" priority="880" stopIfTrue="1">
      <formula>AO83=CléCongés</formula>
    </cfRule>
  </conditionalFormatting>
  <conditionalFormatting sqref="AI81:AI82">
    <cfRule type="expression" priority="869" stopIfTrue="1">
      <formula>AI81=""</formula>
    </cfRule>
    <cfRule type="expression" dxfId="15819" priority="870" stopIfTrue="1">
      <formula>AI81=CléPersonnalisée2</formula>
    </cfRule>
    <cfRule type="expression" dxfId="15818" priority="871" stopIfTrue="1">
      <formula>AI81=CléPersonnalisée1</formula>
    </cfRule>
    <cfRule type="expression" dxfId="15817" priority="872" stopIfTrue="1">
      <formula>AI81=CléMaladie</formula>
    </cfRule>
    <cfRule type="expression" dxfId="15816" priority="873" stopIfTrue="1">
      <formula>AI81=CléPersonnelle</formula>
    </cfRule>
    <cfRule type="expression" dxfId="15815" priority="874" stopIfTrue="1">
      <formula>AI81=CléCongés</formula>
    </cfRule>
  </conditionalFormatting>
  <conditionalFormatting sqref="AN83">
    <cfRule type="expression" priority="863" stopIfTrue="1">
      <formula>AN83=""</formula>
    </cfRule>
    <cfRule type="expression" dxfId="15814" priority="864" stopIfTrue="1">
      <formula>AN83=CléPersonnalisée2</formula>
    </cfRule>
    <cfRule type="expression" dxfId="15813" priority="865" stopIfTrue="1">
      <formula>AN83=CléPersonnalisée1</formula>
    </cfRule>
    <cfRule type="expression" dxfId="15812" priority="866" stopIfTrue="1">
      <formula>AN83=CléMaladie</formula>
    </cfRule>
    <cfRule type="expression" dxfId="15811" priority="867" stopIfTrue="1">
      <formula>AN83=CléPersonnelle</formula>
    </cfRule>
    <cfRule type="expression" dxfId="15810" priority="868" stopIfTrue="1">
      <formula>AN83=CléCongés</formula>
    </cfRule>
  </conditionalFormatting>
  <conditionalFormatting sqref="AR83">
    <cfRule type="expression" priority="857" stopIfTrue="1">
      <formula>AR83=""</formula>
    </cfRule>
    <cfRule type="expression" dxfId="15809" priority="858" stopIfTrue="1">
      <formula>AR83=CléPersonnalisée2</formula>
    </cfRule>
    <cfRule type="expression" dxfId="15808" priority="859" stopIfTrue="1">
      <formula>AR83=CléPersonnalisée1</formula>
    </cfRule>
    <cfRule type="expression" dxfId="15807" priority="860" stopIfTrue="1">
      <formula>AR83=CléMaladie</formula>
    </cfRule>
    <cfRule type="expression" dxfId="15806" priority="861" stopIfTrue="1">
      <formula>AR83=CléPersonnelle</formula>
    </cfRule>
    <cfRule type="expression" dxfId="15805" priority="862" stopIfTrue="1">
      <formula>AR83=CléCongés</formula>
    </cfRule>
  </conditionalFormatting>
  <conditionalFormatting sqref="AQ87">
    <cfRule type="expression" priority="789" stopIfTrue="1">
      <formula>AQ87=""</formula>
    </cfRule>
    <cfRule type="expression" dxfId="15804" priority="790" stopIfTrue="1">
      <formula>AQ87=CléPersonnalisée2</formula>
    </cfRule>
    <cfRule type="expression" dxfId="15803" priority="791" stopIfTrue="1">
      <formula>AQ87=CléPersonnalisée1</formula>
    </cfRule>
    <cfRule type="expression" dxfId="15802" priority="792" stopIfTrue="1">
      <formula>AQ87=CléMaladie</formula>
    </cfRule>
    <cfRule type="expression" dxfId="15801" priority="793" stopIfTrue="1">
      <formula>AQ87=CléPersonnelle</formula>
    </cfRule>
    <cfRule type="expression" dxfId="15800" priority="794" stopIfTrue="1">
      <formula>AQ87=CléCongés</formula>
    </cfRule>
  </conditionalFormatting>
  <conditionalFormatting sqref="C87:AG87 C85:R86">
    <cfRule type="expression" priority="844" stopIfTrue="1">
      <formula>C85=""</formula>
    </cfRule>
    <cfRule type="expression" dxfId="15799" priority="845" stopIfTrue="1">
      <formula>C85=CléPersonnalisée2</formula>
    </cfRule>
    <cfRule type="expression" dxfId="15798" priority="846" stopIfTrue="1">
      <formula>C85=CléPersonnalisée1</formula>
    </cfRule>
    <cfRule type="expression" dxfId="15797" priority="847" stopIfTrue="1">
      <formula>C85=CléMaladie</formula>
    </cfRule>
    <cfRule type="expression" dxfId="15796" priority="848" stopIfTrue="1">
      <formula>C85=CléPersonnelle</formula>
    </cfRule>
    <cfRule type="expression" dxfId="15795" priority="849" stopIfTrue="1">
      <formula>C85=CléCongés</formula>
    </cfRule>
  </conditionalFormatting>
  <conditionalFormatting sqref="AH87">
    <cfRule type="dataBar" priority="850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{BC0AC5B3-E74B-4F79-81FA-A3723CDE9601}</x14:id>
        </ext>
      </extLst>
    </cfRule>
  </conditionalFormatting>
  <conditionalFormatting sqref="AI87:AL87 AJ85:AL86">
    <cfRule type="expression" priority="838" stopIfTrue="1">
      <formula>AI85=""</formula>
    </cfRule>
    <cfRule type="expression" dxfId="15794" priority="839" stopIfTrue="1">
      <formula>AI85=CléPersonnalisée2</formula>
    </cfRule>
    <cfRule type="expression" dxfId="15793" priority="840" stopIfTrue="1">
      <formula>AI85=CléPersonnalisée1</formula>
    </cfRule>
    <cfRule type="expression" dxfId="15792" priority="841" stopIfTrue="1">
      <formula>AI85=CléMaladie</formula>
    </cfRule>
    <cfRule type="expression" dxfId="15791" priority="842" stopIfTrue="1">
      <formula>AI85=CléPersonnelle</formula>
    </cfRule>
    <cfRule type="expression" dxfId="15790" priority="843" stopIfTrue="1">
      <formula>AI85=CléCongés</formula>
    </cfRule>
  </conditionalFormatting>
  <conditionalFormatting sqref="AM85:AP86">
    <cfRule type="expression" priority="832" stopIfTrue="1">
      <formula>AM85=""</formula>
    </cfRule>
    <cfRule type="expression" dxfId="15789" priority="833" stopIfTrue="1">
      <formula>AM85=CléPersonnalisée2</formula>
    </cfRule>
    <cfRule type="expression" dxfId="15788" priority="834" stopIfTrue="1">
      <formula>AM85=CléPersonnalisée1</formula>
    </cfRule>
    <cfRule type="expression" dxfId="15787" priority="835" stopIfTrue="1">
      <formula>AM85=CléMaladie</formula>
    </cfRule>
    <cfRule type="expression" dxfId="15786" priority="836" stopIfTrue="1">
      <formula>AM85=CléPersonnelle</formula>
    </cfRule>
    <cfRule type="expression" dxfId="15785" priority="837" stopIfTrue="1">
      <formula>AM85=CléCongés</formula>
    </cfRule>
  </conditionalFormatting>
  <conditionalFormatting sqref="AQ85:AR86">
    <cfRule type="expression" priority="826" stopIfTrue="1">
      <formula>AQ85=""</formula>
    </cfRule>
    <cfRule type="expression" dxfId="15784" priority="827" stopIfTrue="1">
      <formula>AQ85=CléPersonnalisée2</formula>
    </cfRule>
    <cfRule type="expression" dxfId="15783" priority="828" stopIfTrue="1">
      <formula>AQ85=CléPersonnalisée1</formula>
    </cfRule>
    <cfRule type="expression" dxfId="15782" priority="829" stopIfTrue="1">
      <formula>AQ85=CléMaladie</formula>
    </cfRule>
    <cfRule type="expression" dxfId="15781" priority="830" stopIfTrue="1">
      <formula>AQ85=CléPersonnelle</formula>
    </cfRule>
    <cfRule type="expression" dxfId="15780" priority="831" stopIfTrue="1">
      <formula>AQ85=CléCongés</formula>
    </cfRule>
  </conditionalFormatting>
  <conditionalFormatting sqref="AM87 AP87">
    <cfRule type="expression" priority="820" stopIfTrue="1">
      <formula>AM87=""</formula>
    </cfRule>
    <cfRule type="expression" dxfId="15779" priority="821" stopIfTrue="1">
      <formula>AM87=CléPersonnalisée2</formula>
    </cfRule>
    <cfRule type="expression" dxfId="15778" priority="822" stopIfTrue="1">
      <formula>AM87=CléPersonnalisée1</formula>
    </cfRule>
    <cfRule type="expression" dxfId="15777" priority="823" stopIfTrue="1">
      <formula>AM87=CléMaladie</formula>
    </cfRule>
    <cfRule type="expression" dxfId="15776" priority="824" stopIfTrue="1">
      <formula>AM87=CléPersonnelle</formula>
    </cfRule>
    <cfRule type="expression" dxfId="15775" priority="825" stopIfTrue="1">
      <formula>AM87=CléCongés</formula>
    </cfRule>
  </conditionalFormatting>
  <conditionalFormatting sqref="AH85:AH86">
    <cfRule type="dataBar" priority="819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{21AEA01F-CF40-4935-A2BD-09D3B468C6F1}</x14:id>
        </ext>
      </extLst>
    </cfRule>
  </conditionalFormatting>
  <conditionalFormatting sqref="AO87">
    <cfRule type="expression" priority="813" stopIfTrue="1">
      <formula>AO87=""</formula>
    </cfRule>
    <cfRule type="expression" dxfId="15774" priority="814" stopIfTrue="1">
      <formula>AO87=CléPersonnalisée2</formula>
    </cfRule>
    <cfRule type="expression" dxfId="15773" priority="815" stopIfTrue="1">
      <formula>AO87=CléPersonnalisée1</formula>
    </cfRule>
    <cfRule type="expression" dxfId="15772" priority="816" stopIfTrue="1">
      <formula>AO87=CléMaladie</formula>
    </cfRule>
    <cfRule type="expression" dxfId="15771" priority="817" stopIfTrue="1">
      <formula>AO87=CléPersonnelle</formula>
    </cfRule>
    <cfRule type="expression" dxfId="15770" priority="818" stopIfTrue="1">
      <formula>AO87=CléCongés</formula>
    </cfRule>
  </conditionalFormatting>
  <conditionalFormatting sqref="AI85:AI86">
    <cfRule type="expression" priority="807" stopIfTrue="1">
      <formula>AI85=""</formula>
    </cfRule>
    <cfRule type="expression" dxfId="15769" priority="808" stopIfTrue="1">
      <formula>AI85=CléPersonnalisée2</formula>
    </cfRule>
    <cfRule type="expression" dxfId="15768" priority="809" stopIfTrue="1">
      <formula>AI85=CléPersonnalisée1</formula>
    </cfRule>
    <cfRule type="expression" dxfId="15767" priority="810" stopIfTrue="1">
      <formula>AI85=CléMaladie</formula>
    </cfRule>
    <cfRule type="expression" dxfId="15766" priority="811" stopIfTrue="1">
      <formula>AI85=CléPersonnelle</formula>
    </cfRule>
    <cfRule type="expression" dxfId="15765" priority="812" stopIfTrue="1">
      <formula>AI85=CléCongés</formula>
    </cfRule>
  </conditionalFormatting>
  <conditionalFormatting sqref="AN87">
    <cfRule type="expression" priority="801" stopIfTrue="1">
      <formula>AN87=""</formula>
    </cfRule>
    <cfRule type="expression" dxfId="15764" priority="802" stopIfTrue="1">
      <formula>AN87=CléPersonnalisée2</formula>
    </cfRule>
    <cfRule type="expression" dxfId="15763" priority="803" stopIfTrue="1">
      <formula>AN87=CléPersonnalisée1</formula>
    </cfRule>
    <cfRule type="expression" dxfId="15762" priority="804" stopIfTrue="1">
      <formula>AN87=CléMaladie</formula>
    </cfRule>
    <cfRule type="expression" dxfId="15761" priority="805" stopIfTrue="1">
      <formula>AN87=CléPersonnelle</formula>
    </cfRule>
    <cfRule type="expression" dxfId="15760" priority="806" stopIfTrue="1">
      <formula>AN87=CléCongés</formula>
    </cfRule>
  </conditionalFormatting>
  <conditionalFormatting sqref="AR87">
    <cfRule type="expression" priority="795" stopIfTrue="1">
      <formula>AR87=""</formula>
    </cfRule>
    <cfRule type="expression" dxfId="15759" priority="796" stopIfTrue="1">
      <formula>AR87=CléPersonnalisée2</formula>
    </cfRule>
    <cfRule type="expression" dxfId="15758" priority="797" stopIfTrue="1">
      <formula>AR87=CléPersonnalisée1</formula>
    </cfRule>
    <cfRule type="expression" dxfId="15757" priority="798" stopIfTrue="1">
      <formula>AR87=CléMaladie</formula>
    </cfRule>
    <cfRule type="expression" dxfId="15756" priority="799" stopIfTrue="1">
      <formula>AR87=CléPersonnelle</formula>
    </cfRule>
    <cfRule type="expression" dxfId="15755" priority="800" stopIfTrue="1">
      <formula>AR87=CléCongés</formula>
    </cfRule>
  </conditionalFormatting>
  <conditionalFormatting sqref="C89:AG91">
    <cfRule type="expression" priority="782" stopIfTrue="1">
      <formula>C89=""</formula>
    </cfRule>
    <cfRule type="expression" dxfId="15754" priority="783" stopIfTrue="1">
      <formula>C89=CléPersonnalisée2</formula>
    </cfRule>
    <cfRule type="expression" dxfId="15753" priority="784" stopIfTrue="1">
      <formula>C89=CléPersonnalisée1</formula>
    </cfRule>
    <cfRule type="expression" dxfId="15752" priority="785" stopIfTrue="1">
      <formula>C89=CléMaladie</formula>
    </cfRule>
    <cfRule type="expression" dxfId="15751" priority="786" stopIfTrue="1">
      <formula>C89=CléPersonnelle</formula>
    </cfRule>
    <cfRule type="expression" dxfId="15750" priority="787" stopIfTrue="1">
      <formula>C89=CléCongés</formula>
    </cfRule>
  </conditionalFormatting>
  <conditionalFormatting sqref="AH91">
    <cfRule type="dataBar" priority="788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{F4B35278-FB98-4158-A4CB-FAA39B6DB067}</x14:id>
        </ext>
      </extLst>
    </cfRule>
  </conditionalFormatting>
  <conditionalFormatting sqref="AI91:AL91 AJ89:AL90">
    <cfRule type="expression" priority="776" stopIfTrue="1">
      <formula>AI89=""</formula>
    </cfRule>
    <cfRule type="expression" dxfId="15749" priority="777" stopIfTrue="1">
      <formula>AI89=CléPersonnalisée2</formula>
    </cfRule>
    <cfRule type="expression" dxfId="15748" priority="778" stopIfTrue="1">
      <formula>AI89=CléPersonnalisée1</formula>
    </cfRule>
    <cfRule type="expression" dxfId="15747" priority="779" stopIfTrue="1">
      <formula>AI89=CléMaladie</formula>
    </cfRule>
    <cfRule type="expression" dxfId="15746" priority="780" stopIfTrue="1">
      <formula>AI89=CléPersonnelle</formula>
    </cfRule>
    <cfRule type="expression" dxfId="15745" priority="781" stopIfTrue="1">
      <formula>AI89=CléCongés</formula>
    </cfRule>
  </conditionalFormatting>
  <conditionalFormatting sqref="AM89:AP90">
    <cfRule type="expression" priority="770" stopIfTrue="1">
      <formula>AM89=""</formula>
    </cfRule>
    <cfRule type="expression" dxfId="15744" priority="771" stopIfTrue="1">
      <formula>AM89=CléPersonnalisée2</formula>
    </cfRule>
    <cfRule type="expression" dxfId="15743" priority="772" stopIfTrue="1">
      <formula>AM89=CléPersonnalisée1</formula>
    </cfRule>
    <cfRule type="expression" dxfId="15742" priority="773" stopIfTrue="1">
      <formula>AM89=CléMaladie</formula>
    </cfRule>
    <cfRule type="expression" dxfId="15741" priority="774" stopIfTrue="1">
      <formula>AM89=CléPersonnelle</formula>
    </cfRule>
    <cfRule type="expression" dxfId="15740" priority="775" stopIfTrue="1">
      <formula>AM89=CléCongés</formula>
    </cfRule>
  </conditionalFormatting>
  <conditionalFormatting sqref="AQ89:AR90">
    <cfRule type="expression" priority="764" stopIfTrue="1">
      <formula>AQ89=""</formula>
    </cfRule>
    <cfRule type="expression" dxfId="15739" priority="765" stopIfTrue="1">
      <formula>AQ89=CléPersonnalisée2</formula>
    </cfRule>
    <cfRule type="expression" dxfId="15738" priority="766" stopIfTrue="1">
      <formula>AQ89=CléPersonnalisée1</formula>
    </cfRule>
    <cfRule type="expression" dxfId="15737" priority="767" stopIfTrue="1">
      <formula>AQ89=CléMaladie</formula>
    </cfRule>
    <cfRule type="expression" dxfId="15736" priority="768" stopIfTrue="1">
      <formula>AQ89=CléPersonnelle</formula>
    </cfRule>
    <cfRule type="expression" dxfId="15735" priority="769" stopIfTrue="1">
      <formula>AQ89=CléCongés</formula>
    </cfRule>
  </conditionalFormatting>
  <conditionalFormatting sqref="AM91 AP91">
    <cfRule type="expression" priority="758" stopIfTrue="1">
      <formula>AM91=""</formula>
    </cfRule>
    <cfRule type="expression" dxfId="15734" priority="759" stopIfTrue="1">
      <formula>AM91=CléPersonnalisée2</formula>
    </cfRule>
    <cfRule type="expression" dxfId="15733" priority="760" stopIfTrue="1">
      <formula>AM91=CléPersonnalisée1</formula>
    </cfRule>
    <cfRule type="expression" dxfId="15732" priority="761" stopIfTrue="1">
      <formula>AM91=CléMaladie</formula>
    </cfRule>
    <cfRule type="expression" dxfId="15731" priority="762" stopIfTrue="1">
      <formula>AM91=CléPersonnelle</formula>
    </cfRule>
    <cfRule type="expression" dxfId="15730" priority="763" stopIfTrue="1">
      <formula>AM91=CléCongés</formula>
    </cfRule>
  </conditionalFormatting>
  <conditionalFormatting sqref="AH89:AH90">
    <cfRule type="dataBar" priority="757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{A375BBE2-AB3B-40D6-A12E-22397195DA8F}</x14:id>
        </ext>
      </extLst>
    </cfRule>
  </conditionalFormatting>
  <conditionalFormatting sqref="AO91">
    <cfRule type="expression" priority="751" stopIfTrue="1">
      <formula>AO91=""</formula>
    </cfRule>
    <cfRule type="expression" dxfId="15729" priority="752" stopIfTrue="1">
      <formula>AO91=CléPersonnalisée2</formula>
    </cfRule>
    <cfRule type="expression" dxfId="15728" priority="753" stopIfTrue="1">
      <formula>AO91=CléPersonnalisée1</formula>
    </cfRule>
    <cfRule type="expression" dxfId="15727" priority="754" stopIfTrue="1">
      <formula>AO91=CléMaladie</formula>
    </cfRule>
    <cfRule type="expression" dxfId="15726" priority="755" stopIfTrue="1">
      <formula>AO91=CléPersonnelle</formula>
    </cfRule>
    <cfRule type="expression" dxfId="15725" priority="756" stopIfTrue="1">
      <formula>AO91=CléCongés</formula>
    </cfRule>
  </conditionalFormatting>
  <conditionalFormatting sqref="AI89:AI90">
    <cfRule type="expression" priority="745" stopIfTrue="1">
      <formula>AI89=""</formula>
    </cfRule>
    <cfRule type="expression" dxfId="15724" priority="746" stopIfTrue="1">
      <formula>AI89=CléPersonnalisée2</formula>
    </cfRule>
    <cfRule type="expression" dxfId="15723" priority="747" stopIfTrue="1">
      <formula>AI89=CléPersonnalisée1</formula>
    </cfRule>
    <cfRule type="expression" dxfId="15722" priority="748" stopIfTrue="1">
      <formula>AI89=CléMaladie</formula>
    </cfRule>
    <cfRule type="expression" dxfId="15721" priority="749" stopIfTrue="1">
      <formula>AI89=CléPersonnelle</formula>
    </cfRule>
    <cfRule type="expression" dxfId="15720" priority="750" stopIfTrue="1">
      <formula>AI89=CléCongés</formula>
    </cfRule>
  </conditionalFormatting>
  <conditionalFormatting sqref="AR91">
    <cfRule type="expression" priority="739" stopIfTrue="1">
      <formula>AR91=""</formula>
    </cfRule>
    <cfRule type="expression" dxfId="15719" priority="740" stopIfTrue="1">
      <formula>AR91=CléPersonnalisée2</formula>
    </cfRule>
    <cfRule type="expression" dxfId="15718" priority="741" stopIfTrue="1">
      <formula>AR91=CléPersonnalisée1</formula>
    </cfRule>
    <cfRule type="expression" dxfId="15717" priority="742" stopIfTrue="1">
      <formula>AR91=CléMaladie</formula>
    </cfRule>
    <cfRule type="expression" dxfId="15716" priority="743" stopIfTrue="1">
      <formula>AR91=CléPersonnelle</formula>
    </cfRule>
    <cfRule type="expression" dxfId="15715" priority="744" stopIfTrue="1">
      <formula>AR91=CléCongés</formula>
    </cfRule>
  </conditionalFormatting>
  <conditionalFormatting sqref="AN75">
    <cfRule type="expression" priority="727" stopIfTrue="1">
      <formula>AN75=""</formula>
    </cfRule>
    <cfRule type="expression" dxfId="15714" priority="728" stopIfTrue="1">
      <formula>AN75=CléPersonnalisée2</formula>
    </cfRule>
    <cfRule type="expression" dxfId="15713" priority="729" stopIfTrue="1">
      <formula>AN75=CléPersonnalisée1</formula>
    </cfRule>
    <cfRule type="expression" dxfId="15712" priority="730" stopIfTrue="1">
      <formula>AN75=CléMaladie</formula>
    </cfRule>
    <cfRule type="expression" dxfId="15711" priority="731" stopIfTrue="1">
      <formula>AN75=CléPersonnelle</formula>
    </cfRule>
    <cfRule type="expression" dxfId="15710" priority="732" stopIfTrue="1">
      <formula>AN75=CléCongés</formula>
    </cfRule>
  </conditionalFormatting>
  <conditionalFormatting sqref="AQ124:AR124">
    <cfRule type="expression" priority="721" stopIfTrue="1">
      <formula>AQ124=""</formula>
    </cfRule>
    <cfRule type="expression" dxfId="15709" priority="722" stopIfTrue="1">
      <formula>AQ124=CléPersonnalisée2</formula>
    </cfRule>
    <cfRule type="expression" dxfId="15708" priority="723" stopIfTrue="1">
      <formula>AQ124=CléPersonnalisée1</formula>
    </cfRule>
    <cfRule type="expression" dxfId="15707" priority="724" stopIfTrue="1">
      <formula>AQ124=CléMaladie</formula>
    </cfRule>
    <cfRule type="expression" dxfId="15706" priority="725" stopIfTrue="1">
      <formula>AQ124=CléPersonnelle</formula>
    </cfRule>
    <cfRule type="expression" dxfId="15705" priority="726" stopIfTrue="1">
      <formula>AQ124=CléCongés</formula>
    </cfRule>
  </conditionalFormatting>
  <conditionalFormatting sqref="AQ104:AR104 AQ112:AR112 AQ116:AR116">
    <cfRule type="expression" priority="715" stopIfTrue="1">
      <formula>AQ104=""</formula>
    </cfRule>
    <cfRule type="expression" dxfId="15704" priority="716" stopIfTrue="1">
      <formula>AQ104=CléPersonnalisée2</formula>
    </cfRule>
    <cfRule type="expression" dxfId="15703" priority="717" stopIfTrue="1">
      <formula>AQ104=CléPersonnalisée1</formula>
    </cfRule>
    <cfRule type="expression" dxfId="15702" priority="718" stopIfTrue="1">
      <formula>AQ104=CléMaladie</formula>
    </cfRule>
    <cfRule type="expression" dxfId="15701" priority="719" stopIfTrue="1">
      <formula>AQ104=CléPersonnelle</formula>
    </cfRule>
    <cfRule type="expression" dxfId="15700" priority="720" stopIfTrue="1">
      <formula>AQ104=CléCongés</formula>
    </cfRule>
  </conditionalFormatting>
  <conditionalFormatting sqref="C93:AG95 C101:AG103 C97:AG99">
    <cfRule type="expression" priority="708" stopIfTrue="1">
      <formula>C93=""</formula>
    </cfRule>
    <cfRule type="expression" dxfId="15699" priority="709" stopIfTrue="1">
      <formula>C93=CléPersonnalisée2</formula>
    </cfRule>
    <cfRule type="expression" dxfId="15698" priority="710" stopIfTrue="1">
      <formula>C93=CléPersonnalisée1</formula>
    </cfRule>
    <cfRule type="expression" dxfId="15697" priority="711" stopIfTrue="1">
      <formula>C93=CléMaladie</formula>
    </cfRule>
    <cfRule type="expression" dxfId="15696" priority="712" stopIfTrue="1">
      <formula>C93=CléPersonnelle</formula>
    </cfRule>
    <cfRule type="expression" dxfId="15695" priority="713" stopIfTrue="1">
      <formula>C93=CléCongés</formula>
    </cfRule>
  </conditionalFormatting>
  <conditionalFormatting sqref="AH101:AH103 AH95 AH97:AH99">
    <cfRule type="dataBar" priority="714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{8DFEE418-AF58-417B-AC16-6C0C4A878CD9}</x14:id>
        </ext>
      </extLst>
    </cfRule>
  </conditionalFormatting>
  <conditionalFormatting sqref="AI95:AL95 AJ93:AL94 AI101:AL103 AI97:AL99">
    <cfRule type="expression" priority="702" stopIfTrue="1">
      <formula>AI93=""</formula>
    </cfRule>
    <cfRule type="expression" dxfId="15694" priority="703" stopIfTrue="1">
      <formula>AI93=CléPersonnalisée2</formula>
    </cfRule>
    <cfRule type="expression" dxfId="15693" priority="704" stopIfTrue="1">
      <formula>AI93=CléPersonnalisée1</formula>
    </cfRule>
    <cfRule type="expression" dxfId="15692" priority="705" stopIfTrue="1">
      <formula>AI93=CléMaladie</formula>
    </cfRule>
    <cfRule type="expression" dxfId="15691" priority="706" stopIfTrue="1">
      <formula>AI93=CléPersonnelle</formula>
    </cfRule>
    <cfRule type="expression" dxfId="15690" priority="707" stopIfTrue="1">
      <formula>AI93=CléCongés</formula>
    </cfRule>
  </conditionalFormatting>
  <conditionalFormatting sqref="AM93:AP94">
    <cfRule type="expression" priority="696" stopIfTrue="1">
      <formula>AM93=""</formula>
    </cfRule>
    <cfRule type="expression" dxfId="15689" priority="697" stopIfTrue="1">
      <formula>AM93=CléPersonnalisée2</formula>
    </cfRule>
    <cfRule type="expression" dxfId="15688" priority="698" stopIfTrue="1">
      <formula>AM93=CléPersonnalisée1</formula>
    </cfRule>
    <cfRule type="expression" dxfId="15687" priority="699" stopIfTrue="1">
      <formula>AM93=CléMaladie</formula>
    </cfRule>
    <cfRule type="expression" dxfId="15686" priority="700" stopIfTrue="1">
      <formula>AM93=CléPersonnelle</formula>
    </cfRule>
    <cfRule type="expression" dxfId="15685" priority="701" stopIfTrue="1">
      <formula>AM93=CléCongés</formula>
    </cfRule>
  </conditionalFormatting>
  <conditionalFormatting sqref="AQ93:AR94">
    <cfRule type="expression" priority="690" stopIfTrue="1">
      <formula>AQ93=""</formula>
    </cfRule>
    <cfRule type="expression" dxfId="15684" priority="691" stopIfTrue="1">
      <formula>AQ93=CléPersonnalisée2</formula>
    </cfRule>
    <cfRule type="expression" dxfId="15683" priority="692" stopIfTrue="1">
      <formula>AQ93=CléPersonnalisée1</formula>
    </cfRule>
    <cfRule type="expression" dxfId="15682" priority="693" stopIfTrue="1">
      <formula>AQ93=CléMaladie</formula>
    </cfRule>
    <cfRule type="expression" dxfId="15681" priority="694" stopIfTrue="1">
      <formula>AQ93=CléPersonnelle</formula>
    </cfRule>
    <cfRule type="expression" dxfId="15680" priority="695" stopIfTrue="1">
      <formula>AQ93=CléCongés</formula>
    </cfRule>
  </conditionalFormatting>
  <conditionalFormatting sqref="AP95 AP103 AP99">
    <cfRule type="expression" priority="684" stopIfTrue="1">
      <formula>AP95=""</formula>
    </cfRule>
    <cfRule type="expression" dxfId="15679" priority="685" stopIfTrue="1">
      <formula>AP95=CléPersonnalisée2</formula>
    </cfRule>
    <cfRule type="expression" dxfId="15678" priority="686" stopIfTrue="1">
      <formula>AP95=CléPersonnalisée1</formula>
    </cfRule>
    <cfRule type="expression" dxfId="15677" priority="687" stopIfTrue="1">
      <formula>AP95=CléMaladie</formula>
    </cfRule>
    <cfRule type="expression" dxfId="15676" priority="688" stopIfTrue="1">
      <formula>AP95=CléPersonnelle</formula>
    </cfRule>
    <cfRule type="expression" dxfId="15675" priority="689" stopIfTrue="1">
      <formula>AP95=CléCongés</formula>
    </cfRule>
  </conditionalFormatting>
  <conditionalFormatting sqref="AH93:AH94">
    <cfRule type="dataBar" priority="683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{459DD40F-F0F8-42DC-B0FA-430577F35584}</x14:id>
        </ext>
      </extLst>
    </cfRule>
  </conditionalFormatting>
  <conditionalFormatting sqref="AI93:AI94">
    <cfRule type="expression" priority="677" stopIfTrue="1">
      <formula>AI93=""</formula>
    </cfRule>
    <cfRule type="expression" dxfId="15674" priority="678" stopIfTrue="1">
      <formula>AI93=CléPersonnalisée2</formula>
    </cfRule>
    <cfRule type="expression" dxfId="15673" priority="679" stopIfTrue="1">
      <formula>AI93=CléPersonnalisée1</formula>
    </cfRule>
    <cfRule type="expression" dxfId="15672" priority="680" stopIfTrue="1">
      <formula>AI93=CléMaladie</formula>
    </cfRule>
    <cfRule type="expression" dxfId="15671" priority="681" stopIfTrue="1">
      <formula>AI93=CléPersonnelle</formula>
    </cfRule>
    <cfRule type="expression" dxfId="15670" priority="682" stopIfTrue="1">
      <formula>AI93=CléCongés</formula>
    </cfRule>
  </conditionalFormatting>
  <conditionalFormatting sqref="AN95 AN103 AN99">
    <cfRule type="expression" priority="671" stopIfTrue="1">
      <formula>AN95=""</formula>
    </cfRule>
    <cfRule type="expression" dxfId="15669" priority="672" stopIfTrue="1">
      <formula>AN95=CléPersonnalisée2</formula>
    </cfRule>
    <cfRule type="expression" dxfId="15668" priority="673" stopIfTrue="1">
      <formula>AN95=CléPersonnalisée1</formula>
    </cfRule>
    <cfRule type="expression" dxfId="15667" priority="674" stopIfTrue="1">
      <formula>AN95=CléMaladie</formula>
    </cfRule>
    <cfRule type="expression" dxfId="15666" priority="675" stopIfTrue="1">
      <formula>AN95=CléPersonnelle</formula>
    </cfRule>
    <cfRule type="expression" dxfId="15665" priority="676" stopIfTrue="1">
      <formula>AN95=CléCongés</formula>
    </cfRule>
  </conditionalFormatting>
  <conditionalFormatting sqref="AR95 AR103 AR99">
    <cfRule type="expression" priority="665" stopIfTrue="1">
      <formula>AR95=""</formula>
    </cfRule>
    <cfRule type="expression" dxfId="15664" priority="666" stopIfTrue="1">
      <formula>AR95=CléPersonnalisée2</formula>
    </cfRule>
    <cfRule type="expression" dxfId="15663" priority="667" stopIfTrue="1">
      <formula>AR95=CléPersonnalisée1</formula>
    </cfRule>
    <cfRule type="expression" dxfId="15662" priority="668" stopIfTrue="1">
      <formula>AR95=CléMaladie</formula>
    </cfRule>
    <cfRule type="expression" dxfId="15661" priority="669" stopIfTrue="1">
      <formula>AR95=CléPersonnelle</formula>
    </cfRule>
    <cfRule type="expression" dxfId="15660" priority="670" stopIfTrue="1">
      <formula>AR95=CléCongés</formula>
    </cfRule>
  </conditionalFormatting>
  <conditionalFormatting sqref="C109:AG111">
    <cfRule type="expression" priority="658" stopIfTrue="1">
      <formula>C109=""</formula>
    </cfRule>
    <cfRule type="expression" dxfId="15659" priority="659" stopIfTrue="1">
      <formula>C109=CléPersonnalisée2</formula>
    </cfRule>
    <cfRule type="expression" dxfId="15658" priority="660" stopIfTrue="1">
      <formula>C109=CléPersonnalisée1</formula>
    </cfRule>
    <cfRule type="expression" dxfId="15657" priority="661" stopIfTrue="1">
      <formula>C109=CléMaladie</formula>
    </cfRule>
    <cfRule type="expression" dxfId="15656" priority="662" stopIfTrue="1">
      <formula>C109=CléPersonnelle</formula>
    </cfRule>
    <cfRule type="expression" dxfId="15655" priority="663" stopIfTrue="1">
      <formula>C109=CléCongés</formula>
    </cfRule>
  </conditionalFormatting>
  <conditionalFormatting sqref="AH111">
    <cfRule type="dataBar" priority="664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{FB3D9FA7-40EF-4318-B07D-686C4BAF0B8D}</x14:id>
        </ext>
      </extLst>
    </cfRule>
  </conditionalFormatting>
  <conditionalFormatting sqref="AI111:AL111 AJ109:AL110">
    <cfRule type="expression" priority="652" stopIfTrue="1">
      <formula>AI109=""</formula>
    </cfRule>
    <cfRule type="expression" dxfId="15654" priority="653" stopIfTrue="1">
      <formula>AI109=CléPersonnalisée2</formula>
    </cfRule>
    <cfRule type="expression" dxfId="15653" priority="654" stopIfTrue="1">
      <formula>AI109=CléPersonnalisée1</formula>
    </cfRule>
    <cfRule type="expression" dxfId="15652" priority="655" stopIfTrue="1">
      <formula>AI109=CléMaladie</formula>
    </cfRule>
    <cfRule type="expression" dxfId="15651" priority="656" stopIfTrue="1">
      <formula>AI109=CléPersonnelle</formula>
    </cfRule>
    <cfRule type="expression" dxfId="15650" priority="657" stopIfTrue="1">
      <formula>AI109=CléCongés</formula>
    </cfRule>
  </conditionalFormatting>
  <conditionalFormatting sqref="AM109:AP110">
    <cfRule type="expression" priority="646" stopIfTrue="1">
      <formula>AM109=""</formula>
    </cfRule>
    <cfRule type="expression" dxfId="15649" priority="647" stopIfTrue="1">
      <formula>AM109=CléPersonnalisée2</formula>
    </cfRule>
    <cfRule type="expression" dxfId="15648" priority="648" stopIfTrue="1">
      <formula>AM109=CléPersonnalisée1</formula>
    </cfRule>
    <cfRule type="expression" dxfId="15647" priority="649" stopIfTrue="1">
      <formula>AM109=CléMaladie</formula>
    </cfRule>
    <cfRule type="expression" dxfId="15646" priority="650" stopIfTrue="1">
      <formula>AM109=CléPersonnelle</formula>
    </cfRule>
    <cfRule type="expression" dxfId="15645" priority="651" stopIfTrue="1">
      <formula>AM109=CléCongés</formula>
    </cfRule>
  </conditionalFormatting>
  <conditionalFormatting sqref="AQ109:AR110">
    <cfRule type="expression" priority="640" stopIfTrue="1">
      <formula>AQ109=""</formula>
    </cfRule>
    <cfRule type="expression" dxfId="15644" priority="641" stopIfTrue="1">
      <formula>AQ109=CléPersonnalisée2</formula>
    </cfRule>
    <cfRule type="expression" dxfId="15643" priority="642" stopIfTrue="1">
      <formula>AQ109=CléPersonnalisée1</formula>
    </cfRule>
    <cfRule type="expression" dxfId="15642" priority="643" stopIfTrue="1">
      <formula>AQ109=CléMaladie</formula>
    </cfRule>
    <cfRule type="expression" dxfId="15641" priority="644" stopIfTrue="1">
      <formula>AQ109=CléPersonnelle</formula>
    </cfRule>
    <cfRule type="expression" dxfId="15640" priority="645" stopIfTrue="1">
      <formula>AQ109=CléCongés</formula>
    </cfRule>
  </conditionalFormatting>
  <conditionalFormatting sqref="AP111">
    <cfRule type="expression" priority="634" stopIfTrue="1">
      <formula>AP111=""</formula>
    </cfRule>
    <cfRule type="expression" dxfId="15639" priority="635" stopIfTrue="1">
      <formula>AP111=CléPersonnalisée2</formula>
    </cfRule>
    <cfRule type="expression" dxfId="15638" priority="636" stopIfTrue="1">
      <formula>AP111=CléPersonnalisée1</formula>
    </cfRule>
    <cfRule type="expression" dxfId="15637" priority="637" stopIfTrue="1">
      <formula>AP111=CléMaladie</formula>
    </cfRule>
    <cfRule type="expression" dxfId="15636" priority="638" stopIfTrue="1">
      <formula>AP111=CléPersonnelle</formula>
    </cfRule>
    <cfRule type="expression" dxfId="15635" priority="639" stopIfTrue="1">
      <formula>AP111=CléCongés</formula>
    </cfRule>
  </conditionalFormatting>
  <conditionalFormatting sqref="AH109:AH110">
    <cfRule type="dataBar" priority="633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{7745826E-493C-4AAB-A712-2056F35DF757}</x14:id>
        </ext>
      </extLst>
    </cfRule>
  </conditionalFormatting>
  <conditionalFormatting sqref="AO111">
    <cfRule type="expression" priority="627" stopIfTrue="1">
      <formula>AO111=""</formula>
    </cfRule>
    <cfRule type="expression" dxfId="15634" priority="628" stopIfTrue="1">
      <formula>AO111=CléPersonnalisée2</formula>
    </cfRule>
    <cfRule type="expression" dxfId="15633" priority="629" stopIfTrue="1">
      <formula>AO111=CléPersonnalisée1</formula>
    </cfRule>
    <cfRule type="expression" dxfId="15632" priority="630" stopIfTrue="1">
      <formula>AO111=CléMaladie</formula>
    </cfRule>
    <cfRule type="expression" dxfId="15631" priority="631" stopIfTrue="1">
      <formula>AO111=CléPersonnelle</formula>
    </cfRule>
    <cfRule type="expression" dxfId="15630" priority="632" stopIfTrue="1">
      <formula>AO111=CléCongés</formula>
    </cfRule>
  </conditionalFormatting>
  <conditionalFormatting sqref="AI109:AI110">
    <cfRule type="expression" priority="621" stopIfTrue="1">
      <formula>AI109=""</formula>
    </cfRule>
    <cfRule type="expression" dxfId="15629" priority="622" stopIfTrue="1">
      <formula>AI109=CléPersonnalisée2</formula>
    </cfRule>
    <cfRule type="expression" dxfId="15628" priority="623" stopIfTrue="1">
      <formula>AI109=CléPersonnalisée1</formula>
    </cfRule>
    <cfRule type="expression" dxfId="15627" priority="624" stopIfTrue="1">
      <formula>AI109=CléMaladie</formula>
    </cfRule>
    <cfRule type="expression" dxfId="15626" priority="625" stopIfTrue="1">
      <formula>AI109=CléPersonnelle</formula>
    </cfRule>
    <cfRule type="expression" dxfId="15625" priority="626" stopIfTrue="1">
      <formula>AI109=CléCongés</formula>
    </cfRule>
  </conditionalFormatting>
  <conditionalFormatting sqref="AN111">
    <cfRule type="expression" priority="615" stopIfTrue="1">
      <formula>AN111=""</formula>
    </cfRule>
    <cfRule type="expression" dxfId="15624" priority="616" stopIfTrue="1">
      <formula>AN111=CléPersonnalisée2</formula>
    </cfRule>
    <cfRule type="expression" dxfId="15623" priority="617" stopIfTrue="1">
      <formula>AN111=CléPersonnalisée1</formula>
    </cfRule>
    <cfRule type="expression" dxfId="15622" priority="618" stopIfTrue="1">
      <formula>AN111=CléMaladie</formula>
    </cfRule>
    <cfRule type="expression" dxfId="15621" priority="619" stopIfTrue="1">
      <formula>AN111=CléPersonnelle</formula>
    </cfRule>
    <cfRule type="expression" dxfId="15620" priority="620" stopIfTrue="1">
      <formula>AN111=CléCongés</formula>
    </cfRule>
  </conditionalFormatting>
  <conditionalFormatting sqref="AR111">
    <cfRule type="expression" priority="609" stopIfTrue="1">
      <formula>AR111=""</formula>
    </cfRule>
    <cfRule type="expression" dxfId="15619" priority="610" stopIfTrue="1">
      <formula>AR111=CléPersonnalisée2</formula>
    </cfRule>
    <cfRule type="expression" dxfId="15618" priority="611" stopIfTrue="1">
      <formula>AR111=CléPersonnalisée1</formula>
    </cfRule>
    <cfRule type="expression" dxfId="15617" priority="612" stopIfTrue="1">
      <formula>AR111=CléMaladie</formula>
    </cfRule>
    <cfRule type="expression" dxfId="15616" priority="613" stopIfTrue="1">
      <formula>AR111=CléPersonnelle</formula>
    </cfRule>
    <cfRule type="expression" dxfId="15615" priority="614" stopIfTrue="1">
      <formula>AR111=CléCongés</formula>
    </cfRule>
  </conditionalFormatting>
  <conditionalFormatting sqref="C121:AG123">
    <cfRule type="expression" priority="602" stopIfTrue="1">
      <formula>C121=""</formula>
    </cfRule>
    <cfRule type="expression" dxfId="15614" priority="603" stopIfTrue="1">
      <formula>C121=CléPersonnalisée2</formula>
    </cfRule>
    <cfRule type="expression" dxfId="15613" priority="604" stopIfTrue="1">
      <formula>C121=CléPersonnalisée1</formula>
    </cfRule>
    <cfRule type="expression" dxfId="15612" priority="605" stopIfTrue="1">
      <formula>C121=CléMaladie</formula>
    </cfRule>
    <cfRule type="expression" dxfId="15611" priority="606" stopIfTrue="1">
      <formula>C121=CléPersonnelle</formula>
    </cfRule>
    <cfRule type="expression" dxfId="15610" priority="607" stopIfTrue="1">
      <formula>C121=CléCongés</formula>
    </cfRule>
  </conditionalFormatting>
  <conditionalFormatting sqref="AH123">
    <cfRule type="dataBar" priority="608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{081F88C5-547F-4F69-A55A-970186326E3A}</x14:id>
        </ext>
      </extLst>
    </cfRule>
  </conditionalFormatting>
  <conditionalFormatting sqref="AI123:AL123 AJ121:AL122">
    <cfRule type="expression" priority="596" stopIfTrue="1">
      <formula>AI121=""</formula>
    </cfRule>
    <cfRule type="expression" dxfId="15609" priority="597" stopIfTrue="1">
      <formula>AI121=CléPersonnalisée2</formula>
    </cfRule>
    <cfRule type="expression" dxfId="15608" priority="598" stopIfTrue="1">
      <formula>AI121=CléPersonnalisée1</formula>
    </cfRule>
    <cfRule type="expression" dxfId="15607" priority="599" stopIfTrue="1">
      <formula>AI121=CléMaladie</formula>
    </cfRule>
    <cfRule type="expression" dxfId="15606" priority="600" stopIfTrue="1">
      <formula>AI121=CléPersonnelle</formula>
    </cfRule>
    <cfRule type="expression" dxfId="15605" priority="601" stopIfTrue="1">
      <formula>AI121=CléCongés</formula>
    </cfRule>
  </conditionalFormatting>
  <conditionalFormatting sqref="AM121:AP122">
    <cfRule type="expression" priority="590" stopIfTrue="1">
      <formula>AM121=""</formula>
    </cfRule>
    <cfRule type="expression" dxfId="15604" priority="591" stopIfTrue="1">
      <formula>AM121=CléPersonnalisée2</formula>
    </cfRule>
    <cfRule type="expression" dxfId="15603" priority="592" stopIfTrue="1">
      <formula>AM121=CléPersonnalisée1</formula>
    </cfRule>
    <cfRule type="expression" dxfId="15602" priority="593" stopIfTrue="1">
      <formula>AM121=CléMaladie</formula>
    </cfRule>
    <cfRule type="expression" dxfId="15601" priority="594" stopIfTrue="1">
      <formula>AM121=CléPersonnelle</formula>
    </cfRule>
    <cfRule type="expression" dxfId="15600" priority="595" stopIfTrue="1">
      <formula>AM121=CléCongés</formula>
    </cfRule>
  </conditionalFormatting>
  <conditionalFormatting sqref="AQ121:AR122">
    <cfRule type="expression" priority="584" stopIfTrue="1">
      <formula>AQ121=""</formula>
    </cfRule>
    <cfRule type="expression" dxfId="15599" priority="585" stopIfTrue="1">
      <formula>AQ121=CléPersonnalisée2</formula>
    </cfRule>
    <cfRule type="expression" dxfId="15598" priority="586" stopIfTrue="1">
      <formula>AQ121=CléPersonnalisée1</formula>
    </cfRule>
    <cfRule type="expression" dxfId="15597" priority="587" stopIfTrue="1">
      <formula>AQ121=CléMaladie</formula>
    </cfRule>
    <cfRule type="expression" dxfId="15596" priority="588" stopIfTrue="1">
      <formula>AQ121=CléPersonnelle</formula>
    </cfRule>
    <cfRule type="expression" dxfId="15595" priority="589" stopIfTrue="1">
      <formula>AQ121=CléCongés</formula>
    </cfRule>
  </conditionalFormatting>
  <conditionalFormatting sqref="AP123">
    <cfRule type="expression" priority="578" stopIfTrue="1">
      <formula>AP123=""</formula>
    </cfRule>
    <cfRule type="expression" dxfId="15594" priority="579" stopIfTrue="1">
      <formula>AP123=CléPersonnalisée2</formula>
    </cfRule>
    <cfRule type="expression" dxfId="15593" priority="580" stopIfTrue="1">
      <formula>AP123=CléPersonnalisée1</formula>
    </cfRule>
    <cfRule type="expression" dxfId="15592" priority="581" stopIfTrue="1">
      <formula>AP123=CléMaladie</formula>
    </cfRule>
    <cfRule type="expression" dxfId="15591" priority="582" stopIfTrue="1">
      <formula>AP123=CléPersonnelle</formula>
    </cfRule>
    <cfRule type="expression" dxfId="15590" priority="583" stopIfTrue="1">
      <formula>AP123=CléCongés</formula>
    </cfRule>
  </conditionalFormatting>
  <conditionalFormatting sqref="AH121:AH122">
    <cfRule type="dataBar" priority="577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{1D144017-0311-4484-B7B4-CEE8E10D3405}</x14:id>
        </ext>
      </extLst>
    </cfRule>
  </conditionalFormatting>
  <conditionalFormatting sqref="AO123">
    <cfRule type="expression" priority="571" stopIfTrue="1">
      <formula>AO123=""</formula>
    </cfRule>
    <cfRule type="expression" dxfId="15589" priority="572" stopIfTrue="1">
      <formula>AO123=CléPersonnalisée2</formula>
    </cfRule>
    <cfRule type="expression" dxfId="15588" priority="573" stopIfTrue="1">
      <formula>AO123=CléPersonnalisée1</formula>
    </cfRule>
    <cfRule type="expression" dxfId="15587" priority="574" stopIfTrue="1">
      <formula>AO123=CléMaladie</formula>
    </cfRule>
    <cfRule type="expression" dxfId="15586" priority="575" stopIfTrue="1">
      <formula>AO123=CléPersonnelle</formula>
    </cfRule>
    <cfRule type="expression" dxfId="15585" priority="576" stopIfTrue="1">
      <formula>AO123=CléCongés</formula>
    </cfRule>
  </conditionalFormatting>
  <conditionalFormatting sqref="AI121:AI122">
    <cfRule type="expression" priority="565" stopIfTrue="1">
      <formula>AI121=""</formula>
    </cfRule>
    <cfRule type="expression" dxfId="15584" priority="566" stopIfTrue="1">
      <formula>AI121=CléPersonnalisée2</formula>
    </cfRule>
    <cfRule type="expression" dxfId="15583" priority="567" stopIfTrue="1">
      <formula>AI121=CléPersonnalisée1</formula>
    </cfRule>
    <cfRule type="expression" dxfId="15582" priority="568" stopIfTrue="1">
      <formula>AI121=CléMaladie</formula>
    </cfRule>
    <cfRule type="expression" dxfId="15581" priority="569" stopIfTrue="1">
      <formula>AI121=CléPersonnelle</formula>
    </cfRule>
    <cfRule type="expression" dxfId="15580" priority="570" stopIfTrue="1">
      <formula>AI121=CléCongés</formula>
    </cfRule>
  </conditionalFormatting>
  <conditionalFormatting sqref="AN123">
    <cfRule type="expression" priority="559" stopIfTrue="1">
      <formula>AN123=""</formula>
    </cfRule>
    <cfRule type="expression" dxfId="15579" priority="560" stopIfTrue="1">
      <formula>AN123=CléPersonnalisée2</formula>
    </cfRule>
    <cfRule type="expression" dxfId="15578" priority="561" stopIfTrue="1">
      <formula>AN123=CléPersonnalisée1</formula>
    </cfRule>
    <cfRule type="expression" dxfId="15577" priority="562" stopIfTrue="1">
      <formula>AN123=CléMaladie</formula>
    </cfRule>
    <cfRule type="expression" dxfId="15576" priority="563" stopIfTrue="1">
      <formula>AN123=CléPersonnelle</formula>
    </cfRule>
    <cfRule type="expression" dxfId="15575" priority="564" stopIfTrue="1">
      <formula>AN123=CléCongés</formula>
    </cfRule>
  </conditionalFormatting>
  <conditionalFormatting sqref="AR123">
    <cfRule type="expression" priority="553" stopIfTrue="1">
      <formula>AR123=""</formula>
    </cfRule>
    <cfRule type="expression" dxfId="15574" priority="554" stopIfTrue="1">
      <formula>AR123=CléPersonnalisée2</formula>
    </cfRule>
    <cfRule type="expression" dxfId="15573" priority="555" stopIfTrue="1">
      <formula>AR123=CléPersonnalisée1</formula>
    </cfRule>
    <cfRule type="expression" dxfId="15572" priority="556" stopIfTrue="1">
      <formula>AR123=CléMaladie</formula>
    </cfRule>
    <cfRule type="expression" dxfId="15571" priority="557" stopIfTrue="1">
      <formula>AR123=CléPersonnelle</formula>
    </cfRule>
    <cfRule type="expression" dxfId="15570" priority="558" stopIfTrue="1">
      <formula>AR123=CléCongés</formula>
    </cfRule>
  </conditionalFormatting>
  <conditionalFormatting sqref="AQ95 AQ103 AQ99">
    <cfRule type="expression" priority="547" stopIfTrue="1">
      <formula>AQ95=""</formula>
    </cfRule>
    <cfRule type="expression" dxfId="15569" priority="548" stopIfTrue="1">
      <formula>AQ95=CléPersonnalisée2</formula>
    </cfRule>
    <cfRule type="expression" dxfId="15568" priority="549" stopIfTrue="1">
      <formula>AQ95=CléPersonnalisée1</formula>
    </cfRule>
    <cfRule type="expression" dxfId="15567" priority="550" stopIfTrue="1">
      <formula>AQ95=CléMaladie</formula>
    </cfRule>
    <cfRule type="expression" dxfId="15566" priority="551" stopIfTrue="1">
      <formula>AQ95=CléPersonnelle</formula>
    </cfRule>
    <cfRule type="expression" dxfId="15565" priority="552" stopIfTrue="1">
      <formula>AQ95=CléCongés</formula>
    </cfRule>
  </conditionalFormatting>
  <conditionalFormatting sqref="AQ111">
    <cfRule type="expression" priority="541" stopIfTrue="1">
      <formula>AQ111=""</formula>
    </cfRule>
    <cfRule type="expression" dxfId="15564" priority="542" stopIfTrue="1">
      <formula>AQ111=CléPersonnalisée2</formula>
    </cfRule>
    <cfRule type="expression" dxfId="15563" priority="543" stopIfTrue="1">
      <formula>AQ111=CléPersonnalisée1</formula>
    </cfRule>
    <cfRule type="expression" dxfId="15562" priority="544" stopIfTrue="1">
      <formula>AQ111=CléMaladie</formula>
    </cfRule>
    <cfRule type="expression" dxfId="15561" priority="545" stopIfTrue="1">
      <formula>AQ111=CléPersonnelle</formula>
    </cfRule>
    <cfRule type="expression" dxfId="15560" priority="546" stopIfTrue="1">
      <formula>AQ111=CléCongés</formula>
    </cfRule>
  </conditionalFormatting>
  <conditionalFormatting sqref="AQ123">
    <cfRule type="expression" priority="535" stopIfTrue="1">
      <formula>AQ123=""</formula>
    </cfRule>
    <cfRule type="expression" dxfId="15559" priority="536" stopIfTrue="1">
      <formula>AQ123=CléPersonnalisée2</formula>
    </cfRule>
    <cfRule type="expression" dxfId="15558" priority="537" stopIfTrue="1">
      <formula>AQ123=CléPersonnalisée1</formula>
    </cfRule>
    <cfRule type="expression" dxfId="15557" priority="538" stopIfTrue="1">
      <formula>AQ123=CléMaladie</formula>
    </cfRule>
    <cfRule type="expression" dxfId="15556" priority="539" stopIfTrue="1">
      <formula>AQ123=CléPersonnelle</formula>
    </cfRule>
    <cfRule type="expression" dxfId="15555" priority="540" stopIfTrue="1">
      <formula>AQ123=CléCongés</formula>
    </cfRule>
  </conditionalFormatting>
  <conditionalFormatting sqref="AQ75">
    <cfRule type="expression" priority="529" stopIfTrue="1">
      <formula>AQ75=""</formula>
    </cfRule>
    <cfRule type="expression" dxfId="15554" priority="530" stopIfTrue="1">
      <formula>AQ75=CléPersonnalisée2</formula>
    </cfRule>
    <cfRule type="expression" dxfId="15553" priority="531" stopIfTrue="1">
      <formula>AQ75=CléPersonnalisée1</formula>
    </cfRule>
    <cfRule type="expression" dxfId="15552" priority="532" stopIfTrue="1">
      <formula>AQ75=CléMaladie</formula>
    </cfRule>
    <cfRule type="expression" dxfId="15551" priority="533" stopIfTrue="1">
      <formula>AQ75=CléPersonnelle</formula>
    </cfRule>
    <cfRule type="expression" dxfId="15550" priority="534" stopIfTrue="1">
      <formula>AQ75=CléCongés</formula>
    </cfRule>
  </conditionalFormatting>
  <conditionalFormatting sqref="AN91">
    <cfRule type="expression" priority="523" stopIfTrue="1">
      <formula>AN91=""</formula>
    </cfRule>
    <cfRule type="expression" dxfId="15549" priority="524" stopIfTrue="1">
      <formula>AN91=CléPersonnalisée2</formula>
    </cfRule>
    <cfRule type="expression" dxfId="15548" priority="525" stopIfTrue="1">
      <formula>AN91=CléPersonnalisée1</formula>
    </cfRule>
    <cfRule type="expression" dxfId="15547" priority="526" stopIfTrue="1">
      <formula>AN91=CléMaladie</formula>
    </cfRule>
    <cfRule type="expression" dxfId="15546" priority="527" stopIfTrue="1">
      <formula>AN91=CléPersonnelle</formula>
    </cfRule>
    <cfRule type="expression" dxfId="15545" priority="528" stopIfTrue="1">
      <formula>AN91=CléCongés</formula>
    </cfRule>
  </conditionalFormatting>
  <conditionalFormatting sqref="C113:AG115">
    <cfRule type="expression" priority="516" stopIfTrue="1">
      <formula>C113=""</formula>
    </cfRule>
    <cfRule type="expression" dxfId="15544" priority="517" stopIfTrue="1">
      <formula>C113=CléPersonnalisée2</formula>
    </cfRule>
    <cfRule type="expression" dxfId="15543" priority="518" stopIfTrue="1">
      <formula>C113=CléPersonnalisée1</formula>
    </cfRule>
    <cfRule type="expression" dxfId="15542" priority="519" stopIfTrue="1">
      <formula>C113=CléMaladie</formula>
    </cfRule>
    <cfRule type="expression" dxfId="15541" priority="520" stopIfTrue="1">
      <formula>C113=CléPersonnelle</formula>
    </cfRule>
    <cfRule type="expression" dxfId="15540" priority="521" stopIfTrue="1">
      <formula>C113=CléCongés</formula>
    </cfRule>
  </conditionalFormatting>
  <conditionalFormatting sqref="AH115">
    <cfRule type="dataBar" priority="522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{B6D3DEA8-A869-443A-8F82-AA53B1280BDC}</x14:id>
        </ext>
      </extLst>
    </cfRule>
  </conditionalFormatting>
  <conditionalFormatting sqref="AI115:AL115 AJ113:AL114">
    <cfRule type="expression" priority="510" stopIfTrue="1">
      <formula>AI113=""</formula>
    </cfRule>
    <cfRule type="expression" dxfId="15539" priority="511" stopIfTrue="1">
      <formula>AI113=CléPersonnalisée2</formula>
    </cfRule>
    <cfRule type="expression" dxfId="15538" priority="512" stopIfTrue="1">
      <formula>AI113=CléPersonnalisée1</formula>
    </cfRule>
    <cfRule type="expression" dxfId="15537" priority="513" stopIfTrue="1">
      <formula>AI113=CléMaladie</formula>
    </cfRule>
    <cfRule type="expression" dxfId="15536" priority="514" stopIfTrue="1">
      <formula>AI113=CléPersonnelle</formula>
    </cfRule>
    <cfRule type="expression" dxfId="15535" priority="515" stopIfTrue="1">
      <formula>AI113=CléCongés</formula>
    </cfRule>
  </conditionalFormatting>
  <conditionalFormatting sqref="AM113:AP114">
    <cfRule type="expression" priority="504" stopIfTrue="1">
      <formula>AM113=""</formula>
    </cfRule>
    <cfRule type="expression" dxfId="15534" priority="505" stopIfTrue="1">
      <formula>AM113=CléPersonnalisée2</formula>
    </cfRule>
    <cfRule type="expression" dxfId="15533" priority="506" stopIfTrue="1">
      <formula>AM113=CléPersonnalisée1</formula>
    </cfRule>
    <cfRule type="expression" dxfId="15532" priority="507" stopIfTrue="1">
      <formula>AM113=CléMaladie</formula>
    </cfRule>
    <cfRule type="expression" dxfId="15531" priority="508" stopIfTrue="1">
      <formula>AM113=CléPersonnelle</formula>
    </cfRule>
    <cfRule type="expression" dxfId="15530" priority="509" stopIfTrue="1">
      <formula>AM113=CléCongés</formula>
    </cfRule>
  </conditionalFormatting>
  <conditionalFormatting sqref="AQ113:AR114">
    <cfRule type="expression" priority="498" stopIfTrue="1">
      <formula>AQ113=""</formula>
    </cfRule>
    <cfRule type="expression" dxfId="15529" priority="499" stopIfTrue="1">
      <formula>AQ113=CléPersonnalisée2</formula>
    </cfRule>
    <cfRule type="expression" dxfId="15528" priority="500" stopIfTrue="1">
      <formula>AQ113=CléPersonnalisée1</formula>
    </cfRule>
    <cfRule type="expression" dxfId="15527" priority="501" stopIfTrue="1">
      <formula>AQ113=CléMaladie</formula>
    </cfRule>
    <cfRule type="expression" dxfId="15526" priority="502" stopIfTrue="1">
      <formula>AQ113=CléPersonnelle</formula>
    </cfRule>
    <cfRule type="expression" dxfId="15525" priority="503" stopIfTrue="1">
      <formula>AQ113=CléCongés</formula>
    </cfRule>
  </conditionalFormatting>
  <conditionalFormatting sqref="AP115">
    <cfRule type="expression" priority="492" stopIfTrue="1">
      <formula>AP115=""</formula>
    </cfRule>
    <cfRule type="expression" dxfId="15524" priority="493" stopIfTrue="1">
      <formula>AP115=CléPersonnalisée2</formula>
    </cfRule>
    <cfRule type="expression" dxfId="15523" priority="494" stopIfTrue="1">
      <formula>AP115=CléPersonnalisée1</formula>
    </cfRule>
    <cfRule type="expression" dxfId="15522" priority="495" stopIfTrue="1">
      <formula>AP115=CléMaladie</formula>
    </cfRule>
    <cfRule type="expression" dxfId="15521" priority="496" stopIfTrue="1">
      <formula>AP115=CléPersonnelle</formula>
    </cfRule>
    <cfRule type="expression" dxfId="15520" priority="497" stopIfTrue="1">
      <formula>AP115=CléCongés</formula>
    </cfRule>
  </conditionalFormatting>
  <conditionalFormatting sqref="AH113:AH114">
    <cfRule type="dataBar" priority="491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{174C9257-1DEC-4072-B77E-53317006A757}</x14:id>
        </ext>
      </extLst>
    </cfRule>
  </conditionalFormatting>
  <conditionalFormatting sqref="AO115">
    <cfRule type="expression" priority="485" stopIfTrue="1">
      <formula>AO115=""</formula>
    </cfRule>
    <cfRule type="expression" dxfId="15519" priority="486" stopIfTrue="1">
      <formula>AO115=CléPersonnalisée2</formula>
    </cfRule>
    <cfRule type="expression" dxfId="15518" priority="487" stopIfTrue="1">
      <formula>AO115=CléPersonnalisée1</formula>
    </cfRule>
    <cfRule type="expression" dxfId="15517" priority="488" stopIfTrue="1">
      <formula>AO115=CléMaladie</formula>
    </cfRule>
    <cfRule type="expression" dxfId="15516" priority="489" stopIfTrue="1">
      <formula>AO115=CléPersonnelle</formula>
    </cfRule>
    <cfRule type="expression" dxfId="15515" priority="490" stopIfTrue="1">
      <formula>AO115=CléCongés</formula>
    </cfRule>
  </conditionalFormatting>
  <conditionalFormatting sqref="AI113:AI114">
    <cfRule type="expression" priority="479" stopIfTrue="1">
      <formula>AI113=""</formula>
    </cfRule>
    <cfRule type="expression" dxfId="15514" priority="480" stopIfTrue="1">
      <formula>AI113=CléPersonnalisée2</formula>
    </cfRule>
    <cfRule type="expression" dxfId="15513" priority="481" stopIfTrue="1">
      <formula>AI113=CléPersonnalisée1</formula>
    </cfRule>
    <cfRule type="expression" dxfId="15512" priority="482" stopIfTrue="1">
      <formula>AI113=CléMaladie</formula>
    </cfRule>
    <cfRule type="expression" dxfId="15511" priority="483" stopIfTrue="1">
      <formula>AI113=CléPersonnelle</formula>
    </cfRule>
    <cfRule type="expression" dxfId="15510" priority="484" stopIfTrue="1">
      <formula>AI113=CléCongés</formula>
    </cfRule>
  </conditionalFormatting>
  <conditionalFormatting sqref="AN115">
    <cfRule type="expression" priority="473" stopIfTrue="1">
      <formula>AN115=""</formula>
    </cfRule>
    <cfRule type="expression" dxfId="15509" priority="474" stopIfTrue="1">
      <formula>AN115=CléPersonnalisée2</formula>
    </cfRule>
    <cfRule type="expression" dxfId="15508" priority="475" stopIfTrue="1">
      <formula>AN115=CléPersonnalisée1</formula>
    </cfRule>
    <cfRule type="expression" dxfId="15507" priority="476" stopIfTrue="1">
      <formula>AN115=CléMaladie</formula>
    </cfRule>
    <cfRule type="expression" dxfId="15506" priority="477" stopIfTrue="1">
      <formula>AN115=CléPersonnelle</formula>
    </cfRule>
    <cfRule type="expression" dxfId="15505" priority="478" stopIfTrue="1">
      <formula>AN115=CléCongés</formula>
    </cfRule>
  </conditionalFormatting>
  <conditionalFormatting sqref="AR115">
    <cfRule type="expression" priority="467" stopIfTrue="1">
      <formula>AR115=""</formula>
    </cfRule>
    <cfRule type="expression" dxfId="15504" priority="468" stopIfTrue="1">
      <formula>AR115=CléPersonnalisée2</formula>
    </cfRule>
    <cfRule type="expression" dxfId="15503" priority="469" stopIfTrue="1">
      <formula>AR115=CléPersonnalisée1</formula>
    </cfRule>
    <cfRule type="expression" dxfId="15502" priority="470" stopIfTrue="1">
      <formula>AR115=CléMaladie</formula>
    </cfRule>
    <cfRule type="expression" dxfId="15501" priority="471" stopIfTrue="1">
      <formula>AR115=CléPersonnelle</formula>
    </cfRule>
    <cfRule type="expression" dxfId="15500" priority="472" stopIfTrue="1">
      <formula>AR115=CléCongés</formula>
    </cfRule>
  </conditionalFormatting>
  <conditionalFormatting sqref="AQ115">
    <cfRule type="expression" priority="461" stopIfTrue="1">
      <formula>AQ115=""</formula>
    </cfRule>
    <cfRule type="expression" dxfId="15499" priority="462" stopIfTrue="1">
      <formula>AQ115=CléPersonnalisée2</formula>
    </cfRule>
    <cfRule type="expression" dxfId="15498" priority="463" stopIfTrue="1">
      <formula>AQ115=CléPersonnalisée1</formula>
    </cfRule>
    <cfRule type="expression" dxfId="15497" priority="464" stopIfTrue="1">
      <formula>AQ115=CléMaladie</formula>
    </cfRule>
    <cfRule type="expression" dxfId="15496" priority="465" stopIfTrue="1">
      <formula>AQ115=CléPersonnelle</formula>
    </cfRule>
    <cfRule type="expression" dxfId="15495" priority="466" stopIfTrue="1">
      <formula>AQ115=CléCongés</formula>
    </cfRule>
  </conditionalFormatting>
  <conditionalFormatting sqref="L49:L50">
    <cfRule type="expression" priority="455" stopIfTrue="1">
      <formula>L49=""</formula>
    </cfRule>
    <cfRule type="expression" dxfId="15494" priority="456" stopIfTrue="1">
      <formula>L49=CléPersonnalisée2</formula>
    </cfRule>
    <cfRule type="expression" dxfId="15493" priority="457" stopIfTrue="1">
      <formula>L49=CléPersonnalisée1</formula>
    </cfRule>
    <cfRule type="expression" dxfId="15492" priority="458" stopIfTrue="1">
      <formula>L49=CléMaladie</formula>
    </cfRule>
    <cfRule type="expression" dxfId="15491" priority="459" stopIfTrue="1">
      <formula>L49=CléPersonnelle</formula>
    </cfRule>
    <cfRule type="expression" dxfId="15490" priority="460" stopIfTrue="1">
      <formula>L49=CléCongés</formula>
    </cfRule>
  </conditionalFormatting>
  <conditionalFormatting sqref="C13:AG15">
    <cfRule type="expression" priority="448" stopIfTrue="1">
      <formula>C13=""</formula>
    </cfRule>
    <cfRule type="expression" dxfId="15489" priority="449" stopIfTrue="1">
      <formula>C13=CléPersonnalisée2</formula>
    </cfRule>
    <cfRule type="expression" dxfId="15488" priority="450" stopIfTrue="1">
      <formula>C13=CléPersonnalisée1</formula>
    </cfRule>
    <cfRule type="expression" dxfId="15487" priority="451" stopIfTrue="1">
      <formula>C13=CléMaladie</formula>
    </cfRule>
    <cfRule type="expression" dxfId="15486" priority="452" stopIfTrue="1">
      <formula>C13=CléPersonnelle</formula>
    </cfRule>
    <cfRule type="expression" dxfId="15485" priority="453" stopIfTrue="1">
      <formula>C13=CléCongés</formula>
    </cfRule>
  </conditionalFormatting>
  <conditionalFormatting sqref="AH15">
    <cfRule type="dataBar" priority="454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{433C076E-A005-40B6-BDA8-057928525F9D}</x14:id>
        </ext>
      </extLst>
    </cfRule>
  </conditionalFormatting>
  <conditionalFormatting sqref="AI15:AL15 AJ13:AL14">
    <cfRule type="expression" priority="442" stopIfTrue="1">
      <formula>AI13=""</formula>
    </cfRule>
    <cfRule type="expression" dxfId="15484" priority="443" stopIfTrue="1">
      <formula>AI13=CléPersonnalisée2</formula>
    </cfRule>
    <cfRule type="expression" dxfId="15483" priority="444" stopIfTrue="1">
      <formula>AI13=CléPersonnalisée1</formula>
    </cfRule>
    <cfRule type="expression" dxfId="15482" priority="445" stopIfTrue="1">
      <formula>AI13=CléMaladie</formula>
    </cfRule>
    <cfRule type="expression" dxfId="15481" priority="446" stopIfTrue="1">
      <formula>AI13=CléPersonnelle</formula>
    </cfRule>
    <cfRule type="expression" dxfId="15480" priority="447" stopIfTrue="1">
      <formula>AI13=CléCongés</formula>
    </cfRule>
  </conditionalFormatting>
  <conditionalFormatting sqref="AM13:AP14">
    <cfRule type="expression" priority="436" stopIfTrue="1">
      <formula>AM13=""</formula>
    </cfRule>
    <cfRule type="expression" dxfId="15479" priority="437" stopIfTrue="1">
      <formula>AM13=CléPersonnalisée2</formula>
    </cfRule>
    <cfRule type="expression" dxfId="15478" priority="438" stopIfTrue="1">
      <formula>AM13=CléPersonnalisée1</formula>
    </cfRule>
    <cfRule type="expression" dxfId="15477" priority="439" stopIfTrue="1">
      <formula>AM13=CléMaladie</formula>
    </cfRule>
    <cfRule type="expression" dxfId="15476" priority="440" stopIfTrue="1">
      <formula>AM13=CléPersonnelle</formula>
    </cfRule>
    <cfRule type="expression" dxfId="15475" priority="441" stopIfTrue="1">
      <formula>AM13=CléCongés</formula>
    </cfRule>
  </conditionalFormatting>
  <conditionalFormatting sqref="AQ13:AR14">
    <cfRule type="expression" priority="430" stopIfTrue="1">
      <formula>AQ13=""</formula>
    </cfRule>
    <cfRule type="expression" dxfId="15474" priority="431" stopIfTrue="1">
      <formula>AQ13=CléPersonnalisée2</formula>
    </cfRule>
    <cfRule type="expression" dxfId="15473" priority="432" stopIfTrue="1">
      <formula>AQ13=CléPersonnalisée1</formula>
    </cfRule>
    <cfRule type="expression" dxfId="15472" priority="433" stopIfTrue="1">
      <formula>AQ13=CléMaladie</formula>
    </cfRule>
    <cfRule type="expression" dxfId="15471" priority="434" stopIfTrue="1">
      <formula>AQ13=CléPersonnelle</formula>
    </cfRule>
    <cfRule type="expression" dxfId="15470" priority="435" stopIfTrue="1">
      <formula>AQ13=CléCongés</formula>
    </cfRule>
  </conditionalFormatting>
  <conditionalFormatting sqref="AM15 AP15">
    <cfRule type="expression" priority="424" stopIfTrue="1">
      <formula>AM15=""</formula>
    </cfRule>
    <cfRule type="expression" dxfId="15469" priority="425" stopIfTrue="1">
      <formula>AM15=CléPersonnalisée2</formula>
    </cfRule>
    <cfRule type="expression" dxfId="15468" priority="426" stopIfTrue="1">
      <formula>AM15=CléPersonnalisée1</formula>
    </cfRule>
    <cfRule type="expression" dxfId="15467" priority="427" stopIfTrue="1">
      <formula>AM15=CléMaladie</formula>
    </cfRule>
    <cfRule type="expression" dxfId="15466" priority="428" stopIfTrue="1">
      <formula>AM15=CléPersonnelle</formula>
    </cfRule>
    <cfRule type="expression" dxfId="15465" priority="429" stopIfTrue="1">
      <formula>AM15=CléCongés</formula>
    </cfRule>
  </conditionalFormatting>
  <conditionalFormatting sqref="AH13:AH14">
    <cfRule type="dataBar" priority="423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{0DE47280-3030-42B6-8BE5-DFF7F40FD0E7}</x14:id>
        </ext>
      </extLst>
    </cfRule>
  </conditionalFormatting>
  <conditionalFormatting sqref="AO15">
    <cfRule type="expression" priority="417" stopIfTrue="1">
      <formula>AO15=""</formula>
    </cfRule>
    <cfRule type="expression" dxfId="15464" priority="418" stopIfTrue="1">
      <formula>AO15=CléPersonnalisée2</formula>
    </cfRule>
    <cfRule type="expression" dxfId="15463" priority="419" stopIfTrue="1">
      <formula>AO15=CléPersonnalisée1</formula>
    </cfRule>
    <cfRule type="expression" dxfId="15462" priority="420" stopIfTrue="1">
      <formula>AO15=CléMaladie</formula>
    </cfRule>
    <cfRule type="expression" dxfId="15461" priority="421" stopIfTrue="1">
      <formula>AO15=CléPersonnelle</formula>
    </cfRule>
    <cfRule type="expression" dxfId="15460" priority="422" stopIfTrue="1">
      <formula>AO15=CléCongés</formula>
    </cfRule>
  </conditionalFormatting>
  <conditionalFormatting sqref="AI13:AI14">
    <cfRule type="expression" priority="411" stopIfTrue="1">
      <formula>AI13=""</formula>
    </cfRule>
    <cfRule type="expression" dxfId="15459" priority="412" stopIfTrue="1">
      <formula>AI13=CléPersonnalisée2</formula>
    </cfRule>
    <cfRule type="expression" dxfId="15458" priority="413" stopIfTrue="1">
      <formula>AI13=CléPersonnalisée1</formula>
    </cfRule>
    <cfRule type="expression" dxfId="15457" priority="414" stopIfTrue="1">
      <formula>AI13=CléMaladie</formula>
    </cfRule>
    <cfRule type="expression" dxfId="15456" priority="415" stopIfTrue="1">
      <formula>AI13=CléPersonnelle</formula>
    </cfRule>
    <cfRule type="expression" dxfId="15455" priority="416" stopIfTrue="1">
      <formula>AI13=CléCongés</formula>
    </cfRule>
  </conditionalFormatting>
  <conditionalFormatting sqref="AN15">
    <cfRule type="expression" priority="405" stopIfTrue="1">
      <formula>AN15=""</formula>
    </cfRule>
    <cfRule type="expression" dxfId="15454" priority="406" stopIfTrue="1">
      <formula>AN15=CléPersonnalisée2</formula>
    </cfRule>
    <cfRule type="expression" dxfId="15453" priority="407" stopIfTrue="1">
      <formula>AN15=CléPersonnalisée1</formula>
    </cfRule>
    <cfRule type="expression" dxfId="15452" priority="408" stopIfTrue="1">
      <formula>AN15=CléMaladie</formula>
    </cfRule>
    <cfRule type="expression" dxfId="15451" priority="409" stopIfTrue="1">
      <formula>AN15=CléPersonnelle</formula>
    </cfRule>
    <cfRule type="expression" dxfId="15450" priority="410" stopIfTrue="1">
      <formula>AN15=CléCongés</formula>
    </cfRule>
  </conditionalFormatting>
  <conditionalFormatting sqref="AR15">
    <cfRule type="expression" priority="399" stopIfTrue="1">
      <formula>AR15=""</formula>
    </cfRule>
    <cfRule type="expression" dxfId="15449" priority="400" stopIfTrue="1">
      <formula>AR15=CléPersonnalisée2</formula>
    </cfRule>
    <cfRule type="expression" dxfId="15448" priority="401" stopIfTrue="1">
      <formula>AR15=CléPersonnalisée1</formula>
    </cfRule>
    <cfRule type="expression" dxfId="15447" priority="402" stopIfTrue="1">
      <formula>AR15=CléMaladie</formula>
    </cfRule>
    <cfRule type="expression" dxfId="15446" priority="403" stopIfTrue="1">
      <formula>AR15=CléPersonnelle</formula>
    </cfRule>
    <cfRule type="expression" dxfId="15445" priority="404" stopIfTrue="1">
      <formula>AR15=CléCongés</formula>
    </cfRule>
  </conditionalFormatting>
  <conditionalFormatting sqref="AQ15">
    <cfRule type="expression" priority="393" stopIfTrue="1">
      <formula>AQ15=""</formula>
    </cfRule>
    <cfRule type="expression" dxfId="15444" priority="394" stopIfTrue="1">
      <formula>AQ15=CléPersonnalisée2</formula>
    </cfRule>
    <cfRule type="expression" dxfId="15443" priority="395" stopIfTrue="1">
      <formula>AQ15=CléPersonnalisée1</formula>
    </cfRule>
    <cfRule type="expression" dxfId="15442" priority="396" stopIfTrue="1">
      <formula>AQ15=CléMaladie</formula>
    </cfRule>
    <cfRule type="expression" dxfId="15441" priority="397" stopIfTrue="1">
      <formula>AQ15=CléPersonnelle</formula>
    </cfRule>
    <cfRule type="expression" dxfId="15440" priority="398" stopIfTrue="1">
      <formula>AQ15=CléCongés</formula>
    </cfRule>
  </conditionalFormatting>
  <conditionalFormatting sqref="AO95 AO103 AO99">
    <cfRule type="expression" priority="387" stopIfTrue="1">
      <formula>AO95=""</formula>
    </cfRule>
    <cfRule type="expression" dxfId="15439" priority="388" stopIfTrue="1">
      <formula>AO95=CléPersonnalisée2</formula>
    </cfRule>
    <cfRule type="expression" dxfId="15438" priority="389" stopIfTrue="1">
      <formula>AO95=CléPersonnalisée1</formula>
    </cfRule>
    <cfRule type="expression" dxfId="15437" priority="390" stopIfTrue="1">
      <formula>AO95=CléMaladie</formula>
    </cfRule>
    <cfRule type="expression" dxfId="15436" priority="391" stopIfTrue="1">
      <formula>AO95=CléPersonnelle</formula>
    </cfRule>
    <cfRule type="expression" dxfId="15435" priority="392" stopIfTrue="1">
      <formula>AO95=CléCongés</formula>
    </cfRule>
  </conditionalFormatting>
  <conditionalFormatting sqref="S85:AG86">
    <cfRule type="expression" priority="381" stopIfTrue="1">
      <formula>S85=""</formula>
    </cfRule>
    <cfRule type="expression" dxfId="15434" priority="382" stopIfTrue="1">
      <formula>S85=CléPersonnalisée2</formula>
    </cfRule>
    <cfRule type="expression" dxfId="15433" priority="383" stopIfTrue="1">
      <formula>S85=CléPersonnalisée1</formula>
    </cfRule>
    <cfRule type="expression" dxfId="15432" priority="384" stopIfTrue="1">
      <formula>S85=CléMaladie</formula>
    </cfRule>
    <cfRule type="expression" dxfId="15431" priority="385" stopIfTrue="1">
      <formula>S85=CléPersonnelle</formula>
    </cfRule>
    <cfRule type="expression" dxfId="15430" priority="386" stopIfTrue="1">
      <formula>S85=CléCongés</formula>
    </cfRule>
  </conditionalFormatting>
  <conditionalFormatting sqref="AO75">
    <cfRule type="expression" priority="375" stopIfTrue="1">
      <formula>AO75=""</formula>
    </cfRule>
    <cfRule type="expression" dxfId="15429" priority="376" stopIfTrue="1">
      <formula>AO75=CléPersonnalisée2</formula>
    </cfRule>
    <cfRule type="expression" dxfId="15428" priority="377" stopIfTrue="1">
      <formula>AO75=CléPersonnalisée1</formula>
    </cfRule>
    <cfRule type="expression" dxfId="15427" priority="378" stopIfTrue="1">
      <formula>AO75=CléMaladie</formula>
    </cfRule>
    <cfRule type="expression" dxfId="15426" priority="379" stopIfTrue="1">
      <formula>AO75=CléPersonnelle</formula>
    </cfRule>
    <cfRule type="expression" dxfId="15425" priority="380" stopIfTrue="1">
      <formula>AO75=CléCongés</formula>
    </cfRule>
  </conditionalFormatting>
  <conditionalFormatting sqref="AQ100:AR100">
    <cfRule type="expression" priority="369" stopIfTrue="1">
      <formula>AQ100=""</formula>
    </cfRule>
    <cfRule type="expression" dxfId="15424" priority="370" stopIfTrue="1">
      <formula>AQ100=CléPersonnalisée2</formula>
    </cfRule>
    <cfRule type="expression" dxfId="15423" priority="371" stopIfTrue="1">
      <formula>AQ100=CléPersonnalisée1</formula>
    </cfRule>
    <cfRule type="expression" dxfId="15422" priority="372" stopIfTrue="1">
      <formula>AQ100=CléMaladie</formula>
    </cfRule>
    <cfRule type="expression" dxfId="15421" priority="373" stopIfTrue="1">
      <formula>AQ100=CléPersonnelle</formula>
    </cfRule>
    <cfRule type="expression" dxfId="15420" priority="374" stopIfTrue="1">
      <formula>AQ100=CléCongés</formula>
    </cfRule>
  </conditionalFormatting>
  <conditionalFormatting sqref="AQ96:AR96">
    <cfRule type="expression" priority="363" stopIfTrue="1">
      <formula>AQ96=""</formula>
    </cfRule>
    <cfRule type="expression" dxfId="15419" priority="364" stopIfTrue="1">
      <formula>AQ96=CléPersonnalisée2</formula>
    </cfRule>
    <cfRule type="expression" dxfId="15418" priority="365" stopIfTrue="1">
      <formula>AQ96=CléPersonnalisée1</formula>
    </cfRule>
    <cfRule type="expression" dxfId="15417" priority="366" stopIfTrue="1">
      <formula>AQ96=CléMaladie</formula>
    </cfRule>
    <cfRule type="expression" dxfId="15416" priority="367" stopIfTrue="1">
      <formula>AQ96=CléPersonnelle</formula>
    </cfRule>
    <cfRule type="expression" dxfId="15415" priority="368" stopIfTrue="1">
      <formula>AQ96=CléCongés</formula>
    </cfRule>
  </conditionalFormatting>
  <conditionalFormatting sqref="AQ120:AR120">
    <cfRule type="expression" priority="357" stopIfTrue="1">
      <formula>AQ120=""</formula>
    </cfRule>
    <cfRule type="expression" dxfId="15414" priority="358" stopIfTrue="1">
      <formula>AQ120=CléPersonnalisée2</formula>
    </cfRule>
    <cfRule type="expression" dxfId="15413" priority="359" stopIfTrue="1">
      <formula>AQ120=CléPersonnalisée1</formula>
    </cfRule>
    <cfRule type="expression" dxfId="15412" priority="360" stopIfTrue="1">
      <formula>AQ120=CléMaladie</formula>
    </cfRule>
    <cfRule type="expression" dxfId="15411" priority="361" stopIfTrue="1">
      <formula>AQ120=CléPersonnelle</formula>
    </cfRule>
    <cfRule type="expression" dxfId="15410" priority="362" stopIfTrue="1">
      <formula>AQ120=CléCongés</formula>
    </cfRule>
  </conditionalFormatting>
  <conditionalFormatting sqref="C117:AG119">
    <cfRule type="expression" priority="350" stopIfTrue="1">
      <formula>C117=""</formula>
    </cfRule>
    <cfRule type="expression" dxfId="15409" priority="351" stopIfTrue="1">
      <formula>C117=CléPersonnalisée2</formula>
    </cfRule>
    <cfRule type="expression" dxfId="15408" priority="352" stopIfTrue="1">
      <formula>C117=CléPersonnalisée1</formula>
    </cfRule>
    <cfRule type="expression" dxfId="15407" priority="353" stopIfTrue="1">
      <formula>C117=CléMaladie</formula>
    </cfRule>
    <cfRule type="expression" dxfId="15406" priority="354" stopIfTrue="1">
      <formula>C117=CléPersonnelle</formula>
    </cfRule>
    <cfRule type="expression" dxfId="15405" priority="355" stopIfTrue="1">
      <formula>C117=CléCongés</formula>
    </cfRule>
  </conditionalFormatting>
  <conditionalFormatting sqref="AH119">
    <cfRule type="dataBar" priority="356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{F89D91A4-A706-4715-8D17-4BF5CB754621}</x14:id>
        </ext>
      </extLst>
    </cfRule>
  </conditionalFormatting>
  <conditionalFormatting sqref="AI119:AL119 AJ117:AL118">
    <cfRule type="expression" priority="344" stopIfTrue="1">
      <formula>AI117=""</formula>
    </cfRule>
    <cfRule type="expression" dxfId="15404" priority="345" stopIfTrue="1">
      <formula>AI117=CléPersonnalisée2</formula>
    </cfRule>
    <cfRule type="expression" dxfId="15403" priority="346" stopIfTrue="1">
      <formula>AI117=CléPersonnalisée1</formula>
    </cfRule>
    <cfRule type="expression" dxfId="15402" priority="347" stopIfTrue="1">
      <formula>AI117=CléMaladie</formula>
    </cfRule>
    <cfRule type="expression" dxfId="15401" priority="348" stopIfTrue="1">
      <formula>AI117=CléPersonnelle</formula>
    </cfRule>
    <cfRule type="expression" dxfId="15400" priority="349" stopIfTrue="1">
      <formula>AI117=CléCongés</formula>
    </cfRule>
  </conditionalFormatting>
  <conditionalFormatting sqref="AM117:AP118">
    <cfRule type="expression" priority="338" stopIfTrue="1">
      <formula>AM117=""</formula>
    </cfRule>
    <cfRule type="expression" dxfId="15399" priority="339" stopIfTrue="1">
      <formula>AM117=CléPersonnalisée2</formula>
    </cfRule>
    <cfRule type="expression" dxfId="15398" priority="340" stopIfTrue="1">
      <formula>AM117=CléPersonnalisée1</formula>
    </cfRule>
    <cfRule type="expression" dxfId="15397" priority="341" stopIfTrue="1">
      <formula>AM117=CléMaladie</formula>
    </cfRule>
    <cfRule type="expression" dxfId="15396" priority="342" stopIfTrue="1">
      <formula>AM117=CléPersonnelle</formula>
    </cfRule>
    <cfRule type="expression" dxfId="15395" priority="343" stopIfTrue="1">
      <formula>AM117=CléCongés</formula>
    </cfRule>
  </conditionalFormatting>
  <conditionalFormatting sqref="AQ117:AR118">
    <cfRule type="expression" priority="332" stopIfTrue="1">
      <formula>AQ117=""</formula>
    </cfRule>
    <cfRule type="expression" dxfId="15394" priority="333" stopIfTrue="1">
      <formula>AQ117=CléPersonnalisée2</formula>
    </cfRule>
    <cfRule type="expression" dxfId="15393" priority="334" stopIfTrue="1">
      <formula>AQ117=CléPersonnalisée1</formula>
    </cfRule>
    <cfRule type="expression" dxfId="15392" priority="335" stopIfTrue="1">
      <formula>AQ117=CléMaladie</formula>
    </cfRule>
    <cfRule type="expression" dxfId="15391" priority="336" stopIfTrue="1">
      <formula>AQ117=CléPersonnelle</formula>
    </cfRule>
    <cfRule type="expression" dxfId="15390" priority="337" stopIfTrue="1">
      <formula>AQ117=CléCongés</formula>
    </cfRule>
  </conditionalFormatting>
  <conditionalFormatting sqref="AP119">
    <cfRule type="expression" priority="326" stopIfTrue="1">
      <formula>AP119=""</formula>
    </cfRule>
    <cfRule type="expression" dxfId="15389" priority="327" stopIfTrue="1">
      <formula>AP119=CléPersonnalisée2</formula>
    </cfRule>
    <cfRule type="expression" dxfId="15388" priority="328" stopIfTrue="1">
      <formula>AP119=CléPersonnalisée1</formula>
    </cfRule>
    <cfRule type="expression" dxfId="15387" priority="329" stopIfTrue="1">
      <formula>AP119=CléMaladie</formula>
    </cfRule>
    <cfRule type="expression" dxfId="15386" priority="330" stopIfTrue="1">
      <formula>AP119=CléPersonnelle</formula>
    </cfRule>
    <cfRule type="expression" dxfId="15385" priority="331" stopIfTrue="1">
      <formula>AP119=CléCongés</formula>
    </cfRule>
  </conditionalFormatting>
  <conditionalFormatting sqref="AH117:AH118">
    <cfRule type="dataBar" priority="325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{A6B3E6D4-A1C2-442B-9242-33DB49CAEE98}</x14:id>
        </ext>
      </extLst>
    </cfRule>
  </conditionalFormatting>
  <conditionalFormatting sqref="AO119">
    <cfRule type="expression" priority="319" stopIfTrue="1">
      <formula>AO119=""</formula>
    </cfRule>
    <cfRule type="expression" dxfId="15384" priority="320" stopIfTrue="1">
      <formula>AO119=CléPersonnalisée2</formula>
    </cfRule>
    <cfRule type="expression" dxfId="15383" priority="321" stopIfTrue="1">
      <formula>AO119=CléPersonnalisée1</formula>
    </cfRule>
    <cfRule type="expression" dxfId="15382" priority="322" stopIfTrue="1">
      <formula>AO119=CléMaladie</formula>
    </cfRule>
    <cfRule type="expression" dxfId="15381" priority="323" stopIfTrue="1">
      <formula>AO119=CléPersonnelle</formula>
    </cfRule>
    <cfRule type="expression" dxfId="15380" priority="324" stopIfTrue="1">
      <formula>AO119=CléCongés</formula>
    </cfRule>
  </conditionalFormatting>
  <conditionalFormatting sqref="AI117:AI118">
    <cfRule type="expression" priority="313" stopIfTrue="1">
      <formula>AI117=""</formula>
    </cfRule>
    <cfRule type="expression" dxfId="15379" priority="314" stopIfTrue="1">
      <formula>AI117=CléPersonnalisée2</formula>
    </cfRule>
    <cfRule type="expression" dxfId="15378" priority="315" stopIfTrue="1">
      <formula>AI117=CléPersonnalisée1</formula>
    </cfRule>
    <cfRule type="expression" dxfId="15377" priority="316" stopIfTrue="1">
      <formula>AI117=CléMaladie</formula>
    </cfRule>
    <cfRule type="expression" dxfId="15376" priority="317" stopIfTrue="1">
      <formula>AI117=CléPersonnelle</formula>
    </cfRule>
    <cfRule type="expression" dxfId="15375" priority="318" stopIfTrue="1">
      <formula>AI117=CléCongés</formula>
    </cfRule>
  </conditionalFormatting>
  <conditionalFormatting sqref="AN119">
    <cfRule type="expression" priority="307" stopIfTrue="1">
      <formula>AN119=""</formula>
    </cfRule>
    <cfRule type="expression" dxfId="15374" priority="308" stopIfTrue="1">
      <formula>AN119=CléPersonnalisée2</formula>
    </cfRule>
    <cfRule type="expression" dxfId="15373" priority="309" stopIfTrue="1">
      <formula>AN119=CléPersonnalisée1</formula>
    </cfRule>
    <cfRule type="expression" dxfId="15372" priority="310" stopIfTrue="1">
      <formula>AN119=CléMaladie</formula>
    </cfRule>
    <cfRule type="expression" dxfId="15371" priority="311" stopIfTrue="1">
      <formula>AN119=CléPersonnelle</formula>
    </cfRule>
    <cfRule type="expression" dxfId="15370" priority="312" stopIfTrue="1">
      <formula>AN119=CléCongés</formula>
    </cfRule>
  </conditionalFormatting>
  <conditionalFormatting sqref="AR119">
    <cfRule type="expression" priority="301" stopIfTrue="1">
      <formula>AR119=""</formula>
    </cfRule>
    <cfRule type="expression" dxfId="15369" priority="302" stopIfTrue="1">
      <formula>AR119=CléPersonnalisée2</formula>
    </cfRule>
    <cfRule type="expression" dxfId="15368" priority="303" stopIfTrue="1">
      <formula>AR119=CléPersonnalisée1</formula>
    </cfRule>
    <cfRule type="expression" dxfId="15367" priority="304" stopIfTrue="1">
      <formula>AR119=CléMaladie</formula>
    </cfRule>
    <cfRule type="expression" dxfId="15366" priority="305" stopIfTrue="1">
      <formula>AR119=CléPersonnelle</formula>
    </cfRule>
    <cfRule type="expression" dxfId="15365" priority="306" stopIfTrue="1">
      <formula>AR119=CléCongés</formula>
    </cfRule>
  </conditionalFormatting>
  <conditionalFormatting sqref="AQ119">
    <cfRule type="expression" priority="295" stopIfTrue="1">
      <formula>AQ119=""</formula>
    </cfRule>
    <cfRule type="expression" dxfId="15364" priority="296" stopIfTrue="1">
      <formula>AQ119=CléPersonnalisée2</formula>
    </cfRule>
    <cfRule type="expression" dxfId="15363" priority="297" stopIfTrue="1">
      <formula>AQ119=CléPersonnalisée1</formula>
    </cfRule>
    <cfRule type="expression" dxfId="15362" priority="298" stopIfTrue="1">
      <formula>AQ119=CléMaladie</formula>
    </cfRule>
    <cfRule type="expression" dxfId="15361" priority="299" stopIfTrue="1">
      <formula>AQ119=CléPersonnelle</formula>
    </cfRule>
    <cfRule type="expression" dxfId="15360" priority="300" stopIfTrue="1">
      <formula>AQ119=CléCongés</formula>
    </cfRule>
  </conditionalFormatting>
  <conditionalFormatting sqref="AQ108:AR108">
    <cfRule type="expression" priority="289" stopIfTrue="1">
      <formula>AQ108=""</formula>
    </cfRule>
    <cfRule type="expression" dxfId="15359" priority="290" stopIfTrue="1">
      <formula>AQ108=CléPersonnalisée2</formula>
    </cfRule>
    <cfRule type="expression" dxfId="15358" priority="291" stopIfTrue="1">
      <formula>AQ108=CléPersonnalisée1</formula>
    </cfRule>
    <cfRule type="expression" dxfId="15357" priority="292" stopIfTrue="1">
      <formula>AQ108=CléMaladie</formula>
    </cfRule>
    <cfRule type="expression" dxfId="15356" priority="293" stopIfTrue="1">
      <formula>AQ108=CléPersonnelle</formula>
    </cfRule>
    <cfRule type="expression" dxfId="15355" priority="294" stopIfTrue="1">
      <formula>AQ108=CléCongés</formula>
    </cfRule>
  </conditionalFormatting>
  <conditionalFormatting sqref="C105:AG107">
    <cfRule type="expression" priority="282" stopIfTrue="1">
      <formula>C105=""</formula>
    </cfRule>
    <cfRule type="expression" dxfId="15354" priority="283" stopIfTrue="1">
      <formula>C105=CléPersonnalisée2</formula>
    </cfRule>
    <cfRule type="expression" dxfId="15353" priority="284" stopIfTrue="1">
      <formula>C105=CléPersonnalisée1</formula>
    </cfRule>
    <cfRule type="expression" dxfId="15352" priority="285" stopIfTrue="1">
      <formula>C105=CléMaladie</formula>
    </cfRule>
    <cfRule type="expression" dxfId="15351" priority="286" stopIfTrue="1">
      <formula>C105=CléPersonnelle</formula>
    </cfRule>
    <cfRule type="expression" dxfId="15350" priority="287" stopIfTrue="1">
      <formula>C105=CléCongés</formula>
    </cfRule>
  </conditionalFormatting>
  <conditionalFormatting sqref="AH107">
    <cfRule type="dataBar" priority="288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{D4DD3F2E-AD22-40F6-9E13-453C8E06FAF8}</x14:id>
        </ext>
      </extLst>
    </cfRule>
  </conditionalFormatting>
  <conditionalFormatting sqref="AI107:AL107 AJ105:AL106">
    <cfRule type="expression" priority="276" stopIfTrue="1">
      <formula>AI105=""</formula>
    </cfRule>
    <cfRule type="expression" dxfId="15349" priority="277" stopIfTrue="1">
      <formula>AI105=CléPersonnalisée2</formula>
    </cfRule>
    <cfRule type="expression" dxfId="15348" priority="278" stopIfTrue="1">
      <formula>AI105=CléPersonnalisée1</formula>
    </cfRule>
    <cfRule type="expression" dxfId="15347" priority="279" stopIfTrue="1">
      <formula>AI105=CléMaladie</formula>
    </cfRule>
    <cfRule type="expression" dxfId="15346" priority="280" stopIfTrue="1">
      <formula>AI105=CléPersonnelle</formula>
    </cfRule>
    <cfRule type="expression" dxfId="15345" priority="281" stopIfTrue="1">
      <formula>AI105=CléCongés</formula>
    </cfRule>
  </conditionalFormatting>
  <conditionalFormatting sqref="AM105:AP106">
    <cfRule type="expression" priority="270" stopIfTrue="1">
      <formula>AM105=""</formula>
    </cfRule>
    <cfRule type="expression" dxfId="15344" priority="271" stopIfTrue="1">
      <formula>AM105=CléPersonnalisée2</formula>
    </cfRule>
    <cfRule type="expression" dxfId="15343" priority="272" stopIfTrue="1">
      <formula>AM105=CléPersonnalisée1</formula>
    </cfRule>
    <cfRule type="expression" dxfId="15342" priority="273" stopIfTrue="1">
      <formula>AM105=CléMaladie</formula>
    </cfRule>
    <cfRule type="expression" dxfId="15341" priority="274" stopIfTrue="1">
      <formula>AM105=CléPersonnelle</formula>
    </cfRule>
    <cfRule type="expression" dxfId="15340" priority="275" stopIfTrue="1">
      <formula>AM105=CléCongés</formula>
    </cfRule>
  </conditionalFormatting>
  <conditionalFormatting sqref="AQ105:AR106">
    <cfRule type="expression" priority="264" stopIfTrue="1">
      <formula>AQ105=""</formula>
    </cfRule>
    <cfRule type="expression" dxfId="15339" priority="265" stopIfTrue="1">
      <formula>AQ105=CléPersonnalisée2</formula>
    </cfRule>
    <cfRule type="expression" dxfId="15338" priority="266" stopIfTrue="1">
      <formula>AQ105=CléPersonnalisée1</formula>
    </cfRule>
    <cfRule type="expression" dxfId="15337" priority="267" stopIfTrue="1">
      <formula>AQ105=CléMaladie</formula>
    </cfRule>
    <cfRule type="expression" dxfId="15336" priority="268" stopIfTrue="1">
      <formula>AQ105=CléPersonnelle</formula>
    </cfRule>
    <cfRule type="expression" dxfId="15335" priority="269" stopIfTrue="1">
      <formula>AQ105=CléCongés</formula>
    </cfRule>
  </conditionalFormatting>
  <conditionalFormatting sqref="AP107">
    <cfRule type="expression" priority="258" stopIfTrue="1">
      <formula>AP107=""</formula>
    </cfRule>
    <cfRule type="expression" dxfId="15334" priority="259" stopIfTrue="1">
      <formula>AP107=CléPersonnalisée2</formula>
    </cfRule>
    <cfRule type="expression" dxfId="15333" priority="260" stopIfTrue="1">
      <formula>AP107=CléPersonnalisée1</formula>
    </cfRule>
    <cfRule type="expression" dxfId="15332" priority="261" stopIfTrue="1">
      <formula>AP107=CléMaladie</formula>
    </cfRule>
    <cfRule type="expression" dxfId="15331" priority="262" stopIfTrue="1">
      <formula>AP107=CléPersonnelle</formula>
    </cfRule>
    <cfRule type="expression" dxfId="15330" priority="263" stopIfTrue="1">
      <formula>AP107=CléCongés</formula>
    </cfRule>
  </conditionalFormatting>
  <conditionalFormatting sqref="AH105:AH106">
    <cfRule type="dataBar" priority="257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{B620E97C-EB4E-4C52-AAE6-B4D9FED87194}</x14:id>
        </ext>
      </extLst>
    </cfRule>
  </conditionalFormatting>
  <conditionalFormatting sqref="AO107">
    <cfRule type="expression" priority="251" stopIfTrue="1">
      <formula>AO107=""</formula>
    </cfRule>
    <cfRule type="expression" dxfId="15329" priority="252" stopIfTrue="1">
      <formula>AO107=CléPersonnalisée2</formula>
    </cfRule>
    <cfRule type="expression" dxfId="15328" priority="253" stopIfTrue="1">
      <formula>AO107=CléPersonnalisée1</formula>
    </cfRule>
    <cfRule type="expression" dxfId="15327" priority="254" stopIfTrue="1">
      <formula>AO107=CléMaladie</formula>
    </cfRule>
    <cfRule type="expression" dxfId="15326" priority="255" stopIfTrue="1">
      <formula>AO107=CléPersonnelle</formula>
    </cfRule>
    <cfRule type="expression" dxfId="15325" priority="256" stopIfTrue="1">
      <formula>AO107=CléCongés</formula>
    </cfRule>
  </conditionalFormatting>
  <conditionalFormatting sqref="AI105:AI106">
    <cfRule type="expression" priority="245" stopIfTrue="1">
      <formula>AI105=""</formula>
    </cfRule>
    <cfRule type="expression" dxfId="15324" priority="246" stopIfTrue="1">
      <formula>AI105=CléPersonnalisée2</formula>
    </cfRule>
    <cfRule type="expression" dxfId="15323" priority="247" stopIfTrue="1">
      <formula>AI105=CléPersonnalisée1</formula>
    </cfRule>
    <cfRule type="expression" dxfId="15322" priority="248" stopIfTrue="1">
      <formula>AI105=CléMaladie</formula>
    </cfRule>
    <cfRule type="expression" dxfId="15321" priority="249" stopIfTrue="1">
      <formula>AI105=CléPersonnelle</formula>
    </cfRule>
    <cfRule type="expression" dxfId="15320" priority="250" stopIfTrue="1">
      <formula>AI105=CléCongés</formula>
    </cfRule>
  </conditionalFormatting>
  <conditionalFormatting sqref="AN107">
    <cfRule type="expression" priority="239" stopIfTrue="1">
      <formula>AN107=""</formula>
    </cfRule>
    <cfRule type="expression" dxfId="15319" priority="240" stopIfTrue="1">
      <formula>AN107=CléPersonnalisée2</formula>
    </cfRule>
    <cfRule type="expression" dxfId="15318" priority="241" stopIfTrue="1">
      <formula>AN107=CléPersonnalisée1</formula>
    </cfRule>
    <cfRule type="expression" dxfId="15317" priority="242" stopIfTrue="1">
      <formula>AN107=CléMaladie</formula>
    </cfRule>
    <cfRule type="expression" dxfId="15316" priority="243" stopIfTrue="1">
      <formula>AN107=CléPersonnelle</formula>
    </cfRule>
    <cfRule type="expression" dxfId="15315" priority="244" stopIfTrue="1">
      <formula>AN107=CléCongés</formula>
    </cfRule>
  </conditionalFormatting>
  <conditionalFormatting sqref="AR107">
    <cfRule type="expression" priority="233" stopIfTrue="1">
      <formula>AR107=""</formula>
    </cfRule>
    <cfRule type="expression" dxfId="15314" priority="234" stopIfTrue="1">
      <formula>AR107=CléPersonnalisée2</formula>
    </cfRule>
    <cfRule type="expression" dxfId="15313" priority="235" stopIfTrue="1">
      <formula>AR107=CléPersonnalisée1</formula>
    </cfRule>
    <cfRule type="expression" dxfId="15312" priority="236" stopIfTrue="1">
      <formula>AR107=CléMaladie</formula>
    </cfRule>
    <cfRule type="expression" dxfId="15311" priority="237" stopIfTrue="1">
      <formula>AR107=CléPersonnelle</formula>
    </cfRule>
    <cfRule type="expression" dxfId="15310" priority="238" stopIfTrue="1">
      <formula>AR107=CléCongés</formula>
    </cfRule>
  </conditionalFormatting>
  <conditionalFormatting sqref="AQ107">
    <cfRule type="expression" priority="227" stopIfTrue="1">
      <formula>AQ107=""</formula>
    </cfRule>
    <cfRule type="expression" dxfId="15309" priority="228" stopIfTrue="1">
      <formula>AQ107=CléPersonnalisée2</formula>
    </cfRule>
    <cfRule type="expression" dxfId="15308" priority="229" stopIfTrue="1">
      <formula>AQ107=CléPersonnalisée1</formula>
    </cfRule>
    <cfRule type="expression" dxfId="15307" priority="230" stopIfTrue="1">
      <formula>AQ107=CléMaladie</formula>
    </cfRule>
    <cfRule type="expression" dxfId="15306" priority="231" stopIfTrue="1">
      <formula>AQ107=CléPersonnelle</formula>
    </cfRule>
    <cfRule type="expression" dxfId="15305" priority="232" stopIfTrue="1">
      <formula>AQ107=CléCongés</formula>
    </cfRule>
  </conditionalFormatting>
  <conditionalFormatting sqref="C57:AG59">
    <cfRule type="expression" priority="220" stopIfTrue="1">
      <formula>C57=""</formula>
    </cfRule>
    <cfRule type="expression" dxfId="15304" priority="221" stopIfTrue="1">
      <formula>C57=CléPersonnalisée2</formula>
    </cfRule>
    <cfRule type="expression" dxfId="15303" priority="222" stopIfTrue="1">
      <formula>C57=CléPersonnalisée1</formula>
    </cfRule>
    <cfRule type="expression" dxfId="15302" priority="223" stopIfTrue="1">
      <formula>C57=CléMaladie</formula>
    </cfRule>
    <cfRule type="expression" dxfId="15301" priority="224" stopIfTrue="1">
      <formula>C57=CléPersonnelle</formula>
    </cfRule>
    <cfRule type="expression" dxfId="15300" priority="225" stopIfTrue="1">
      <formula>C57=CléCongés</formula>
    </cfRule>
  </conditionalFormatting>
  <conditionalFormatting sqref="AH59">
    <cfRule type="dataBar" priority="226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{3C674FFE-B262-4753-89F3-DF19115C016B}</x14:id>
        </ext>
      </extLst>
    </cfRule>
  </conditionalFormatting>
  <conditionalFormatting sqref="AI59:AL59 AJ57:AL58">
    <cfRule type="expression" priority="214" stopIfTrue="1">
      <formula>AI57=""</formula>
    </cfRule>
    <cfRule type="expression" dxfId="15299" priority="215" stopIfTrue="1">
      <formula>AI57=CléPersonnalisée2</formula>
    </cfRule>
    <cfRule type="expression" dxfId="15298" priority="216" stopIfTrue="1">
      <formula>AI57=CléPersonnalisée1</formula>
    </cfRule>
    <cfRule type="expression" dxfId="15297" priority="217" stopIfTrue="1">
      <formula>AI57=CléMaladie</formula>
    </cfRule>
    <cfRule type="expression" dxfId="15296" priority="218" stopIfTrue="1">
      <formula>AI57=CléPersonnelle</formula>
    </cfRule>
    <cfRule type="expression" dxfId="15295" priority="219" stopIfTrue="1">
      <formula>AI57=CléCongés</formula>
    </cfRule>
  </conditionalFormatting>
  <conditionalFormatting sqref="AM57:AP58">
    <cfRule type="expression" priority="208" stopIfTrue="1">
      <formula>AM57=""</formula>
    </cfRule>
    <cfRule type="expression" dxfId="15294" priority="209" stopIfTrue="1">
      <formula>AM57=CléPersonnalisée2</formula>
    </cfRule>
    <cfRule type="expression" dxfId="15293" priority="210" stopIfTrue="1">
      <formula>AM57=CléPersonnalisée1</formula>
    </cfRule>
    <cfRule type="expression" dxfId="15292" priority="211" stopIfTrue="1">
      <formula>AM57=CléMaladie</formula>
    </cfRule>
    <cfRule type="expression" dxfId="15291" priority="212" stopIfTrue="1">
      <formula>AM57=CléPersonnelle</formula>
    </cfRule>
    <cfRule type="expression" dxfId="15290" priority="213" stopIfTrue="1">
      <formula>AM57=CléCongés</formula>
    </cfRule>
  </conditionalFormatting>
  <conditionalFormatting sqref="AQ57:AR58">
    <cfRule type="expression" priority="202" stopIfTrue="1">
      <formula>AQ57=""</formula>
    </cfRule>
    <cfRule type="expression" dxfId="15289" priority="203" stopIfTrue="1">
      <formula>AQ57=CléPersonnalisée2</formula>
    </cfRule>
    <cfRule type="expression" dxfId="15288" priority="204" stopIfTrue="1">
      <formula>AQ57=CléPersonnalisée1</formula>
    </cfRule>
    <cfRule type="expression" dxfId="15287" priority="205" stopIfTrue="1">
      <formula>AQ57=CléMaladie</formula>
    </cfRule>
    <cfRule type="expression" dxfId="15286" priority="206" stopIfTrue="1">
      <formula>AQ57=CléPersonnelle</formula>
    </cfRule>
    <cfRule type="expression" dxfId="15285" priority="207" stopIfTrue="1">
      <formula>AQ57=CléCongés</formula>
    </cfRule>
  </conditionalFormatting>
  <conditionalFormatting sqref="AP59">
    <cfRule type="expression" priority="196" stopIfTrue="1">
      <formula>AP59=""</formula>
    </cfRule>
    <cfRule type="expression" dxfId="15284" priority="197" stopIfTrue="1">
      <formula>AP59=CléPersonnalisée2</formula>
    </cfRule>
    <cfRule type="expression" dxfId="15283" priority="198" stopIfTrue="1">
      <formula>AP59=CléPersonnalisée1</formula>
    </cfRule>
    <cfRule type="expression" dxfId="15282" priority="199" stopIfTrue="1">
      <formula>AP59=CléMaladie</formula>
    </cfRule>
    <cfRule type="expression" dxfId="15281" priority="200" stopIfTrue="1">
      <formula>AP59=CléPersonnelle</formula>
    </cfRule>
    <cfRule type="expression" dxfId="15280" priority="201" stopIfTrue="1">
      <formula>AP59=CléCongés</formula>
    </cfRule>
  </conditionalFormatting>
  <conditionalFormatting sqref="AH57:AH58">
    <cfRule type="dataBar" priority="195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{62816264-221D-4457-9E56-A1EBD3982C84}</x14:id>
        </ext>
      </extLst>
    </cfRule>
  </conditionalFormatting>
  <conditionalFormatting sqref="AO59">
    <cfRule type="expression" priority="189" stopIfTrue="1">
      <formula>AO59=""</formula>
    </cfRule>
    <cfRule type="expression" dxfId="15279" priority="190" stopIfTrue="1">
      <formula>AO59=CléPersonnalisée2</formula>
    </cfRule>
    <cfRule type="expression" dxfId="15278" priority="191" stopIfTrue="1">
      <formula>AO59=CléPersonnalisée1</formula>
    </cfRule>
    <cfRule type="expression" dxfId="15277" priority="192" stopIfTrue="1">
      <formula>AO59=CléMaladie</formula>
    </cfRule>
    <cfRule type="expression" dxfId="15276" priority="193" stopIfTrue="1">
      <formula>AO59=CléPersonnelle</formula>
    </cfRule>
    <cfRule type="expression" dxfId="15275" priority="194" stopIfTrue="1">
      <formula>AO59=CléCongés</formula>
    </cfRule>
  </conditionalFormatting>
  <conditionalFormatting sqref="AI57:AI58">
    <cfRule type="expression" priority="183" stopIfTrue="1">
      <formula>AI57=""</formula>
    </cfRule>
    <cfRule type="expression" dxfId="15274" priority="184" stopIfTrue="1">
      <formula>AI57=CléPersonnalisée2</formula>
    </cfRule>
    <cfRule type="expression" dxfId="15273" priority="185" stopIfTrue="1">
      <formula>AI57=CléPersonnalisée1</formula>
    </cfRule>
    <cfRule type="expression" dxfId="15272" priority="186" stopIfTrue="1">
      <formula>AI57=CléMaladie</formula>
    </cfRule>
    <cfRule type="expression" dxfId="15271" priority="187" stopIfTrue="1">
      <formula>AI57=CléPersonnelle</formula>
    </cfRule>
    <cfRule type="expression" dxfId="15270" priority="188" stopIfTrue="1">
      <formula>AI57=CléCongés</formula>
    </cfRule>
  </conditionalFormatting>
  <conditionalFormatting sqref="AN59">
    <cfRule type="expression" priority="177" stopIfTrue="1">
      <formula>AN59=""</formula>
    </cfRule>
    <cfRule type="expression" dxfId="15269" priority="178" stopIfTrue="1">
      <formula>AN59=CléPersonnalisée2</formula>
    </cfRule>
    <cfRule type="expression" dxfId="15268" priority="179" stopIfTrue="1">
      <formula>AN59=CléPersonnalisée1</formula>
    </cfRule>
    <cfRule type="expression" dxfId="15267" priority="180" stopIfTrue="1">
      <formula>AN59=CléMaladie</formula>
    </cfRule>
    <cfRule type="expression" dxfId="15266" priority="181" stopIfTrue="1">
      <formula>AN59=CléPersonnelle</formula>
    </cfRule>
    <cfRule type="expression" dxfId="15265" priority="182" stopIfTrue="1">
      <formula>AN59=CléCongés</formula>
    </cfRule>
  </conditionalFormatting>
  <conditionalFormatting sqref="AR59">
    <cfRule type="expression" priority="171" stopIfTrue="1">
      <formula>AR59=""</formula>
    </cfRule>
    <cfRule type="expression" dxfId="15264" priority="172" stopIfTrue="1">
      <formula>AR59=CléPersonnalisée2</formula>
    </cfRule>
    <cfRule type="expression" dxfId="15263" priority="173" stopIfTrue="1">
      <formula>AR59=CléPersonnalisée1</formula>
    </cfRule>
    <cfRule type="expression" dxfId="15262" priority="174" stopIfTrue="1">
      <formula>AR59=CléMaladie</formula>
    </cfRule>
    <cfRule type="expression" dxfId="15261" priority="175" stopIfTrue="1">
      <formula>AR59=CléPersonnelle</formula>
    </cfRule>
    <cfRule type="expression" dxfId="15260" priority="176" stopIfTrue="1">
      <formula>AR59=CléCongés</formula>
    </cfRule>
  </conditionalFormatting>
  <conditionalFormatting sqref="AQ59">
    <cfRule type="expression" priority="165" stopIfTrue="1">
      <formula>AQ59=""</formula>
    </cfRule>
    <cfRule type="expression" dxfId="15259" priority="166" stopIfTrue="1">
      <formula>AQ59=CléPersonnalisée2</formula>
    </cfRule>
    <cfRule type="expression" dxfId="15258" priority="167" stopIfTrue="1">
      <formula>AQ59=CléPersonnalisée1</formula>
    </cfRule>
    <cfRule type="expression" dxfId="15257" priority="168" stopIfTrue="1">
      <formula>AQ59=CléMaladie</formula>
    </cfRule>
    <cfRule type="expression" dxfId="15256" priority="169" stopIfTrue="1">
      <formula>AQ59=CléPersonnelle</formula>
    </cfRule>
    <cfRule type="expression" dxfId="15255" priority="170" stopIfTrue="1">
      <formula>AQ59=CléCongés</formula>
    </cfRule>
  </conditionalFormatting>
  <conditionalFormatting sqref="C77:AG79">
    <cfRule type="expression" priority="158" stopIfTrue="1">
      <formula>C77=""</formula>
    </cfRule>
    <cfRule type="expression" dxfId="15254" priority="159" stopIfTrue="1">
      <formula>C77=CléPersonnalisée2</formula>
    </cfRule>
    <cfRule type="expression" dxfId="15253" priority="160" stopIfTrue="1">
      <formula>C77=CléPersonnalisée1</formula>
    </cfRule>
    <cfRule type="expression" dxfId="15252" priority="161" stopIfTrue="1">
      <formula>C77=CléMaladie</formula>
    </cfRule>
    <cfRule type="expression" dxfId="15251" priority="162" stopIfTrue="1">
      <formula>C77=CléPersonnelle</formula>
    </cfRule>
    <cfRule type="expression" dxfId="15250" priority="163" stopIfTrue="1">
      <formula>C77=CléCongés</formula>
    </cfRule>
  </conditionalFormatting>
  <conditionalFormatting sqref="AH79">
    <cfRule type="dataBar" priority="164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{E7064E10-E6CC-44F8-BA8C-144424EB10F8}</x14:id>
        </ext>
      </extLst>
    </cfRule>
  </conditionalFormatting>
  <conditionalFormatting sqref="AI79:AL79 AJ77:AL78">
    <cfRule type="expression" priority="152" stopIfTrue="1">
      <formula>AI77=""</formula>
    </cfRule>
    <cfRule type="expression" dxfId="15249" priority="153" stopIfTrue="1">
      <formula>AI77=CléPersonnalisée2</formula>
    </cfRule>
    <cfRule type="expression" dxfId="15248" priority="154" stopIfTrue="1">
      <formula>AI77=CléPersonnalisée1</formula>
    </cfRule>
    <cfRule type="expression" dxfId="15247" priority="155" stopIfTrue="1">
      <formula>AI77=CléMaladie</formula>
    </cfRule>
    <cfRule type="expression" dxfId="15246" priority="156" stopIfTrue="1">
      <formula>AI77=CléPersonnelle</formula>
    </cfRule>
    <cfRule type="expression" dxfId="15245" priority="157" stopIfTrue="1">
      <formula>AI77=CléCongés</formula>
    </cfRule>
  </conditionalFormatting>
  <conditionalFormatting sqref="AM77:AP78">
    <cfRule type="expression" priority="146" stopIfTrue="1">
      <formula>AM77=""</formula>
    </cfRule>
    <cfRule type="expression" dxfId="15244" priority="147" stopIfTrue="1">
      <formula>AM77=CléPersonnalisée2</formula>
    </cfRule>
    <cfRule type="expression" dxfId="15243" priority="148" stopIfTrue="1">
      <formula>AM77=CléPersonnalisée1</formula>
    </cfRule>
    <cfRule type="expression" dxfId="15242" priority="149" stopIfTrue="1">
      <formula>AM77=CléMaladie</formula>
    </cfRule>
    <cfRule type="expression" dxfId="15241" priority="150" stopIfTrue="1">
      <formula>AM77=CléPersonnelle</formula>
    </cfRule>
    <cfRule type="expression" dxfId="15240" priority="151" stopIfTrue="1">
      <formula>AM77=CléCongés</formula>
    </cfRule>
  </conditionalFormatting>
  <conditionalFormatting sqref="AQ77:AR78">
    <cfRule type="expression" priority="140" stopIfTrue="1">
      <formula>AQ77=""</formula>
    </cfRule>
    <cfRule type="expression" dxfId="15239" priority="141" stopIfTrue="1">
      <formula>AQ77=CléPersonnalisée2</formula>
    </cfRule>
    <cfRule type="expression" dxfId="15238" priority="142" stopIfTrue="1">
      <formula>AQ77=CléPersonnalisée1</formula>
    </cfRule>
    <cfRule type="expression" dxfId="15237" priority="143" stopIfTrue="1">
      <formula>AQ77=CléMaladie</formula>
    </cfRule>
    <cfRule type="expression" dxfId="15236" priority="144" stopIfTrue="1">
      <formula>AQ77=CléPersonnelle</formula>
    </cfRule>
    <cfRule type="expression" dxfId="15235" priority="145" stopIfTrue="1">
      <formula>AQ77=CléCongés</formula>
    </cfRule>
  </conditionalFormatting>
  <conditionalFormatting sqref="AM79 AP79">
    <cfRule type="expression" priority="134" stopIfTrue="1">
      <formula>AM79=""</formula>
    </cfRule>
    <cfRule type="expression" dxfId="15234" priority="135" stopIfTrue="1">
      <formula>AM79=CléPersonnalisée2</formula>
    </cfRule>
    <cfRule type="expression" dxfId="15233" priority="136" stopIfTrue="1">
      <formula>AM79=CléPersonnalisée1</formula>
    </cfRule>
    <cfRule type="expression" dxfId="15232" priority="137" stopIfTrue="1">
      <formula>AM79=CléMaladie</formula>
    </cfRule>
    <cfRule type="expression" dxfId="15231" priority="138" stopIfTrue="1">
      <formula>AM79=CléPersonnelle</formula>
    </cfRule>
    <cfRule type="expression" dxfId="15230" priority="139" stopIfTrue="1">
      <formula>AM79=CléCongés</formula>
    </cfRule>
  </conditionalFormatting>
  <conditionalFormatting sqref="AH77:AH78">
    <cfRule type="dataBar" priority="133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{A593E630-39C9-4972-B9CA-B592D45C447A}</x14:id>
        </ext>
      </extLst>
    </cfRule>
  </conditionalFormatting>
  <conditionalFormatting sqref="AI77:AI78">
    <cfRule type="expression" priority="127" stopIfTrue="1">
      <formula>AI77=""</formula>
    </cfRule>
    <cfRule type="expression" dxfId="15229" priority="128" stopIfTrue="1">
      <formula>AI77=CléPersonnalisée2</formula>
    </cfRule>
    <cfRule type="expression" dxfId="15228" priority="129" stopIfTrue="1">
      <formula>AI77=CléPersonnalisée1</formula>
    </cfRule>
    <cfRule type="expression" dxfId="15227" priority="130" stopIfTrue="1">
      <formula>AI77=CléMaladie</formula>
    </cfRule>
    <cfRule type="expression" dxfId="15226" priority="131" stopIfTrue="1">
      <formula>AI77=CléPersonnelle</formula>
    </cfRule>
    <cfRule type="expression" dxfId="15225" priority="132" stopIfTrue="1">
      <formula>AI77=CléCongés</formula>
    </cfRule>
  </conditionalFormatting>
  <conditionalFormatting sqref="AR79">
    <cfRule type="expression" priority="121" stopIfTrue="1">
      <formula>AR79=""</formula>
    </cfRule>
    <cfRule type="expression" dxfId="15224" priority="122" stopIfTrue="1">
      <formula>AR79=CléPersonnalisée2</formula>
    </cfRule>
    <cfRule type="expression" dxfId="15223" priority="123" stopIfTrue="1">
      <formula>AR79=CléPersonnalisée1</formula>
    </cfRule>
    <cfRule type="expression" dxfId="15222" priority="124" stopIfTrue="1">
      <formula>AR79=CléMaladie</formula>
    </cfRule>
    <cfRule type="expression" dxfId="15221" priority="125" stopIfTrue="1">
      <formula>AR79=CléPersonnelle</formula>
    </cfRule>
    <cfRule type="expression" dxfId="15220" priority="126" stopIfTrue="1">
      <formula>AR79=CléCongés</formula>
    </cfRule>
  </conditionalFormatting>
  <conditionalFormatting sqref="AN79">
    <cfRule type="expression" priority="115" stopIfTrue="1">
      <formula>AN79=""</formula>
    </cfRule>
    <cfRule type="expression" dxfId="15219" priority="116" stopIfTrue="1">
      <formula>AN79=CléPersonnalisée2</formula>
    </cfRule>
    <cfRule type="expression" dxfId="15218" priority="117" stopIfTrue="1">
      <formula>AN79=CléPersonnalisée1</formula>
    </cfRule>
    <cfRule type="expression" dxfId="15217" priority="118" stopIfTrue="1">
      <formula>AN79=CléMaladie</formula>
    </cfRule>
    <cfRule type="expression" dxfId="15216" priority="119" stopIfTrue="1">
      <formula>AN79=CléPersonnelle</formula>
    </cfRule>
    <cfRule type="expression" dxfId="15215" priority="120" stopIfTrue="1">
      <formula>AN79=CléCongés</formula>
    </cfRule>
  </conditionalFormatting>
  <conditionalFormatting sqref="AQ79">
    <cfRule type="expression" priority="109" stopIfTrue="1">
      <formula>AQ79=""</formula>
    </cfRule>
    <cfRule type="expression" dxfId="15214" priority="110" stopIfTrue="1">
      <formula>AQ79=CléPersonnalisée2</formula>
    </cfRule>
    <cfRule type="expression" dxfId="15213" priority="111" stopIfTrue="1">
      <formula>AQ79=CléPersonnalisée1</formula>
    </cfRule>
    <cfRule type="expression" dxfId="15212" priority="112" stopIfTrue="1">
      <formula>AQ79=CléMaladie</formula>
    </cfRule>
    <cfRule type="expression" dxfId="15211" priority="113" stopIfTrue="1">
      <formula>AQ79=CléPersonnelle</formula>
    </cfRule>
    <cfRule type="expression" dxfId="15210" priority="114" stopIfTrue="1">
      <formula>AQ79=CléCongés</formula>
    </cfRule>
  </conditionalFormatting>
  <conditionalFormatting sqref="AO79">
    <cfRule type="expression" priority="103" stopIfTrue="1">
      <formula>AO79=""</formula>
    </cfRule>
    <cfRule type="expression" dxfId="15209" priority="104" stopIfTrue="1">
      <formula>AO79=CléPersonnalisée2</formula>
    </cfRule>
    <cfRule type="expression" dxfId="15208" priority="105" stopIfTrue="1">
      <formula>AO79=CléPersonnalisée1</formula>
    </cfRule>
    <cfRule type="expression" dxfId="15207" priority="106" stopIfTrue="1">
      <formula>AO79=CléMaladie</formula>
    </cfRule>
    <cfRule type="expression" dxfId="15206" priority="107" stopIfTrue="1">
      <formula>AO79=CléPersonnelle</formula>
    </cfRule>
    <cfRule type="expression" dxfId="15205" priority="108" stopIfTrue="1">
      <formula>AO79=CléCongés</formula>
    </cfRule>
  </conditionalFormatting>
  <conditionalFormatting sqref="AM95">
    <cfRule type="expression" priority="97" stopIfTrue="1">
      <formula>AM95=""</formula>
    </cfRule>
    <cfRule type="expression" dxfId="15204" priority="98" stopIfTrue="1">
      <formula>AM95=CléPersonnalisée2</formula>
    </cfRule>
    <cfRule type="expression" dxfId="15203" priority="99" stopIfTrue="1">
      <formula>AM95=CléPersonnalisée1</formula>
    </cfRule>
    <cfRule type="expression" dxfId="15202" priority="100" stopIfTrue="1">
      <formula>AM95=CléMaladie</formula>
    </cfRule>
    <cfRule type="expression" dxfId="15201" priority="101" stopIfTrue="1">
      <formula>AM95=CléPersonnelle</formula>
    </cfRule>
    <cfRule type="expression" dxfId="15200" priority="102" stopIfTrue="1">
      <formula>AM95=CléCongés</formula>
    </cfRule>
  </conditionalFormatting>
  <conditionalFormatting sqref="AM99">
    <cfRule type="expression" priority="91" stopIfTrue="1">
      <formula>AM99=""</formula>
    </cfRule>
    <cfRule type="expression" dxfId="15199" priority="92" stopIfTrue="1">
      <formula>AM99=CléPersonnalisée2</formula>
    </cfRule>
    <cfRule type="expression" dxfId="15198" priority="93" stopIfTrue="1">
      <formula>AM99=CléPersonnalisée1</formula>
    </cfRule>
    <cfRule type="expression" dxfId="15197" priority="94" stopIfTrue="1">
      <formula>AM99=CléMaladie</formula>
    </cfRule>
    <cfRule type="expression" dxfId="15196" priority="95" stopIfTrue="1">
      <formula>AM99=CléPersonnelle</formula>
    </cfRule>
    <cfRule type="expression" dxfId="15195" priority="96" stopIfTrue="1">
      <formula>AM99=CléCongés</formula>
    </cfRule>
  </conditionalFormatting>
  <conditionalFormatting sqref="AM103">
    <cfRule type="expression" priority="85" stopIfTrue="1">
      <formula>AM103=""</formula>
    </cfRule>
    <cfRule type="expression" dxfId="15194" priority="86" stopIfTrue="1">
      <formula>AM103=CléPersonnalisée2</formula>
    </cfRule>
    <cfRule type="expression" dxfId="15193" priority="87" stopIfTrue="1">
      <formula>AM103=CléPersonnalisée1</formula>
    </cfRule>
    <cfRule type="expression" dxfId="15192" priority="88" stopIfTrue="1">
      <formula>AM103=CléMaladie</formula>
    </cfRule>
    <cfRule type="expression" dxfId="15191" priority="89" stopIfTrue="1">
      <formula>AM103=CléPersonnelle</formula>
    </cfRule>
    <cfRule type="expression" dxfId="15190" priority="90" stopIfTrue="1">
      <formula>AM103=CléCongés</formula>
    </cfRule>
  </conditionalFormatting>
  <conditionalFormatting sqref="AM107">
    <cfRule type="expression" priority="79" stopIfTrue="1">
      <formula>AM107=""</formula>
    </cfRule>
    <cfRule type="expression" dxfId="15189" priority="80" stopIfTrue="1">
      <formula>AM107=CléPersonnalisée2</formula>
    </cfRule>
    <cfRule type="expression" dxfId="15188" priority="81" stopIfTrue="1">
      <formula>AM107=CléPersonnalisée1</formula>
    </cfRule>
    <cfRule type="expression" dxfId="15187" priority="82" stopIfTrue="1">
      <formula>AM107=CléMaladie</formula>
    </cfRule>
    <cfRule type="expression" dxfId="15186" priority="83" stopIfTrue="1">
      <formula>AM107=CléPersonnelle</formula>
    </cfRule>
    <cfRule type="expression" dxfId="15185" priority="84" stopIfTrue="1">
      <formula>AM107=CléCongés</formula>
    </cfRule>
  </conditionalFormatting>
  <conditionalFormatting sqref="AM111">
    <cfRule type="expression" priority="73" stopIfTrue="1">
      <formula>AM111=""</formula>
    </cfRule>
    <cfRule type="expression" dxfId="15184" priority="74" stopIfTrue="1">
      <formula>AM111=CléPersonnalisée2</formula>
    </cfRule>
    <cfRule type="expression" dxfId="15183" priority="75" stopIfTrue="1">
      <formula>AM111=CléPersonnalisée1</formula>
    </cfRule>
    <cfRule type="expression" dxfId="15182" priority="76" stopIfTrue="1">
      <formula>AM111=CléMaladie</formula>
    </cfRule>
    <cfRule type="expression" dxfId="15181" priority="77" stopIfTrue="1">
      <formula>AM111=CléPersonnelle</formula>
    </cfRule>
    <cfRule type="expression" dxfId="15180" priority="78" stopIfTrue="1">
      <formula>AM111=CléCongés</formula>
    </cfRule>
  </conditionalFormatting>
  <conditionalFormatting sqref="AM115">
    <cfRule type="expression" priority="67" stopIfTrue="1">
      <formula>AM115=""</formula>
    </cfRule>
    <cfRule type="expression" dxfId="15179" priority="68" stopIfTrue="1">
      <formula>AM115=CléPersonnalisée2</formula>
    </cfRule>
    <cfRule type="expression" dxfId="15178" priority="69" stopIfTrue="1">
      <formula>AM115=CléPersonnalisée1</formula>
    </cfRule>
    <cfRule type="expression" dxfId="15177" priority="70" stopIfTrue="1">
      <formula>AM115=CléMaladie</formula>
    </cfRule>
    <cfRule type="expression" dxfId="15176" priority="71" stopIfTrue="1">
      <formula>AM115=CléPersonnelle</formula>
    </cfRule>
    <cfRule type="expression" dxfId="15175" priority="72" stopIfTrue="1">
      <formula>AM115=CléCongés</formula>
    </cfRule>
  </conditionalFormatting>
  <conditionalFormatting sqref="AM119">
    <cfRule type="expression" priority="61" stopIfTrue="1">
      <formula>AM119=""</formula>
    </cfRule>
    <cfRule type="expression" dxfId="15174" priority="62" stopIfTrue="1">
      <formula>AM119=CléPersonnalisée2</formula>
    </cfRule>
    <cfRule type="expression" dxfId="15173" priority="63" stopIfTrue="1">
      <formula>AM119=CléPersonnalisée1</formula>
    </cfRule>
    <cfRule type="expression" dxfId="15172" priority="64" stopIfTrue="1">
      <formula>AM119=CléMaladie</formula>
    </cfRule>
    <cfRule type="expression" dxfId="15171" priority="65" stopIfTrue="1">
      <formula>AM119=CléPersonnelle</formula>
    </cfRule>
    <cfRule type="expression" dxfId="15170" priority="66" stopIfTrue="1">
      <formula>AM119=CléCongés</formula>
    </cfRule>
  </conditionalFormatting>
  <conditionalFormatting sqref="AM123">
    <cfRule type="expression" priority="55" stopIfTrue="1">
      <formula>AM123=""</formula>
    </cfRule>
    <cfRule type="expression" dxfId="15169" priority="56" stopIfTrue="1">
      <formula>AM123=CléPersonnalisée2</formula>
    </cfRule>
    <cfRule type="expression" dxfId="15168" priority="57" stopIfTrue="1">
      <formula>AM123=CléPersonnalisée1</formula>
    </cfRule>
    <cfRule type="expression" dxfId="15167" priority="58" stopIfTrue="1">
      <formula>AM123=CléMaladie</formula>
    </cfRule>
    <cfRule type="expression" dxfId="15166" priority="59" stopIfTrue="1">
      <formula>AM123=CléPersonnelle</formula>
    </cfRule>
    <cfRule type="expression" dxfId="15165" priority="60" stopIfTrue="1">
      <formula>AM123=CléCongés</formula>
    </cfRule>
  </conditionalFormatting>
  <conditionalFormatting sqref="AM59">
    <cfRule type="expression" priority="49" stopIfTrue="1">
      <formula>AM59=""</formula>
    </cfRule>
    <cfRule type="expression" dxfId="15164" priority="50" stopIfTrue="1">
      <formula>AM59=CléPersonnalisée2</formula>
    </cfRule>
    <cfRule type="expression" dxfId="15163" priority="51" stopIfTrue="1">
      <formula>AM59=CléPersonnalisée1</formula>
    </cfRule>
    <cfRule type="expression" dxfId="15162" priority="52" stopIfTrue="1">
      <formula>AM59=CléMaladie</formula>
    </cfRule>
    <cfRule type="expression" dxfId="15161" priority="53" stopIfTrue="1">
      <formula>AM59=CléPersonnelle</formula>
    </cfRule>
    <cfRule type="expression" dxfId="15160" priority="54" stopIfTrue="1">
      <formula>AM59=CléCongés</formula>
    </cfRule>
  </conditionalFormatting>
  <conditionalFormatting sqref="L51">
    <cfRule type="expression" priority="43" stopIfTrue="1">
      <formula>L51=""</formula>
    </cfRule>
    <cfRule type="expression" dxfId="15159" priority="44" stopIfTrue="1">
      <formula>L51=CléPersonnalisée2</formula>
    </cfRule>
    <cfRule type="expression" dxfId="15158" priority="45" stopIfTrue="1">
      <formula>L51=CléPersonnalisée1</formula>
    </cfRule>
    <cfRule type="expression" dxfId="15157" priority="46" stopIfTrue="1">
      <formula>L51=CléMaladie</formula>
    </cfRule>
    <cfRule type="expression" dxfId="15156" priority="47" stopIfTrue="1">
      <formula>L51=CléPersonnelle</formula>
    </cfRule>
    <cfRule type="expression" dxfId="15155" priority="48" stopIfTrue="1">
      <formula>L51=CléCongés</formula>
    </cfRule>
  </conditionalFormatting>
  <conditionalFormatting sqref="AM97:AP98">
    <cfRule type="expression" priority="37" stopIfTrue="1">
      <formula>AM97=""</formula>
    </cfRule>
    <cfRule type="expression" dxfId="15154" priority="38" stopIfTrue="1">
      <formula>AM97=CléPersonnalisée2</formula>
    </cfRule>
    <cfRule type="expression" dxfId="15153" priority="39" stopIfTrue="1">
      <formula>AM97=CléPersonnalisée1</formula>
    </cfRule>
    <cfRule type="expression" dxfId="15152" priority="40" stopIfTrue="1">
      <formula>AM97=CléMaladie</formula>
    </cfRule>
    <cfRule type="expression" dxfId="15151" priority="41" stopIfTrue="1">
      <formula>AM97=CléPersonnelle</formula>
    </cfRule>
    <cfRule type="expression" dxfId="15150" priority="42" stopIfTrue="1">
      <formula>AM97=CléCongés</formula>
    </cfRule>
  </conditionalFormatting>
  <conditionalFormatting sqref="AQ97:AR98">
    <cfRule type="expression" priority="31" stopIfTrue="1">
      <formula>AQ97=""</formula>
    </cfRule>
    <cfRule type="expression" dxfId="15149" priority="32" stopIfTrue="1">
      <formula>AQ97=CléPersonnalisée2</formula>
    </cfRule>
    <cfRule type="expression" dxfId="15148" priority="33" stopIfTrue="1">
      <formula>AQ97=CléPersonnalisée1</formula>
    </cfRule>
    <cfRule type="expression" dxfId="15147" priority="34" stopIfTrue="1">
      <formula>AQ97=CléMaladie</formula>
    </cfRule>
    <cfRule type="expression" dxfId="15146" priority="35" stopIfTrue="1">
      <formula>AQ97=CléPersonnelle</formula>
    </cfRule>
    <cfRule type="expression" dxfId="15145" priority="36" stopIfTrue="1">
      <formula>AQ97=CléCongés</formula>
    </cfRule>
  </conditionalFormatting>
  <conditionalFormatting sqref="AM101:AP102">
    <cfRule type="expression" priority="25" stopIfTrue="1">
      <formula>AM101=""</formula>
    </cfRule>
    <cfRule type="expression" dxfId="15144" priority="26" stopIfTrue="1">
      <formula>AM101=CléPersonnalisée2</formula>
    </cfRule>
    <cfRule type="expression" dxfId="15143" priority="27" stopIfTrue="1">
      <formula>AM101=CléPersonnalisée1</formula>
    </cfRule>
    <cfRule type="expression" dxfId="15142" priority="28" stopIfTrue="1">
      <formula>AM101=CléMaladie</formula>
    </cfRule>
    <cfRule type="expression" dxfId="15141" priority="29" stopIfTrue="1">
      <formula>AM101=CléPersonnelle</formula>
    </cfRule>
    <cfRule type="expression" dxfId="15140" priority="30" stopIfTrue="1">
      <formula>AM101=CléCongés</formula>
    </cfRule>
  </conditionalFormatting>
  <conditionalFormatting sqref="AQ101:AR102">
    <cfRule type="expression" priority="19" stopIfTrue="1">
      <formula>AQ101=""</formula>
    </cfRule>
    <cfRule type="expression" dxfId="15139" priority="20" stopIfTrue="1">
      <formula>AQ101=CléPersonnalisée2</formula>
    </cfRule>
    <cfRule type="expression" dxfId="15138" priority="21" stopIfTrue="1">
      <formula>AQ101=CléPersonnalisée1</formula>
    </cfRule>
    <cfRule type="expression" dxfId="15137" priority="22" stopIfTrue="1">
      <formula>AQ101=CléMaladie</formula>
    </cfRule>
    <cfRule type="expression" dxfId="15136" priority="23" stopIfTrue="1">
      <formula>AQ101=CléPersonnelle</formula>
    </cfRule>
    <cfRule type="expression" dxfId="15135" priority="24" stopIfTrue="1">
      <formula>AQ101=CléCongés</formula>
    </cfRule>
  </conditionalFormatting>
  <conditionalFormatting sqref="AS13 AS17 AS21 AS25 AS29 AS33 AS37 AS41 AS45 AS49 AS53 AS57 AS61 AS65 AS69 AS73 AS77 AS81 AS85 AS89 AS93 AS97 AS101 AS105 AS109 AS113 AS117 AS121">
    <cfRule type="expression" priority="13" stopIfTrue="1">
      <formula>AS13=""</formula>
    </cfRule>
    <cfRule type="expression" dxfId="159" priority="14" stopIfTrue="1">
      <formula>AS13=CléPersonnalisée2</formula>
    </cfRule>
    <cfRule type="expression" dxfId="158" priority="15" stopIfTrue="1">
      <formula>AS13=CléPersonnalisée1</formula>
    </cfRule>
    <cfRule type="expression" dxfId="157" priority="16" stopIfTrue="1">
      <formula>AS13=CléMaladie</formula>
    </cfRule>
    <cfRule type="expression" dxfId="156" priority="17" stopIfTrue="1">
      <formula>AS13=CléPersonnelle</formula>
    </cfRule>
    <cfRule type="expression" dxfId="155" priority="18" stopIfTrue="1">
      <formula>AS13=CléCongés</formula>
    </cfRule>
  </conditionalFormatting>
  <conditionalFormatting sqref="AS9">
    <cfRule type="expression" priority="7" stopIfTrue="1">
      <formula>AS9=""</formula>
    </cfRule>
    <cfRule type="expression" dxfId="154" priority="8" stopIfTrue="1">
      <formula>AS9=CléPersonnalisée2</formula>
    </cfRule>
    <cfRule type="expression" dxfId="153" priority="9" stopIfTrue="1">
      <formula>AS9=CléPersonnalisée1</formula>
    </cfRule>
    <cfRule type="expression" dxfId="152" priority="10" stopIfTrue="1">
      <formula>AS9=CléMaladie</formula>
    </cfRule>
    <cfRule type="expression" dxfId="151" priority="11" stopIfTrue="1">
      <formula>AS9=CléPersonnelle</formula>
    </cfRule>
    <cfRule type="expression" dxfId="150" priority="12" stopIfTrue="1">
      <formula>AS9=CléCongés</formula>
    </cfRule>
  </conditionalFormatting>
  <conditionalFormatting sqref="AS5">
    <cfRule type="expression" priority="1" stopIfTrue="1">
      <formula>AS5=""</formula>
    </cfRule>
    <cfRule type="expression" dxfId="149" priority="2" stopIfTrue="1">
      <formula>AS5=CléPersonnalisée2</formula>
    </cfRule>
    <cfRule type="expression" dxfId="148" priority="3" stopIfTrue="1">
      <formula>AS5=CléPersonnalisée1</formula>
    </cfRule>
    <cfRule type="expression" dxfId="147" priority="4" stopIfTrue="1">
      <formula>AS5=CléMaladie</formula>
    </cfRule>
    <cfRule type="expression" dxfId="146" priority="5" stopIfTrue="1">
      <formula>AS5=CléPersonnelle</formula>
    </cfRule>
    <cfRule type="expression" dxfId="145" priority="6" stopIfTrue="1">
      <formula>AS5=CléCongés</formula>
    </cfRule>
  </conditionalFormatting>
  <printOptions horizontalCentered="1"/>
  <pageMargins left="0.25" right="0.25" top="0.75" bottom="0.75" header="0.3" footer="0.3"/>
  <pageSetup scale="56" fitToHeight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5F98DCB-B4F4-4205-B4E1-C53093753B25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AH9:AH11 AH5:AH6</xm:sqref>
        </x14:conditionalFormatting>
        <x14:conditionalFormatting xmlns:xm="http://schemas.microsoft.com/office/excel/2006/main">
          <x14:cfRule type="dataBar" id="{44BF79F0-D9F6-4F69-8CE7-AE5D954FAFA0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AH27</xm:sqref>
        </x14:conditionalFormatting>
        <x14:conditionalFormatting xmlns:xm="http://schemas.microsoft.com/office/excel/2006/main">
          <x14:cfRule type="dataBar" id="{355775AE-701E-43F9-B47F-229FB98705F5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AH31</xm:sqref>
        </x14:conditionalFormatting>
        <x14:conditionalFormatting xmlns:xm="http://schemas.microsoft.com/office/excel/2006/main">
          <x14:cfRule type="dataBar" id="{33F1BE06-6422-4FDE-B917-393F42684C93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AH35</xm:sqref>
        </x14:conditionalFormatting>
        <x14:conditionalFormatting xmlns:xm="http://schemas.microsoft.com/office/excel/2006/main">
          <x14:cfRule type="dataBar" id="{131DD3F0-EFF7-4F0D-B7C7-892D58C27C01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AH39</xm:sqref>
        </x14:conditionalFormatting>
        <x14:conditionalFormatting xmlns:xm="http://schemas.microsoft.com/office/excel/2006/main">
          <x14:cfRule type="dataBar" id="{BC3B4ACF-4B47-4190-B3E8-EB62001DA730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AH43</xm:sqref>
        </x14:conditionalFormatting>
        <x14:conditionalFormatting xmlns:xm="http://schemas.microsoft.com/office/excel/2006/main">
          <x14:cfRule type="dataBar" id="{51A43FFB-A367-42D7-BDE7-2B5DBD6377B0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AH47</xm:sqref>
        </x14:conditionalFormatting>
        <x14:conditionalFormatting xmlns:xm="http://schemas.microsoft.com/office/excel/2006/main">
          <x14:cfRule type="dataBar" id="{F5CD9496-E156-4BEA-9059-44A3247D4D78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AH51</xm:sqref>
        </x14:conditionalFormatting>
        <x14:conditionalFormatting xmlns:xm="http://schemas.microsoft.com/office/excel/2006/main">
          <x14:cfRule type="dataBar" id="{BA057425-7CA6-4878-BC0C-B89EF4337FC2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AH55</xm:sqref>
        </x14:conditionalFormatting>
        <x14:conditionalFormatting xmlns:xm="http://schemas.microsoft.com/office/excel/2006/main">
          <x14:cfRule type="dataBar" id="{742AFD0D-70A1-414B-BB74-DC14DC7870FB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AH63</xm:sqref>
        </x14:conditionalFormatting>
        <x14:conditionalFormatting xmlns:xm="http://schemas.microsoft.com/office/excel/2006/main">
          <x14:cfRule type="dataBar" id="{9A7F23F1-7456-46E2-8092-E366AC965DE9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AH71</xm:sqref>
        </x14:conditionalFormatting>
        <x14:conditionalFormatting xmlns:xm="http://schemas.microsoft.com/office/excel/2006/main">
          <x14:cfRule type="dataBar" id="{E99B7124-0E0C-4575-95A6-4EB02A68422D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AH19</xm:sqref>
        </x14:conditionalFormatting>
        <x14:conditionalFormatting xmlns:xm="http://schemas.microsoft.com/office/excel/2006/main">
          <x14:cfRule type="dataBar" id="{557FA23C-0F78-480C-8414-7D70178D9F3F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AH23</xm:sqref>
        </x14:conditionalFormatting>
        <x14:conditionalFormatting xmlns:xm="http://schemas.microsoft.com/office/excel/2006/main">
          <x14:cfRule type="dataBar" id="{9A5EC948-5276-497C-BE58-435F5E18493C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AH17:AH18</xm:sqref>
        </x14:conditionalFormatting>
        <x14:conditionalFormatting xmlns:xm="http://schemas.microsoft.com/office/excel/2006/main">
          <x14:cfRule type="dataBar" id="{FE3CD9B9-0A50-4892-9202-33158D9B9183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AH21:AH22</xm:sqref>
        </x14:conditionalFormatting>
        <x14:conditionalFormatting xmlns:xm="http://schemas.microsoft.com/office/excel/2006/main">
          <x14:cfRule type="dataBar" id="{87594533-BFA7-4F92-8682-32DAFA61E3B7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AH25:AH26</xm:sqref>
        </x14:conditionalFormatting>
        <x14:conditionalFormatting xmlns:xm="http://schemas.microsoft.com/office/excel/2006/main">
          <x14:cfRule type="dataBar" id="{C9F7FA33-79F5-4A92-A523-0A6C6A41711B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AH29:AH30</xm:sqref>
        </x14:conditionalFormatting>
        <x14:conditionalFormatting xmlns:xm="http://schemas.microsoft.com/office/excel/2006/main">
          <x14:cfRule type="dataBar" id="{43D708C4-4B5A-4AA7-A4FB-AD99E0C1A8F6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AH33:AH34</xm:sqref>
        </x14:conditionalFormatting>
        <x14:conditionalFormatting xmlns:xm="http://schemas.microsoft.com/office/excel/2006/main">
          <x14:cfRule type="dataBar" id="{0A58943F-E9B0-4D8A-A1E0-B07FCEA7885C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AH37:AH38</xm:sqref>
        </x14:conditionalFormatting>
        <x14:conditionalFormatting xmlns:xm="http://schemas.microsoft.com/office/excel/2006/main">
          <x14:cfRule type="dataBar" id="{A97C7ED7-99F8-47B7-A10A-E9AB5E07B0FC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AH41:AH42</xm:sqref>
        </x14:conditionalFormatting>
        <x14:conditionalFormatting xmlns:xm="http://schemas.microsoft.com/office/excel/2006/main">
          <x14:cfRule type="dataBar" id="{1E2263BB-2EFC-44F9-ADC6-CA9A71C07750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AH45:AH46</xm:sqref>
        </x14:conditionalFormatting>
        <x14:conditionalFormatting xmlns:xm="http://schemas.microsoft.com/office/excel/2006/main">
          <x14:cfRule type="dataBar" id="{606CFBB9-DC5E-4379-B644-DFA031385D65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AH49:AH50</xm:sqref>
        </x14:conditionalFormatting>
        <x14:conditionalFormatting xmlns:xm="http://schemas.microsoft.com/office/excel/2006/main">
          <x14:cfRule type="dataBar" id="{720D3F78-DCBA-4162-B9D5-6A31157553AA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AH53:AH54</xm:sqref>
        </x14:conditionalFormatting>
        <x14:conditionalFormatting xmlns:xm="http://schemas.microsoft.com/office/excel/2006/main">
          <x14:cfRule type="dataBar" id="{C913EC92-E1E1-4020-B688-4707525582B8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AH61:AH62</xm:sqref>
        </x14:conditionalFormatting>
        <x14:conditionalFormatting xmlns:xm="http://schemas.microsoft.com/office/excel/2006/main">
          <x14:cfRule type="dataBar" id="{526ABD54-7FE3-4DC1-8F0F-5C23B7CF88B4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AH69:AH70</xm:sqref>
        </x14:conditionalFormatting>
        <x14:conditionalFormatting xmlns:xm="http://schemas.microsoft.com/office/excel/2006/main">
          <x14:cfRule type="dataBar" id="{E7E84E6F-DED1-477C-8D8E-CEE0A8670870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AH7</xm:sqref>
        </x14:conditionalFormatting>
        <x14:conditionalFormatting xmlns:xm="http://schemas.microsoft.com/office/excel/2006/main">
          <x14:cfRule type="dataBar" id="{6CB11564-49D4-45EB-99BF-101C4C7DEB30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AH67</xm:sqref>
        </x14:conditionalFormatting>
        <x14:conditionalFormatting xmlns:xm="http://schemas.microsoft.com/office/excel/2006/main">
          <x14:cfRule type="dataBar" id="{AFA4BA73-88EC-4BD4-983E-0C9FAA0FF60C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AH65:AH66</xm:sqref>
        </x14:conditionalFormatting>
        <x14:conditionalFormatting xmlns:xm="http://schemas.microsoft.com/office/excel/2006/main">
          <x14:cfRule type="dataBar" id="{73D4C8A6-C855-4CEB-B0D9-5A7B5610FBC8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AH75</xm:sqref>
        </x14:conditionalFormatting>
        <x14:conditionalFormatting xmlns:xm="http://schemas.microsoft.com/office/excel/2006/main">
          <x14:cfRule type="dataBar" id="{A25ABB0C-B6EA-4383-AD4D-C3A56A75BF70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AH73:AH74</xm:sqref>
        </x14:conditionalFormatting>
        <x14:conditionalFormatting xmlns:xm="http://schemas.microsoft.com/office/excel/2006/main">
          <x14:cfRule type="dataBar" id="{0FAF21A2-0E62-45AA-B76C-C1A8EE9AF8D1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AH83</xm:sqref>
        </x14:conditionalFormatting>
        <x14:conditionalFormatting xmlns:xm="http://schemas.microsoft.com/office/excel/2006/main">
          <x14:cfRule type="dataBar" id="{BC6ED1D4-0F02-46CE-9669-A09654FCA07C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AH81:AH82</xm:sqref>
        </x14:conditionalFormatting>
        <x14:conditionalFormatting xmlns:xm="http://schemas.microsoft.com/office/excel/2006/main">
          <x14:cfRule type="dataBar" id="{BC0AC5B3-E74B-4F79-81FA-A3723CDE9601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AH87</xm:sqref>
        </x14:conditionalFormatting>
        <x14:conditionalFormatting xmlns:xm="http://schemas.microsoft.com/office/excel/2006/main">
          <x14:cfRule type="dataBar" id="{21AEA01F-CF40-4935-A2BD-09D3B468C6F1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AH85:AH86</xm:sqref>
        </x14:conditionalFormatting>
        <x14:conditionalFormatting xmlns:xm="http://schemas.microsoft.com/office/excel/2006/main">
          <x14:cfRule type="dataBar" id="{F4B35278-FB98-4158-A4CB-FAA39B6DB067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AH91</xm:sqref>
        </x14:conditionalFormatting>
        <x14:conditionalFormatting xmlns:xm="http://schemas.microsoft.com/office/excel/2006/main">
          <x14:cfRule type="dataBar" id="{A375BBE2-AB3B-40D6-A12E-22397195DA8F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AH89:AH90</xm:sqref>
        </x14:conditionalFormatting>
        <x14:conditionalFormatting xmlns:xm="http://schemas.microsoft.com/office/excel/2006/main">
          <x14:cfRule type="dataBar" id="{8DFEE418-AF58-417B-AC16-6C0C4A878CD9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AH101:AH103 AH95 AH97:AH99</xm:sqref>
        </x14:conditionalFormatting>
        <x14:conditionalFormatting xmlns:xm="http://schemas.microsoft.com/office/excel/2006/main">
          <x14:cfRule type="dataBar" id="{459DD40F-F0F8-42DC-B0FA-430577F35584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AH93:AH94</xm:sqref>
        </x14:conditionalFormatting>
        <x14:conditionalFormatting xmlns:xm="http://schemas.microsoft.com/office/excel/2006/main">
          <x14:cfRule type="dataBar" id="{FB3D9FA7-40EF-4318-B07D-686C4BAF0B8D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AH111</xm:sqref>
        </x14:conditionalFormatting>
        <x14:conditionalFormatting xmlns:xm="http://schemas.microsoft.com/office/excel/2006/main">
          <x14:cfRule type="dataBar" id="{7745826E-493C-4AAB-A712-2056F35DF757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AH109:AH110</xm:sqref>
        </x14:conditionalFormatting>
        <x14:conditionalFormatting xmlns:xm="http://schemas.microsoft.com/office/excel/2006/main">
          <x14:cfRule type="dataBar" id="{081F88C5-547F-4F69-A55A-970186326E3A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AH123</xm:sqref>
        </x14:conditionalFormatting>
        <x14:conditionalFormatting xmlns:xm="http://schemas.microsoft.com/office/excel/2006/main">
          <x14:cfRule type="dataBar" id="{1D144017-0311-4484-B7B4-CEE8E10D3405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AH121:AH122</xm:sqref>
        </x14:conditionalFormatting>
        <x14:conditionalFormatting xmlns:xm="http://schemas.microsoft.com/office/excel/2006/main">
          <x14:cfRule type="dataBar" id="{B6D3DEA8-A869-443A-8F82-AA53B1280BDC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AH115</xm:sqref>
        </x14:conditionalFormatting>
        <x14:conditionalFormatting xmlns:xm="http://schemas.microsoft.com/office/excel/2006/main">
          <x14:cfRule type="dataBar" id="{174C9257-1DEC-4072-B77E-53317006A757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AH113:AH114</xm:sqref>
        </x14:conditionalFormatting>
        <x14:conditionalFormatting xmlns:xm="http://schemas.microsoft.com/office/excel/2006/main">
          <x14:cfRule type="dataBar" id="{433C076E-A005-40B6-BDA8-057928525F9D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AH15</xm:sqref>
        </x14:conditionalFormatting>
        <x14:conditionalFormatting xmlns:xm="http://schemas.microsoft.com/office/excel/2006/main">
          <x14:cfRule type="dataBar" id="{0DE47280-3030-42B6-8BE5-DFF7F40FD0E7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AH13:AH14</xm:sqref>
        </x14:conditionalFormatting>
        <x14:conditionalFormatting xmlns:xm="http://schemas.microsoft.com/office/excel/2006/main">
          <x14:cfRule type="dataBar" id="{F89D91A4-A706-4715-8D17-4BF5CB754621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AH119</xm:sqref>
        </x14:conditionalFormatting>
        <x14:conditionalFormatting xmlns:xm="http://schemas.microsoft.com/office/excel/2006/main">
          <x14:cfRule type="dataBar" id="{A6B3E6D4-A1C2-442B-9242-33DB49CAEE98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AH117:AH118</xm:sqref>
        </x14:conditionalFormatting>
        <x14:conditionalFormatting xmlns:xm="http://schemas.microsoft.com/office/excel/2006/main">
          <x14:cfRule type="dataBar" id="{D4DD3F2E-AD22-40F6-9E13-453C8E06FAF8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AH107</xm:sqref>
        </x14:conditionalFormatting>
        <x14:conditionalFormatting xmlns:xm="http://schemas.microsoft.com/office/excel/2006/main">
          <x14:cfRule type="dataBar" id="{B620E97C-EB4E-4C52-AAE6-B4D9FED87194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AH105:AH106</xm:sqref>
        </x14:conditionalFormatting>
        <x14:conditionalFormatting xmlns:xm="http://schemas.microsoft.com/office/excel/2006/main">
          <x14:cfRule type="dataBar" id="{3C674FFE-B262-4753-89F3-DF19115C016B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AH59</xm:sqref>
        </x14:conditionalFormatting>
        <x14:conditionalFormatting xmlns:xm="http://schemas.microsoft.com/office/excel/2006/main">
          <x14:cfRule type="dataBar" id="{62816264-221D-4457-9E56-A1EBD3982C84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AH57:AH58</xm:sqref>
        </x14:conditionalFormatting>
        <x14:conditionalFormatting xmlns:xm="http://schemas.microsoft.com/office/excel/2006/main">
          <x14:cfRule type="dataBar" id="{E7064E10-E6CC-44F8-BA8C-144424EB10F8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AH79</xm:sqref>
        </x14:conditionalFormatting>
        <x14:conditionalFormatting xmlns:xm="http://schemas.microsoft.com/office/excel/2006/main">
          <x14:cfRule type="dataBar" id="{A593E630-39C9-4972-B9CA-B592D45C447A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AH77:AH78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theme="2" tint="-0.89999084444715716"/>
    <pageSetUpPr fitToPage="1"/>
  </sheetPr>
  <dimension ref="A1:AS1514"/>
  <sheetViews>
    <sheetView showGridLines="0" topLeftCell="N1" zoomScale="98" zoomScaleNormal="98" workbookViewId="0">
      <selection activeCell="AS7" sqref="AS7"/>
    </sheetView>
  </sheetViews>
  <sheetFormatPr baseColWidth="10" defaultColWidth="9.140625" defaultRowHeight="15" customHeight="1" x14ac:dyDescent="0.25"/>
  <cols>
    <col min="1" max="1" width="24.28515625" style="96" customWidth="1"/>
    <col min="2" max="2" width="6" style="96" customWidth="1"/>
    <col min="3" max="22" width="4" style="93" customWidth="1"/>
    <col min="23" max="23" width="4.42578125" style="93" customWidth="1"/>
    <col min="24" max="26" width="4" style="93" customWidth="1"/>
    <col min="27" max="27" width="4.42578125" style="93" customWidth="1"/>
    <col min="28" max="28" width="4.42578125" style="93" bestFit="1" customWidth="1"/>
    <col min="29" max="32" width="4" style="93" customWidth="1"/>
    <col min="33" max="33" width="4.42578125" style="93" bestFit="1" customWidth="1"/>
    <col min="34" max="34" width="10.7109375" style="94" customWidth="1"/>
    <col min="35" max="35" width="5.5703125" style="93" customWidth="1"/>
    <col min="36" max="36" width="5" style="75" customWidth="1"/>
    <col min="37" max="37" width="4.7109375" style="75" customWidth="1"/>
    <col min="38" max="38" width="4.5703125" style="75" customWidth="1"/>
    <col min="39" max="39" width="6.5703125" style="75" customWidth="1"/>
    <col min="40" max="40" width="7.7109375" style="75" customWidth="1"/>
    <col min="41" max="41" width="9.5703125" style="75" customWidth="1"/>
    <col min="42" max="42" width="4.7109375" style="75" customWidth="1"/>
    <col min="43" max="43" width="5.85546875" style="75" customWidth="1"/>
    <col min="44" max="44" width="6.140625" style="75" customWidth="1"/>
    <col min="45" max="45" width="13.140625" style="75" customWidth="1"/>
    <col min="46" max="16384" width="9.140625" style="75"/>
  </cols>
  <sheetData>
    <row r="1" spans="1:45" s="8" customFormat="1" ht="50.25" customHeight="1" thickBot="1" x14ac:dyDescent="0.3">
      <c r="A1" s="1" t="s">
        <v>0</v>
      </c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3"/>
      <c r="AE1" s="3"/>
      <c r="AF1" s="4"/>
      <c r="AG1" s="5"/>
      <c r="AH1" s="5"/>
      <c r="AI1" s="6"/>
      <c r="AJ1" s="7"/>
      <c r="AK1" s="7"/>
      <c r="AL1" s="7"/>
      <c r="AM1" s="7"/>
      <c r="AN1" s="7"/>
      <c r="AO1" s="7"/>
      <c r="AP1" s="7"/>
      <c r="AQ1" s="7"/>
      <c r="AR1" s="7"/>
    </row>
    <row r="2" spans="1:45" s="18" customFormat="1" ht="30" customHeight="1" x14ac:dyDescent="0.25">
      <c r="A2" s="97">
        <v>42978</v>
      </c>
      <c r="B2" s="10"/>
      <c r="C2" s="11" t="s">
        <v>1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2">
        <v>2017</v>
      </c>
      <c r="AI2" s="13" t="s">
        <v>2</v>
      </c>
      <c r="AJ2" s="14"/>
      <c r="AK2" s="14"/>
      <c r="AL2" s="15"/>
      <c r="AM2" s="13" t="s">
        <v>3</v>
      </c>
      <c r="AN2" s="14"/>
      <c r="AO2" s="14"/>
      <c r="AP2" s="15"/>
      <c r="AQ2" s="16" t="s">
        <v>4</v>
      </c>
      <c r="AR2" s="17"/>
    </row>
    <row r="3" spans="1:45" s="27" customFormat="1" ht="15.75" customHeight="1" thickBot="1" x14ac:dyDescent="0.35">
      <c r="A3" s="98">
        <v>42948</v>
      </c>
      <c r="B3" s="10"/>
      <c r="C3" s="20" t="str">
        <f>TEXT(WEEKDAY(DATE(CalendrierAnnée,7,1),1),"jjj")</f>
        <v>sam</v>
      </c>
      <c r="D3" s="21" t="str">
        <f>TEXT(WEEKDAY(DATE(CalendrierAnnée,7,2),1),"jjj")</f>
        <v>dim</v>
      </c>
      <c r="E3" s="21" t="str">
        <f>TEXT(WEEKDAY(DATE(CalendrierAnnée,7,3),1),"jjj")</f>
        <v>lun</v>
      </c>
      <c r="F3" s="21" t="str">
        <f>TEXT(WEEKDAY(DATE(CalendrierAnnée,7,4),1),"jjj")</f>
        <v>mar</v>
      </c>
      <c r="G3" s="21" t="str">
        <f>TEXT(WEEKDAY(DATE(CalendrierAnnée,7,5),1),"jjj")</f>
        <v>mer</v>
      </c>
      <c r="H3" s="21" t="str">
        <f>TEXT(WEEKDAY(DATE(CalendrierAnnée,7,6),1),"jjj")</f>
        <v>jeu</v>
      </c>
      <c r="I3" s="21" t="str">
        <f>TEXT(WEEKDAY(DATE(CalendrierAnnée,7,7),1),"jjj")</f>
        <v>ven</v>
      </c>
      <c r="J3" s="21" t="str">
        <f>TEXT(WEEKDAY(DATE(CalendrierAnnée,7,8),1),"jjj")</f>
        <v>sam</v>
      </c>
      <c r="K3" s="21" t="str">
        <f>TEXT(WEEKDAY(DATE(CalendrierAnnée,7,9),1),"jjj")</f>
        <v>dim</v>
      </c>
      <c r="L3" s="21" t="str">
        <f>TEXT(WEEKDAY(DATE(CalendrierAnnée,7,10),1),"jjj")</f>
        <v>lun</v>
      </c>
      <c r="M3" s="21" t="str">
        <f>TEXT(WEEKDAY(DATE(CalendrierAnnée,7,11),1),"jjj")</f>
        <v>mar</v>
      </c>
      <c r="N3" s="21" t="str">
        <f>TEXT(WEEKDAY(DATE(CalendrierAnnée,7,12),1),"jjj")</f>
        <v>mer</v>
      </c>
      <c r="O3" s="21" t="str">
        <f>TEXT(WEEKDAY(DATE(CalendrierAnnée,7,13),1),"jjj")</f>
        <v>jeu</v>
      </c>
      <c r="P3" s="21" t="str">
        <f>TEXT(WEEKDAY(DATE(CalendrierAnnée,7,14),1),"jjj")</f>
        <v>ven</v>
      </c>
      <c r="Q3" s="21" t="str">
        <f>TEXT(WEEKDAY(DATE(CalendrierAnnée,7,15),1),"jjj")</f>
        <v>sam</v>
      </c>
      <c r="R3" s="21" t="str">
        <f>TEXT(WEEKDAY(DATE(CalendrierAnnée,7,16),1),"jjj")</f>
        <v>dim</v>
      </c>
      <c r="S3" s="21" t="str">
        <f>TEXT(WEEKDAY(DATE(CalendrierAnnée,7,17),1),"jjj")</f>
        <v>lun</v>
      </c>
      <c r="T3" s="21" t="str">
        <f>TEXT(WEEKDAY(DATE(CalendrierAnnée,7,18),1),"jjj")</f>
        <v>mar</v>
      </c>
      <c r="U3" s="21" t="str">
        <f>TEXT(WEEKDAY(DATE(CalendrierAnnée,7,19),1),"jjj")</f>
        <v>mer</v>
      </c>
      <c r="V3" s="21" t="str">
        <f>TEXT(WEEKDAY(DATE(CalendrierAnnée,7,20),1),"jjj")</f>
        <v>jeu</v>
      </c>
      <c r="W3" s="21" t="str">
        <f>TEXT(WEEKDAY(DATE(CalendrierAnnée,7,21),1),"jjj")</f>
        <v>ven</v>
      </c>
      <c r="X3" s="21" t="str">
        <f>TEXT(WEEKDAY(DATE(CalendrierAnnée,7,22),1),"jjj")</f>
        <v>sam</v>
      </c>
      <c r="Y3" s="21" t="str">
        <f>TEXT(WEEKDAY(DATE(CalendrierAnnée,7,23),1),"jjj")</f>
        <v>dim</v>
      </c>
      <c r="Z3" s="21" t="str">
        <f>TEXT(WEEKDAY(DATE(CalendrierAnnée,7,24),1),"jjj")</f>
        <v>lun</v>
      </c>
      <c r="AA3" s="21" t="str">
        <f>TEXT(WEEKDAY(DATE(CalendrierAnnée,7,25),1),"jjj")</f>
        <v>mar</v>
      </c>
      <c r="AB3" s="21" t="str">
        <f>TEXT(WEEKDAY(DATE(CalendrierAnnée,7,26),1),"jjj")</f>
        <v>mer</v>
      </c>
      <c r="AC3" s="21" t="str">
        <f>TEXT(WEEKDAY(DATE(CalendrierAnnée,7,27),1),"jjj")</f>
        <v>jeu</v>
      </c>
      <c r="AD3" s="21" t="str">
        <f>TEXT(WEEKDAY(DATE(CalendrierAnnée,7,28),1),"jjj")</f>
        <v>ven</v>
      </c>
      <c r="AE3" s="21" t="str">
        <f>TEXT(WEEKDAY(DATE(CalendrierAnnée,7,29),1),"jjj")</f>
        <v>sam</v>
      </c>
      <c r="AF3" s="21" t="str">
        <f>TEXT(WEEKDAY(DATE(CalendrierAnnée,7,30),1),"jjj")</f>
        <v>dim</v>
      </c>
      <c r="AG3" s="21" t="str">
        <f>TEXT(WEEKDAY(DATE(CalendrierAnnée,7,31),1),"jjj")</f>
        <v>lun</v>
      </c>
      <c r="AH3" s="12"/>
      <c r="AI3" s="22"/>
      <c r="AJ3" s="23"/>
      <c r="AK3" s="23"/>
      <c r="AL3" s="24"/>
      <c r="AM3" s="22"/>
      <c r="AN3" s="23"/>
      <c r="AO3" s="23"/>
      <c r="AP3" s="24"/>
      <c r="AQ3" s="25"/>
      <c r="AR3" s="26"/>
    </row>
    <row r="4" spans="1:45" s="40" customFormat="1" ht="60" x14ac:dyDescent="0.25">
      <c r="A4" s="28" t="s">
        <v>22</v>
      </c>
      <c r="B4" s="29"/>
      <c r="C4" s="99">
        <v>1</v>
      </c>
      <c r="D4" s="32">
        <v>2</v>
      </c>
      <c r="E4" s="31">
        <v>3</v>
      </c>
      <c r="F4" s="31">
        <v>4</v>
      </c>
      <c r="G4" s="31">
        <v>5</v>
      </c>
      <c r="H4" s="31">
        <v>6</v>
      </c>
      <c r="I4" s="31">
        <v>7</v>
      </c>
      <c r="J4" s="31">
        <v>8</v>
      </c>
      <c r="K4" s="31">
        <v>9</v>
      </c>
      <c r="L4" s="31">
        <v>10</v>
      </c>
      <c r="M4" s="31">
        <v>11</v>
      </c>
      <c r="N4" s="31">
        <v>12</v>
      </c>
      <c r="O4" s="31">
        <v>13</v>
      </c>
      <c r="P4" s="31">
        <v>14</v>
      </c>
      <c r="Q4" s="31">
        <v>15</v>
      </c>
      <c r="R4" s="31">
        <v>16</v>
      </c>
      <c r="S4" s="31">
        <v>17</v>
      </c>
      <c r="T4" s="31">
        <v>18</v>
      </c>
      <c r="U4" s="31">
        <v>19</v>
      </c>
      <c r="V4" s="31">
        <v>20</v>
      </c>
      <c r="W4" s="31">
        <v>21</v>
      </c>
      <c r="X4" s="31">
        <v>22</v>
      </c>
      <c r="Y4" s="31">
        <v>23</v>
      </c>
      <c r="Z4" s="31">
        <v>24</v>
      </c>
      <c r="AA4" s="31">
        <v>25</v>
      </c>
      <c r="AB4" s="31">
        <v>26</v>
      </c>
      <c r="AC4" s="31">
        <v>27</v>
      </c>
      <c r="AD4" s="31">
        <v>28</v>
      </c>
      <c r="AE4" s="31">
        <v>29</v>
      </c>
      <c r="AF4" s="31">
        <v>30</v>
      </c>
      <c r="AG4" s="31">
        <v>31</v>
      </c>
      <c r="AH4" s="33" t="s">
        <v>6</v>
      </c>
      <c r="AI4" s="34" t="s">
        <v>7</v>
      </c>
      <c r="AJ4" s="35" t="s">
        <v>8</v>
      </c>
      <c r="AK4" s="36" t="s">
        <v>9</v>
      </c>
      <c r="AL4" s="37" t="s">
        <v>10</v>
      </c>
      <c r="AM4" s="38" t="s">
        <v>11</v>
      </c>
      <c r="AN4" s="38" t="s">
        <v>12</v>
      </c>
      <c r="AO4" s="38" t="s">
        <v>13</v>
      </c>
      <c r="AP4" s="39" t="s">
        <v>14</v>
      </c>
      <c r="AQ4" s="34" t="s">
        <v>7</v>
      </c>
      <c r="AR4" s="35" t="s">
        <v>8</v>
      </c>
      <c r="AS4" s="39" t="s">
        <v>56</v>
      </c>
    </row>
    <row r="5" spans="1:45" s="40" customFormat="1" ht="12.95" customHeight="1" x14ac:dyDescent="0.25">
      <c r="A5" s="41"/>
      <c r="B5" s="42" t="s">
        <v>15</v>
      </c>
      <c r="C5" s="67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 t="s">
        <v>7</v>
      </c>
      <c r="U5" s="43"/>
      <c r="V5" s="43"/>
      <c r="W5" s="43" t="s">
        <v>7</v>
      </c>
      <c r="X5" s="43" t="s">
        <v>7</v>
      </c>
      <c r="Y5" s="43" t="s">
        <v>7</v>
      </c>
      <c r="Z5" s="43" t="s">
        <v>7</v>
      </c>
      <c r="AA5" s="43"/>
      <c r="AB5" s="43"/>
      <c r="AC5" s="43"/>
      <c r="AD5" s="43" t="s">
        <v>7</v>
      </c>
      <c r="AE5" s="43" t="s">
        <v>7</v>
      </c>
      <c r="AF5" s="43" t="s">
        <v>7</v>
      </c>
      <c r="AG5" s="43" t="s">
        <v>7</v>
      </c>
      <c r="AH5" s="44">
        <f>COUNTA(Août!$C5:$AG5)</f>
        <v>9</v>
      </c>
      <c r="AI5" s="45">
        <f>(COUNTIFS(Août!$C5:$AG5,("cp")))/2+Juillet!AI5</f>
        <v>4.5</v>
      </c>
      <c r="AJ5" s="45">
        <f>COUNTIFS(Août!$C5:$AG5,"RTT")/2+Juillet!AJ5</f>
        <v>0</v>
      </c>
      <c r="AK5" s="45">
        <f>COUNTIFS(Août!$C5:$AG5,"m")/2+Juillet!AK5</f>
        <v>0</v>
      </c>
      <c r="AL5" s="45">
        <f>COUNTIFS(Août!$C5:$AG5,"a")/2+Juillet!AL5</f>
        <v>0</v>
      </c>
      <c r="AM5" s="46"/>
      <c r="AN5" s="47"/>
      <c r="AO5" s="47"/>
      <c r="AP5" s="46"/>
      <c r="AQ5" s="47"/>
      <c r="AR5" s="47"/>
      <c r="AS5" s="47"/>
    </row>
    <row r="6" spans="1:45" s="40" customFormat="1" ht="12.95" customHeight="1" x14ac:dyDescent="0.25">
      <c r="A6" s="48">
        <v>41722</v>
      </c>
      <c r="B6" s="42" t="s">
        <v>16</v>
      </c>
      <c r="C6" s="67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 t="s">
        <v>7</v>
      </c>
      <c r="U6" s="43"/>
      <c r="V6" s="43"/>
      <c r="W6" s="43" t="s">
        <v>7</v>
      </c>
      <c r="X6" s="43" t="s">
        <v>7</v>
      </c>
      <c r="Y6" s="43" t="s">
        <v>7</v>
      </c>
      <c r="Z6" s="43" t="s">
        <v>7</v>
      </c>
      <c r="AA6" s="43"/>
      <c r="AB6" s="43"/>
      <c r="AC6" s="43"/>
      <c r="AD6" s="43" t="s">
        <v>7</v>
      </c>
      <c r="AE6" s="43" t="s">
        <v>7</v>
      </c>
      <c r="AF6" s="43" t="s">
        <v>7</v>
      </c>
      <c r="AG6" s="43" t="s">
        <v>7</v>
      </c>
      <c r="AH6" s="44">
        <f>COUNTA(Août!$C6:$AG6)</f>
        <v>9</v>
      </c>
      <c r="AI6" s="45">
        <f>(COUNTIFS(Août!$C6:$AG6,("cp")))/2+Juillet!AI6</f>
        <v>4.5</v>
      </c>
      <c r="AJ6" s="45">
        <f>COUNTIFS(Août!$C6:$AG6,"RTT")/2+Juillet!AJ6</f>
        <v>0</v>
      </c>
      <c r="AK6" s="45">
        <f>COUNTIFS(Août!$C6:$AG6,"m")/2+Juillet!AK6</f>
        <v>0</v>
      </c>
      <c r="AL6" s="45">
        <f>COUNTIFS(Août!$C6:$AG6,"a")/2+Juillet!AL6</f>
        <v>0</v>
      </c>
      <c r="AM6" s="46"/>
      <c r="AN6" s="47"/>
      <c r="AO6" s="47"/>
      <c r="AP6" s="46"/>
      <c r="AQ6" s="47"/>
      <c r="AR6" s="47"/>
      <c r="AS6" s="101"/>
    </row>
    <row r="7" spans="1:45" s="40" customFormat="1" ht="12.95" customHeight="1" x14ac:dyDescent="0.25">
      <c r="A7" s="41"/>
      <c r="B7" s="42"/>
      <c r="C7" s="49" t="str">
        <f t="shared" ref="C7:AG7" si="0">IF(C5&gt;0,C5,IF(C6&gt;0,C6,""))</f>
        <v/>
      </c>
      <c r="D7" s="49" t="str">
        <f t="shared" si="0"/>
        <v/>
      </c>
      <c r="E7" s="49" t="str">
        <f t="shared" si="0"/>
        <v/>
      </c>
      <c r="F7" s="49" t="str">
        <f t="shared" si="0"/>
        <v/>
      </c>
      <c r="G7" s="49" t="str">
        <f t="shared" si="0"/>
        <v/>
      </c>
      <c r="H7" s="49" t="str">
        <f t="shared" si="0"/>
        <v/>
      </c>
      <c r="I7" s="49" t="str">
        <f t="shared" si="0"/>
        <v/>
      </c>
      <c r="J7" s="49" t="str">
        <f t="shared" si="0"/>
        <v/>
      </c>
      <c r="K7" s="49" t="str">
        <f t="shared" si="0"/>
        <v/>
      </c>
      <c r="L7" s="49" t="str">
        <f t="shared" si="0"/>
        <v/>
      </c>
      <c r="M7" s="49" t="str">
        <f t="shared" si="0"/>
        <v/>
      </c>
      <c r="N7" s="49" t="str">
        <f t="shared" si="0"/>
        <v/>
      </c>
      <c r="O7" s="49" t="str">
        <f t="shared" si="0"/>
        <v/>
      </c>
      <c r="P7" s="49" t="str">
        <f t="shared" si="0"/>
        <v/>
      </c>
      <c r="Q7" s="49" t="str">
        <f t="shared" si="0"/>
        <v/>
      </c>
      <c r="R7" s="49" t="str">
        <f t="shared" si="0"/>
        <v/>
      </c>
      <c r="S7" s="49" t="str">
        <f t="shared" si="0"/>
        <v/>
      </c>
      <c r="T7" s="49" t="str">
        <f t="shared" si="0"/>
        <v>CP</v>
      </c>
      <c r="U7" s="49" t="str">
        <f t="shared" si="0"/>
        <v/>
      </c>
      <c r="V7" s="49" t="str">
        <f t="shared" si="0"/>
        <v/>
      </c>
      <c r="W7" s="49" t="str">
        <f t="shared" si="0"/>
        <v>CP</v>
      </c>
      <c r="X7" s="49" t="str">
        <f t="shared" si="0"/>
        <v>CP</v>
      </c>
      <c r="Y7" s="49" t="str">
        <f t="shared" si="0"/>
        <v>CP</v>
      </c>
      <c r="Z7" s="49" t="str">
        <f t="shared" si="0"/>
        <v>CP</v>
      </c>
      <c r="AA7" s="49" t="str">
        <f t="shared" si="0"/>
        <v/>
      </c>
      <c r="AB7" s="49" t="str">
        <f t="shared" si="0"/>
        <v/>
      </c>
      <c r="AC7" s="49" t="str">
        <f t="shared" si="0"/>
        <v/>
      </c>
      <c r="AD7" s="49" t="str">
        <f t="shared" si="0"/>
        <v>CP</v>
      </c>
      <c r="AE7" s="49" t="str">
        <f t="shared" si="0"/>
        <v>CP</v>
      </c>
      <c r="AF7" s="49" t="str">
        <f t="shared" si="0"/>
        <v>CP</v>
      </c>
      <c r="AG7" s="49" t="str">
        <f t="shared" si="0"/>
        <v>CP</v>
      </c>
      <c r="AH7" s="44">
        <f>SUM(AH5:AH6)</f>
        <v>18</v>
      </c>
      <c r="AI7" s="45">
        <f>SUM(AI5:AI6)</f>
        <v>9</v>
      </c>
      <c r="AJ7" s="45">
        <f>SUM(AJ5:AJ6)</f>
        <v>0</v>
      </c>
      <c r="AK7" s="45">
        <f t="shared" ref="AK7:AL7" si="1">SUM(AK5:AK6)</f>
        <v>0</v>
      </c>
      <c r="AL7" s="45">
        <f t="shared" si="1"/>
        <v>0</v>
      </c>
      <c r="AM7" s="50">
        <f>+Juin!AM7</f>
        <v>9.15</v>
      </c>
      <c r="AN7" s="51">
        <f>IF(A6="","",IF(A6&gt;NomMois,0,IF(A6&lt;$A$3,2.08,(NETWORKDAYS(A6,$A$2)/21.66667)*2.08)))</f>
        <v>2.08</v>
      </c>
      <c r="AO7" s="51">
        <f>IF( AN7="",0,+AN7+Juillet!AO7)</f>
        <v>6.24</v>
      </c>
      <c r="AP7" s="50"/>
      <c r="AQ7" s="51">
        <f>+AM7-AI7</f>
        <v>0.15000000000000036</v>
      </c>
      <c r="AR7" s="45">
        <f>+AP7-AJ7</f>
        <v>0</v>
      </c>
      <c r="AS7" s="102">
        <f>+AO7+AQ7</f>
        <v>6.3900000000000006</v>
      </c>
    </row>
    <row r="8" spans="1:45" s="40" customFormat="1" ht="6.75" customHeight="1" x14ac:dyDescent="0.25">
      <c r="A8" s="52"/>
      <c r="B8" s="53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  <c r="AF8" s="52"/>
      <c r="AG8" s="52"/>
      <c r="AH8" s="54"/>
      <c r="AI8" s="54"/>
      <c r="AJ8" s="54"/>
      <c r="AK8" s="54"/>
      <c r="AL8" s="54"/>
      <c r="AM8" s="52"/>
      <c r="AN8" s="55"/>
      <c r="AO8" s="55"/>
      <c r="AP8" s="56"/>
      <c r="AQ8" s="58"/>
      <c r="AR8" s="58"/>
      <c r="AS8" s="65"/>
    </row>
    <row r="9" spans="1:45" s="40" customFormat="1" ht="12.95" customHeight="1" x14ac:dyDescent="0.25">
      <c r="A9" s="41"/>
      <c r="B9" s="42" t="s">
        <v>15</v>
      </c>
      <c r="C9" s="67" t="s">
        <v>7</v>
      </c>
      <c r="D9" s="43" t="s">
        <v>7</v>
      </c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  <c r="AA9" s="43"/>
      <c r="AB9" s="43"/>
      <c r="AC9" s="43"/>
      <c r="AD9" s="43"/>
      <c r="AE9" s="43"/>
      <c r="AF9" s="43"/>
      <c r="AG9" s="43"/>
      <c r="AH9" s="44">
        <f>COUNTA(Août!$C9:$AG9)</f>
        <v>2</v>
      </c>
      <c r="AI9" s="45">
        <f>(COUNTIFS(Août!$C9:$AG9,("cp")))/2+Juillet!AI9</f>
        <v>3.5</v>
      </c>
      <c r="AJ9" s="45">
        <f>COUNTIFS(Août!$C9:$AG9,"RTT")/2+Juillet!AJ9</f>
        <v>0</v>
      </c>
      <c r="AK9" s="45">
        <f>COUNTIFS(Août!$C9:$AG9,"m")/2+Juillet!AK9</f>
        <v>0</v>
      </c>
      <c r="AL9" s="45">
        <f>COUNTIFS(Août!$C9:$AG9,"a")/2+Juillet!AL9</f>
        <v>0</v>
      </c>
      <c r="AM9" s="46"/>
      <c r="AN9" s="47"/>
      <c r="AO9" s="47"/>
      <c r="AP9" s="46"/>
      <c r="AQ9" s="47"/>
      <c r="AR9" s="47"/>
      <c r="AS9" s="47"/>
    </row>
    <row r="10" spans="1:45" s="40" customFormat="1" ht="12.95" customHeight="1" x14ac:dyDescent="0.25">
      <c r="A10" s="48">
        <v>42740</v>
      </c>
      <c r="B10" s="42" t="s">
        <v>16</v>
      </c>
      <c r="C10" s="67" t="s">
        <v>7</v>
      </c>
      <c r="D10" s="43" t="s">
        <v>7</v>
      </c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3"/>
      <c r="AG10" s="43"/>
      <c r="AH10" s="44">
        <f>COUNTA(Août!$C10:$AG10)</f>
        <v>2</v>
      </c>
      <c r="AI10" s="45">
        <f>(COUNTIFS(Août!$C10:$AG10,("cp")))/2+Juillet!AI10</f>
        <v>3.5</v>
      </c>
      <c r="AJ10" s="45">
        <f>COUNTIFS(Août!$C10:$AG10,"RTT")/2+Juillet!AJ10</f>
        <v>0</v>
      </c>
      <c r="AK10" s="45">
        <f>COUNTIFS(Août!$C10:$AG10,"m")/2+Juillet!AK10</f>
        <v>0</v>
      </c>
      <c r="AL10" s="45">
        <f>COUNTIFS(Août!$C10:$AG10,"a")/2+Juillet!AL10</f>
        <v>0</v>
      </c>
      <c r="AM10" s="46"/>
      <c r="AN10" s="47"/>
      <c r="AO10" s="47"/>
      <c r="AP10" s="46"/>
      <c r="AQ10" s="47"/>
      <c r="AR10" s="47"/>
      <c r="AS10" s="101"/>
    </row>
    <row r="11" spans="1:45" s="40" customFormat="1" ht="12.95" customHeight="1" x14ac:dyDescent="0.25">
      <c r="A11" s="41"/>
      <c r="B11" s="42"/>
      <c r="C11" s="49" t="str">
        <f t="shared" ref="C11:AG11" si="2">IF(C9&gt;0,C9,IF(C10&gt;0,C10,""))</f>
        <v>CP</v>
      </c>
      <c r="D11" s="49" t="str">
        <f t="shared" si="2"/>
        <v>CP</v>
      </c>
      <c r="E11" s="49" t="str">
        <f t="shared" si="2"/>
        <v/>
      </c>
      <c r="F11" s="49" t="str">
        <f t="shared" si="2"/>
        <v/>
      </c>
      <c r="G11" s="49" t="str">
        <f t="shared" si="2"/>
        <v/>
      </c>
      <c r="H11" s="49" t="str">
        <f t="shared" si="2"/>
        <v/>
      </c>
      <c r="I11" s="49" t="str">
        <f t="shared" si="2"/>
        <v/>
      </c>
      <c r="J11" s="49" t="str">
        <f t="shared" si="2"/>
        <v/>
      </c>
      <c r="K11" s="49" t="str">
        <f t="shared" si="2"/>
        <v/>
      </c>
      <c r="L11" s="49" t="str">
        <f t="shared" si="2"/>
        <v/>
      </c>
      <c r="M11" s="49" t="str">
        <f t="shared" si="2"/>
        <v/>
      </c>
      <c r="N11" s="49" t="str">
        <f t="shared" si="2"/>
        <v/>
      </c>
      <c r="O11" s="49" t="str">
        <f t="shared" si="2"/>
        <v/>
      </c>
      <c r="P11" s="49" t="str">
        <f t="shared" si="2"/>
        <v/>
      </c>
      <c r="Q11" s="49" t="str">
        <f t="shared" si="2"/>
        <v/>
      </c>
      <c r="R11" s="49" t="str">
        <f t="shared" si="2"/>
        <v/>
      </c>
      <c r="S11" s="49" t="str">
        <f t="shared" si="2"/>
        <v/>
      </c>
      <c r="T11" s="49" t="str">
        <f t="shared" si="2"/>
        <v/>
      </c>
      <c r="U11" s="49" t="str">
        <f t="shared" si="2"/>
        <v/>
      </c>
      <c r="V11" s="49" t="str">
        <f t="shared" si="2"/>
        <v/>
      </c>
      <c r="W11" s="49" t="str">
        <f t="shared" si="2"/>
        <v/>
      </c>
      <c r="X11" s="49" t="str">
        <f t="shared" si="2"/>
        <v/>
      </c>
      <c r="Y11" s="49" t="str">
        <f t="shared" si="2"/>
        <v/>
      </c>
      <c r="Z11" s="49" t="str">
        <f t="shared" si="2"/>
        <v/>
      </c>
      <c r="AA11" s="49" t="str">
        <f t="shared" si="2"/>
        <v/>
      </c>
      <c r="AB11" s="49" t="str">
        <f t="shared" si="2"/>
        <v/>
      </c>
      <c r="AC11" s="49" t="str">
        <f t="shared" si="2"/>
        <v/>
      </c>
      <c r="AD11" s="49" t="str">
        <f t="shared" si="2"/>
        <v/>
      </c>
      <c r="AE11" s="49" t="str">
        <f t="shared" si="2"/>
        <v/>
      </c>
      <c r="AF11" s="49" t="str">
        <f t="shared" si="2"/>
        <v/>
      </c>
      <c r="AG11" s="49" t="str">
        <f t="shared" si="2"/>
        <v/>
      </c>
      <c r="AH11" s="44">
        <f>SUM(AH9:AH10)</f>
        <v>4</v>
      </c>
      <c r="AI11" s="45">
        <f>SUM(AI9:AI10)</f>
        <v>7</v>
      </c>
      <c r="AJ11" s="45">
        <f>SUM(AJ9:AJ10)</f>
        <v>0</v>
      </c>
      <c r="AK11" s="45">
        <f t="shared" ref="AK11:AL11" si="3">SUM(AK9:AK10)</f>
        <v>0</v>
      </c>
      <c r="AL11" s="45">
        <f t="shared" si="3"/>
        <v>0</v>
      </c>
      <c r="AM11" s="50">
        <f>+Juin!AM11</f>
        <v>10.32</v>
      </c>
      <c r="AN11" s="51">
        <f>IF(A10="","",IF(A10&gt;NomMois,0,IF(A10&lt;$A$3,2.08,(NETWORKDAYS(A10,$A$2)/21.66667)*2.08)))</f>
        <v>2.08</v>
      </c>
      <c r="AO11" s="51">
        <f>IF( AN11="",0,+AN11+Juillet!AO11)</f>
        <v>6.24</v>
      </c>
      <c r="AP11" s="50"/>
      <c r="AQ11" s="45">
        <f>+AM11-AI11</f>
        <v>3.3200000000000003</v>
      </c>
      <c r="AR11" s="45">
        <f>+AP11-AJ11</f>
        <v>0</v>
      </c>
      <c r="AS11" s="102">
        <f>+AO11+AQ11</f>
        <v>9.56</v>
      </c>
    </row>
    <row r="12" spans="1:45" s="63" customFormat="1" ht="6.75" customHeight="1" x14ac:dyDescent="0.25">
      <c r="A12" s="60"/>
      <c r="B12" s="53"/>
      <c r="C12" s="60"/>
      <c r="D12" s="60"/>
      <c r="E12" s="60"/>
      <c r="F12" s="60"/>
      <c r="G12" s="60"/>
      <c r="H12" s="60"/>
      <c r="I12" s="60"/>
      <c r="J12" s="60"/>
      <c r="K12" s="60"/>
      <c r="L12" s="60"/>
      <c r="M12" s="60"/>
      <c r="N12" s="60"/>
      <c r="O12" s="60"/>
      <c r="P12" s="60"/>
      <c r="Q12" s="60"/>
      <c r="R12" s="60"/>
      <c r="S12" s="60"/>
      <c r="T12" s="60"/>
      <c r="U12" s="60"/>
      <c r="V12" s="60"/>
      <c r="W12" s="60"/>
      <c r="X12" s="60"/>
      <c r="Y12" s="60"/>
      <c r="Z12" s="60"/>
      <c r="AA12" s="60"/>
      <c r="AB12" s="60"/>
      <c r="AC12" s="60"/>
      <c r="AD12" s="60"/>
      <c r="AE12" s="60"/>
      <c r="AF12" s="60"/>
      <c r="AG12" s="60"/>
      <c r="AH12" s="61"/>
      <c r="AI12" s="61"/>
      <c r="AJ12" s="61"/>
      <c r="AK12" s="61"/>
      <c r="AL12" s="61"/>
      <c r="AM12" s="60"/>
      <c r="AN12" s="61"/>
      <c r="AO12" s="61"/>
      <c r="AP12" s="60"/>
      <c r="AQ12" s="61"/>
      <c r="AR12" s="61"/>
      <c r="AS12" s="65"/>
    </row>
    <row r="13" spans="1:45" s="79" customFormat="1" ht="12.95" customHeight="1" x14ac:dyDescent="0.25">
      <c r="A13" s="41"/>
      <c r="B13" s="42" t="s">
        <v>15</v>
      </c>
      <c r="C13" s="67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 t="s">
        <v>7</v>
      </c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43"/>
      <c r="AB13" s="43"/>
      <c r="AC13" s="43"/>
      <c r="AD13" s="43"/>
      <c r="AE13" s="43"/>
      <c r="AF13" s="43"/>
      <c r="AG13" s="43"/>
      <c r="AH13" s="44">
        <f>COUNTA(Août!$C13:$AG13)</f>
        <v>1</v>
      </c>
      <c r="AI13" s="45">
        <f>(COUNTIFS(Août!$C13:$AG13,("cp")))/2+Juillet!AI13</f>
        <v>0.5</v>
      </c>
      <c r="AJ13" s="45">
        <f>COUNTIFS(Août!$C13:$AG13,"RTT")/2+Juillet!AJ13</f>
        <v>0</v>
      </c>
      <c r="AK13" s="45">
        <f>COUNTIFS(Août!$C13:$AG13,"m")/2+Juillet!AK13</f>
        <v>0</v>
      </c>
      <c r="AL13" s="45">
        <f>COUNTIFS(Août!$C13:$AG13,"a")/2+Juillet!AL13</f>
        <v>1.5</v>
      </c>
      <c r="AM13" s="46"/>
      <c r="AN13" s="47"/>
      <c r="AO13" s="47"/>
      <c r="AP13" s="46"/>
      <c r="AQ13" s="47"/>
      <c r="AR13" s="47"/>
      <c r="AS13" s="47"/>
    </row>
    <row r="14" spans="1:45" s="79" customFormat="1" ht="12.95" customHeight="1" x14ac:dyDescent="0.25">
      <c r="A14" s="48">
        <v>42891</v>
      </c>
      <c r="B14" s="42" t="s">
        <v>16</v>
      </c>
      <c r="C14" s="67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 t="s">
        <v>7</v>
      </c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4">
        <f>COUNTA(Août!$C14:$AG14)</f>
        <v>1</v>
      </c>
      <c r="AI14" s="45">
        <f>(COUNTIFS(Août!$C14:$AG14,("cp")))/2+Juillet!AI14</f>
        <v>0.5</v>
      </c>
      <c r="AJ14" s="45">
        <f>COUNTIFS(Août!$C14:$AG14,"RTT")/2+Juillet!AJ14</f>
        <v>0</v>
      </c>
      <c r="AK14" s="45">
        <f>COUNTIFS(Août!$C14:$AG14,"m")/2+Juillet!AK14</f>
        <v>0</v>
      </c>
      <c r="AL14" s="45">
        <f>COUNTIFS(Août!$C14:$AG14,"a")/2+Juillet!AL14</f>
        <v>1</v>
      </c>
      <c r="AM14" s="46"/>
      <c r="AN14" s="47"/>
      <c r="AO14" s="47"/>
      <c r="AP14" s="46"/>
      <c r="AQ14" s="47"/>
      <c r="AR14" s="47"/>
      <c r="AS14" s="101">
        <v>43014</v>
      </c>
    </row>
    <row r="15" spans="1:45" s="79" customFormat="1" ht="12.95" customHeight="1" x14ac:dyDescent="0.25">
      <c r="A15" s="41"/>
      <c r="B15" s="42"/>
      <c r="C15" s="49" t="str">
        <f t="shared" ref="C15:AG15" si="4">IF(C13&gt;0,C13,IF(C14&gt;0,C14,""))</f>
        <v/>
      </c>
      <c r="D15" s="49" t="str">
        <f t="shared" si="4"/>
        <v/>
      </c>
      <c r="E15" s="49" t="str">
        <f t="shared" si="4"/>
        <v/>
      </c>
      <c r="F15" s="49" t="str">
        <f t="shared" si="4"/>
        <v/>
      </c>
      <c r="G15" s="49" t="str">
        <f t="shared" si="4"/>
        <v/>
      </c>
      <c r="H15" s="49" t="str">
        <f t="shared" si="4"/>
        <v/>
      </c>
      <c r="I15" s="49" t="str">
        <f t="shared" si="4"/>
        <v/>
      </c>
      <c r="J15" s="49" t="str">
        <f t="shared" si="4"/>
        <v/>
      </c>
      <c r="K15" s="49" t="str">
        <f t="shared" si="4"/>
        <v/>
      </c>
      <c r="L15" s="49" t="str">
        <f t="shared" si="4"/>
        <v/>
      </c>
      <c r="M15" s="49" t="str">
        <f t="shared" si="4"/>
        <v/>
      </c>
      <c r="N15" s="49" t="str">
        <f t="shared" si="4"/>
        <v/>
      </c>
      <c r="O15" s="49" t="str">
        <f t="shared" si="4"/>
        <v/>
      </c>
      <c r="P15" s="49" t="str">
        <f t="shared" si="4"/>
        <v>CP</v>
      </c>
      <c r="Q15" s="49" t="str">
        <f t="shared" si="4"/>
        <v/>
      </c>
      <c r="R15" s="49" t="str">
        <f t="shared" si="4"/>
        <v/>
      </c>
      <c r="S15" s="49" t="str">
        <f t="shared" si="4"/>
        <v/>
      </c>
      <c r="T15" s="49" t="str">
        <f t="shared" si="4"/>
        <v/>
      </c>
      <c r="U15" s="49" t="str">
        <f t="shared" si="4"/>
        <v/>
      </c>
      <c r="V15" s="49" t="str">
        <f t="shared" si="4"/>
        <v/>
      </c>
      <c r="W15" s="49" t="str">
        <f t="shared" si="4"/>
        <v/>
      </c>
      <c r="X15" s="49" t="str">
        <f t="shared" si="4"/>
        <v/>
      </c>
      <c r="Y15" s="49" t="str">
        <f t="shared" si="4"/>
        <v/>
      </c>
      <c r="Z15" s="49" t="str">
        <f t="shared" si="4"/>
        <v/>
      </c>
      <c r="AA15" s="49" t="str">
        <f t="shared" si="4"/>
        <v/>
      </c>
      <c r="AB15" s="49" t="str">
        <f t="shared" si="4"/>
        <v/>
      </c>
      <c r="AC15" s="49" t="str">
        <f t="shared" si="4"/>
        <v/>
      </c>
      <c r="AD15" s="49" t="str">
        <f t="shared" si="4"/>
        <v/>
      </c>
      <c r="AE15" s="49" t="str">
        <f t="shared" si="4"/>
        <v/>
      </c>
      <c r="AF15" s="49" t="str">
        <f t="shared" si="4"/>
        <v/>
      </c>
      <c r="AG15" s="49" t="str">
        <f t="shared" si="4"/>
        <v/>
      </c>
      <c r="AH15" s="44">
        <f>SUM(AH13:AH14)</f>
        <v>2</v>
      </c>
      <c r="AI15" s="45">
        <f>SUM(AI13:AI14)</f>
        <v>1</v>
      </c>
      <c r="AJ15" s="45">
        <f>SUM(AJ13:AJ14)</f>
        <v>0</v>
      </c>
      <c r="AK15" s="45">
        <f t="shared" ref="AK15:AL15" si="5">SUM(AK13:AK14)</f>
        <v>0</v>
      </c>
      <c r="AL15" s="45">
        <f t="shared" si="5"/>
        <v>2.5</v>
      </c>
      <c r="AM15" s="50">
        <f>+Juin!AM15</f>
        <v>0</v>
      </c>
      <c r="AN15" s="51">
        <f>IF(A14="","",IF(A14&gt;NomMois,0,IF(A14&lt;$A$3,2.08,(NETWORKDAYS(A14,$A$2)/21.66667)*2.08)))</f>
        <v>2.08</v>
      </c>
      <c r="AO15" s="51">
        <f>IF( AN15="",0,+AN15+Juillet!AO15)</f>
        <v>6.0799997046154299</v>
      </c>
      <c r="AP15" s="50"/>
      <c r="AQ15" s="45">
        <f>+AM15-AI15</f>
        <v>-1</v>
      </c>
      <c r="AR15" s="45">
        <f>+AP15-AJ15</f>
        <v>0</v>
      </c>
      <c r="AS15" s="102">
        <f>+AO15+AQ15</f>
        <v>5.0799997046154299</v>
      </c>
    </row>
    <row r="16" spans="1:45" s="63" customFormat="1" ht="6.75" customHeight="1" x14ac:dyDescent="0.25">
      <c r="A16" s="60"/>
      <c r="B16" s="42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  <c r="N16" s="64"/>
      <c r="O16" s="64"/>
      <c r="P16" s="64"/>
      <c r="Q16" s="64"/>
      <c r="R16" s="64"/>
      <c r="S16" s="64"/>
      <c r="T16" s="64"/>
      <c r="U16" s="64"/>
      <c r="V16" s="64"/>
      <c r="W16" s="64"/>
      <c r="X16" s="64"/>
      <c r="Y16" s="64"/>
      <c r="Z16" s="64"/>
      <c r="AA16" s="64"/>
      <c r="AB16" s="64"/>
      <c r="AC16" s="64"/>
      <c r="AD16" s="64"/>
      <c r="AE16" s="64"/>
      <c r="AF16" s="64"/>
      <c r="AG16" s="64"/>
      <c r="AH16" s="65"/>
      <c r="AI16" s="65"/>
      <c r="AJ16" s="65"/>
      <c r="AK16" s="65"/>
      <c r="AL16" s="65"/>
      <c r="AM16" s="64"/>
      <c r="AN16" s="65"/>
      <c r="AO16" s="65"/>
      <c r="AP16" s="64"/>
      <c r="AQ16" s="65"/>
      <c r="AR16" s="65"/>
      <c r="AS16" s="65"/>
    </row>
    <row r="17" spans="1:45" s="63" customFormat="1" ht="12.95" customHeight="1" x14ac:dyDescent="0.25">
      <c r="A17" s="41"/>
      <c r="B17" s="42" t="s">
        <v>15</v>
      </c>
      <c r="C17" s="67"/>
      <c r="D17" s="67"/>
      <c r="E17" s="67"/>
      <c r="F17" s="67"/>
      <c r="G17" s="67"/>
      <c r="H17" s="67"/>
      <c r="I17" s="67"/>
      <c r="J17" s="67"/>
      <c r="K17" s="67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 t="s">
        <v>7</v>
      </c>
      <c r="X17" s="43" t="s">
        <v>7</v>
      </c>
      <c r="Y17" s="43" t="s">
        <v>7</v>
      </c>
      <c r="Z17" s="43" t="s">
        <v>7</v>
      </c>
      <c r="AA17" s="43" t="s">
        <v>7</v>
      </c>
      <c r="AB17" s="43"/>
      <c r="AC17" s="43"/>
      <c r="AD17" s="43" t="s">
        <v>7</v>
      </c>
      <c r="AE17" s="43" t="s">
        <v>7</v>
      </c>
      <c r="AF17" s="43" t="s">
        <v>7</v>
      </c>
      <c r="AG17" s="43" t="s">
        <v>7</v>
      </c>
      <c r="AH17" s="44">
        <f>COUNTA(Août!$C17:$AG17)</f>
        <v>9</v>
      </c>
      <c r="AI17" s="45">
        <f>(COUNTIFS(Août!$C17:$AG17,("cp")))/2+Juillet!AI17</f>
        <v>4.5</v>
      </c>
      <c r="AJ17" s="45">
        <f>COUNTIFS(Août!$C17:$AG17,"RTT")/2+Juillet!AJ17</f>
        <v>0</v>
      </c>
      <c r="AK17" s="45">
        <f>COUNTIFS(Août!$C17:$AG17,"m")/2+Juillet!AK17</f>
        <v>0</v>
      </c>
      <c r="AL17" s="45">
        <f>COUNTIFS(Août!$C17:$AG17,"a")/2+Juillet!AL17</f>
        <v>0</v>
      </c>
      <c r="AM17" s="46"/>
      <c r="AN17" s="47"/>
      <c r="AO17" s="47"/>
      <c r="AP17" s="46"/>
      <c r="AQ17" s="47"/>
      <c r="AR17" s="47"/>
      <c r="AS17" s="47"/>
    </row>
    <row r="18" spans="1:45" s="63" customFormat="1" ht="12.95" customHeight="1" x14ac:dyDescent="0.25">
      <c r="A18" s="48">
        <v>38923</v>
      </c>
      <c r="B18" s="42" t="s">
        <v>16</v>
      </c>
      <c r="C18" s="67"/>
      <c r="D18" s="67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 t="s">
        <v>7</v>
      </c>
      <c r="X18" s="43" t="s">
        <v>7</v>
      </c>
      <c r="Y18" s="43" t="s">
        <v>7</v>
      </c>
      <c r="Z18" s="43" t="s">
        <v>7</v>
      </c>
      <c r="AA18" s="43" t="s">
        <v>7</v>
      </c>
      <c r="AB18" s="43"/>
      <c r="AC18" s="43"/>
      <c r="AD18" s="43" t="s">
        <v>7</v>
      </c>
      <c r="AE18" s="43" t="s">
        <v>7</v>
      </c>
      <c r="AF18" s="43" t="s">
        <v>7</v>
      </c>
      <c r="AG18" s="43" t="s">
        <v>7</v>
      </c>
      <c r="AH18" s="44">
        <f>COUNTA(Août!$C18:$AG18)</f>
        <v>9</v>
      </c>
      <c r="AI18" s="45">
        <f>(COUNTIFS(Août!$C18:$AG18,("cp")))/2+Juillet!AI18</f>
        <v>4.5</v>
      </c>
      <c r="AJ18" s="45">
        <f>COUNTIFS(Août!$C18:$AG18,"RTT")/2+Juillet!AJ18</f>
        <v>0</v>
      </c>
      <c r="AK18" s="45">
        <f>COUNTIFS(Août!$C18:$AG18,"m")/2+Juillet!AK18</f>
        <v>0</v>
      </c>
      <c r="AL18" s="45">
        <f>COUNTIFS(Août!$C18:$AG18,"a")/2+Juillet!AL18</f>
        <v>0</v>
      </c>
      <c r="AM18" s="46"/>
      <c r="AN18" s="47"/>
      <c r="AO18" s="47"/>
      <c r="AP18" s="46"/>
      <c r="AQ18" s="47"/>
      <c r="AR18" s="47"/>
      <c r="AS18" s="101"/>
    </row>
    <row r="19" spans="1:45" s="63" customFormat="1" ht="12.95" customHeight="1" x14ac:dyDescent="0.25">
      <c r="A19" s="41"/>
      <c r="B19" s="42"/>
      <c r="C19" s="49" t="str">
        <f t="shared" ref="C19:AG19" si="6">IF(C17&gt;0,C17,IF(C18&gt;0,C18,""))</f>
        <v/>
      </c>
      <c r="D19" s="49" t="str">
        <f t="shared" si="6"/>
        <v/>
      </c>
      <c r="E19" s="49" t="str">
        <f t="shared" si="6"/>
        <v/>
      </c>
      <c r="F19" s="49" t="str">
        <f t="shared" si="6"/>
        <v/>
      </c>
      <c r="G19" s="49" t="str">
        <f t="shared" si="6"/>
        <v/>
      </c>
      <c r="H19" s="49" t="str">
        <f t="shared" si="6"/>
        <v/>
      </c>
      <c r="I19" s="49" t="str">
        <f t="shared" si="6"/>
        <v/>
      </c>
      <c r="J19" s="49" t="str">
        <f t="shared" si="6"/>
        <v/>
      </c>
      <c r="K19" s="49" t="str">
        <f t="shared" si="6"/>
        <v/>
      </c>
      <c r="L19" s="49" t="str">
        <f t="shared" si="6"/>
        <v/>
      </c>
      <c r="M19" s="49" t="str">
        <f t="shared" si="6"/>
        <v/>
      </c>
      <c r="N19" s="49" t="str">
        <f t="shared" si="6"/>
        <v/>
      </c>
      <c r="O19" s="49" t="str">
        <f t="shared" si="6"/>
        <v/>
      </c>
      <c r="P19" s="49" t="str">
        <f t="shared" si="6"/>
        <v/>
      </c>
      <c r="Q19" s="49" t="str">
        <f t="shared" si="6"/>
        <v/>
      </c>
      <c r="R19" s="49" t="str">
        <f t="shared" si="6"/>
        <v/>
      </c>
      <c r="S19" s="49" t="str">
        <f t="shared" si="6"/>
        <v/>
      </c>
      <c r="T19" s="49" t="str">
        <f t="shared" si="6"/>
        <v/>
      </c>
      <c r="U19" s="49" t="str">
        <f t="shared" si="6"/>
        <v/>
      </c>
      <c r="V19" s="49" t="str">
        <f t="shared" si="6"/>
        <v/>
      </c>
      <c r="W19" s="49" t="str">
        <f t="shared" si="6"/>
        <v>CP</v>
      </c>
      <c r="X19" s="49" t="str">
        <f t="shared" si="6"/>
        <v>CP</v>
      </c>
      <c r="Y19" s="49" t="str">
        <f t="shared" si="6"/>
        <v>CP</v>
      </c>
      <c r="Z19" s="49" t="str">
        <f t="shared" si="6"/>
        <v>CP</v>
      </c>
      <c r="AA19" s="49" t="str">
        <f t="shared" si="6"/>
        <v>CP</v>
      </c>
      <c r="AB19" s="49" t="str">
        <f t="shared" si="6"/>
        <v/>
      </c>
      <c r="AC19" s="49" t="str">
        <f t="shared" si="6"/>
        <v/>
      </c>
      <c r="AD19" s="49" t="str">
        <f t="shared" si="6"/>
        <v>CP</v>
      </c>
      <c r="AE19" s="49" t="str">
        <f t="shared" si="6"/>
        <v>CP</v>
      </c>
      <c r="AF19" s="49" t="str">
        <f t="shared" si="6"/>
        <v>CP</v>
      </c>
      <c r="AG19" s="49" t="str">
        <f t="shared" si="6"/>
        <v>CP</v>
      </c>
      <c r="AH19" s="44">
        <f>SUM(AH17:AH18)</f>
        <v>18</v>
      </c>
      <c r="AI19" s="45">
        <f>SUM(AI17:AI18)</f>
        <v>9</v>
      </c>
      <c r="AJ19" s="45">
        <f>SUM(AJ17:AJ18)</f>
        <v>0</v>
      </c>
      <c r="AK19" s="45">
        <f t="shared" ref="AK19:AL19" si="7">SUM(AK17:AK18)</f>
        <v>0</v>
      </c>
      <c r="AL19" s="45">
        <f t="shared" si="7"/>
        <v>0</v>
      </c>
      <c r="AM19" s="50">
        <f>+Juin!AM19</f>
        <v>24.54</v>
      </c>
      <c r="AN19" s="51">
        <f>IF(A18="","",IF(A18&gt;NomMois,0,IF(A18&lt;$A$3,2.08,(NETWORKDAYS(A18,$A$2)/21.66667)*2.08)))</f>
        <v>2.08</v>
      </c>
      <c r="AO19" s="51">
        <f>IF( AN19="",0,+AN19+Juillet!AO19)</f>
        <v>6.24</v>
      </c>
      <c r="AP19" s="50"/>
      <c r="AQ19" s="45">
        <f>+AM19-AI19</f>
        <v>15.54</v>
      </c>
      <c r="AR19" s="45">
        <f>+AP19-AJ19</f>
        <v>0</v>
      </c>
      <c r="AS19" s="102">
        <f t="shared" ref="AS19" si="8">+AO19+AQ19</f>
        <v>21.78</v>
      </c>
    </row>
    <row r="20" spans="1:45" s="63" customFormat="1" ht="6.75" customHeight="1" x14ac:dyDescent="0.25">
      <c r="A20" s="60"/>
      <c r="B20" s="53"/>
      <c r="C20" s="60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0"/>
      <c r="AG20" s="60"/>
      <c r="AH20" s="61"/>
      <c r="AI20" s="61"/>
      <c r="AJ20" s="61"/>
      <c r="AK20" s="61"/>
      <c r="AL20" s="61"/>
      <c r="AM20" s="60"/>
      <c r="AN20" s="61"/>
      <c r="AO20" s="61"/>
      <c r="AP20" s="60"/>
      <c r="AQ20" s="61"/>
      <c r="AR20" s="61"/>
      <c r="AS20" s="65"/>
    </row>
    <row r="21" spans="1:45" s="63" customFormat="1" ht="12.95" customHeight="1" x14ac:dyDescent="0.25">
      <c r="A21" s="41"/>
      <c r="B21" s="42" t="s">
        <v>15</v>
      </c>
      <c r="C21" s="67"/>
      <c r="D21" s="67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43"/>
      <c r="AC21" s="43"/>
      <c r="AD21" s="43"/>
      <c r="AE21" s="43"/>
      <c r="AF21" s="43"/>
      <c r="AG21" s="43"/>
      <c r="AH21" s="44">
        <f>COUNTA(Août!$C21:$AG21)</f>
        <v>0</v>
      </c>
      <c r="AI21" s="45">
        <f>(COUNTIFS(Août!$C21:$AG21,("cp")))/2+Juillet!AI21</f>
        <v>1</v>
      </c>
      <c r="AJ21" s="45">
        <f>COUNTIFS(Août!$C21:$AG21,"RTT")/2+Juillet!AJ21</f>
        <v>0</v>
      </c>
      <c r="AK21" s="45">
        <f>COUNTIFS(Août!$C21:$AG21,"m")/2+Juillet!AK21</f>
        <v>0</v>
      </c>
      <c r="AL21" s="45">
        <f>COUNTIFS(Août!$C21:$AG21,"a")/2+Juillet!AL21</f>
        <v>0</v>
      </c>
      <c r="AM21" s="46"/>
      <c r="AN21" s="47"/>
      <c r="AO21" s="47"/>
      <c r="AP21" s="46"/>
      <c r="AQ21" s="47"/>
      <c r="AR21" s="47"/>
      <c r="AS21" s="47"/>
    </row>
    <row r="22" spans="1:45" s="63" customFormat="1" ht="12.95" customHeight="1" x14ac:dyDescent="0.25">
      <c r="A22" s="48">
        <v>41824</v>
      </c>
      <c r="B22" s="42" t="s">
        <v>16</v>
      </c>
      <c r="C22" s="67"/>
      <c r="D22" s="67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43"/>
      <c r="AC22" s="43"/>
      <c r="AD22" s="43"/>
      <c r="AE22" s="43"/>
      <c r="AF22" s="43"/>
      <c r="AG22" s="43"/>
      <c r="AH22" s="44">
        <f>COUNTA(Août!$C22:$AG22)</f>
        <v>0</v>
      </c>
      <c r="AI22" s="45">
        <f>(COUNTIFS(Août!$C22:$AG22,("cp")))/2+Juillet!AI22</f>
        <v>1</v>
      </c>
      <c r="AJ22" s="45">
        <f>COUNTIFS(Août!$C22:$AG22,"RTT")/2+Juillet!AJ22</f>
        <v>0</v>
      </c>
      <c r="AK22" s="45">
        <f>COUNTIFS(Août!$C22:$AG22,"m")/2+Juillet!AK22</f>
        <v>0</v>
      </c>
      <c r="AL22" s="45">
        <f>COUNTIFS(Août!$C22:$AG22,"a")/2+Juillet!AL22</f>
        <v>0</v>
      </c>
      <c r="AM22" s="46"/>
      <c r="AN22" s="47"/>
      <c r="AO22" s="47"/>
      <c r="AP22" s="46"/>
      <c r="AQ22" s="47"/>
      <c r="AR22" s="47"/>
      <c r="AS22" s="101"/>
    </row>
    <row r="23" spans="1:45" s="63" customFormat="1" ht="12.95" customHeight="1" x14ac:dyDescent="0.25">
      <c r="A23" s="41"/>
      <c r="B23" s="42"/>
      <c r="C23" s="49" t="str">
        <f t="shared" ref="C23:AG23" si="9">IF(C21&gt;0,C21,IF(C22&gt;0,C22,""))</f>
        <v/>
      </c>
      <c r="D23" s="49" t="str">
        <f t="shared" si="9"/>
        <v/>
      </c>
      <c r="E23" s="49" t="str">
        <f t="shared" si="9"/>
        <v/>
      </c>
      <c r="F23" s="49" t="str">
        <f t="shared" si="9"/>
        <v/>
      </c>
      <c r="G23" s="49" t="str">
        <f t="shared" si="9"/>
        <v/>
      </c>
      <c r="H23" s="49" t="str">
        <f t="shared" si="9"/>
        <v/>
      </c>
      <c r="I23" s="49" t="str">
        <f t="shared" si="9"/>
        <v/>
      </c>
      <c r="J23" s="49" t="str">
        <f t="shared" si="9"/>
        <v/>
      </c>
      <c r="K23" s="49" t="str">
        <f t="shared" si="9"/>
        <v/>
      </c>
      <c r="L23" s="49" t="str">
        <f t="shared" si="9"/>
        <v/>
      </c>
      <c r="M23" s="49" t="str">
        <f t="shared" si="9"/>
        <v/>
      </c>
      <c r="N23" s="49" t="str">
        <f t="shared" si="9"/>
        <v/>
      </c>
      <c r="O23" s="49" t="str">
        <f t="shared" si="9"/>
        <v/>
      </c>
      <c r="P23" s="49" t="str">
        <f t="shared" si="9"/>
        <v/>
      </c>
      <c r="Q23" s="49" t="str">
        <f t="shared" si="9"/>
        <v/>
      </c>
      <c r="R23" s="49" t="str">
        <f t="shared" si="9"/>
        <v/>
      </c>
      <c r="S23" s="49" t="str">
        <f t="shared" si="9"/>
        <v/>
      </c>
      <c r="T23" s="49" t="str">
        <f t="shared" si="9"/>
        <v/>
      </c>
      <c r="U23" s="49" t="str">
        <f t="shared" si="9"/>
        <v/>
      </c>
      <c r="V23" s="49" t="str">
        <f t="shared" si="9"/>
        <v/>
      </c>
      <c r="W23" s="49" t="str">
        <f t="shared" si="9"/>
        <v/>
      </c>
      <c r="X23" s="49" t="str">
        <f t="shared" si="9"/>
        <v/>
      </c>
      <c r="Y23" s="49" t="str">
        <f t="shared" si="9"/>
        <v/>
      </c>
      <c r="Z23" s="49" t="str">
        <f t="shared" si="9"/>
        <v/>
      </c>
      <c r="AA23" s="49" t="str">
        <f t="shared" si="9"/>
        <v/>
      </c>
      <c r="AB23" s="49" t="str">
        <f t="shared" si="9"/>
        <v/>
      </c>
      <c r="AC23" s="49" t="str">
        <f t="shared" si="9"/>
        <v/>
      </c>
      <c r="AD23" s="49" t="str">
        <f t="shared" si="9"/>
        <v/>
      </c>
      <c r="AE23" s="49" t="str">
        <f t="shared" si="9"/>
        <v/>
      </c>
      <c r="AF23" s="49" t="str">
        <f t="shared" si="9"/>
        <v/>
      </c>
      <c r="AG23" s="49" t="str">
        <f t="shared" si="9"/>
        <v/>
      </c>
      <c r="AH23" s="44">
        <f>SUM(AH21:AH22)</f>
        <v>0</v>
      </c>
      <c r="AI23" s="45">
        <f>SUM(AI21:AI22)</f>
        <v>2</v>
      </c>
      <c r="AJ23" s="45">
        <f>SUM(AJ21:AJ22)</f>
        <v>0</v>
      </c>
      <c r="AK23" s="45">
        <f t="shared" ref="AK23:AL23" si="10">SUM(AK21:AK22)</f>
        <v>0</v>
      </c>
      <c r="AL23" s="45">
        <f t="shared" si="10"/>
        <v>0</v>
      </c>
      <c r="AM23" s="50">
        <f>+Juin!AM23</f>
        <v>11.23</v>
      </c>
      <c r="AN23" s="51">
        <f>IF(A22="","",IF(A22&gt;NomMois,0,IF(A22&lt;$A$3,2.08,(NETWORKDAYS(A22,$A$2)/21.66667)*2.08)))</f>
        <v>2.08</v>
      </c>
      <c r="AO23" s="51">
        <f>IF( AN23="",0,+AN23+Juillet!AO23)</f>
        <v>6.24</v>
      </c>
      <c r="AP23" s="50"/>
      <c r="AQ23" s="45">
        <f>+AM23-AI23</f>
        <v>9.23</v>
      </c>
      <c r="AR23" s="45">
        <f>+AP23-AJ23</f>
        <v>0</v>
      </c>
      <c r="AS23" s="102">
        <f t="shared" ref="AS23" si="11">+AO23+AQ23</f>
        <v>15.47</v>
      </c>
    </row>
    <row r="24" spans="1:45" s="63" customFormat="1" ht="6.75" customHeight="1" x14ac:dyDescent="0.25">
      <c r="A24" s="60"/>
      <c r="B24" s="53"/>
      <c r="C24" s="60"/>
      <c r="D24" s="60"/>
      <c r="E24" s="60"/>
      <c r="F24" s="60"/>
      <c r="G24" s="60"/>
      <c r="H24" s="60"/>
      <c r="I24" s="60"/>
      <c r="J24" s="60"/>
      <c r="K24" s="60"/>
      <c r="L24" s="60"/>
      <c r="M24" s="60"/>
      <c r="N24" s="60"/>
      <c r="O24" s="60"/>
      <c r="P24" s="60"/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60"/>
      <c r="AD24" s="60"/>
      <c r="AE24" s="60"/>
      <c r="AF24" s="60"/>
      <c r="AG24" s="60"/>
      <c r="AH24" s="61"/>
      <c r="AI24" s="61"/>
      <c r="AJ24" s="61"/>
      <c r="AK24" s="61"/>
      <c r="AL24" s="61"/>
      <c r="AM24" s="60"/>
      <c r="AN24" s="61"/>
      <c r="AO24" s="61"/>
      <c r="AP24" s="60"/>
      <c r="AQ24" s="61"/>
      <c r="AR24" s="61"/>
      <c r="AS24" s="65"/>
    </row>
    <row r="25" spans="1:45" s="63" customFormat="1" ht="12.95" customHeight="1" x14ac:dyDescent="0.25">
      <c r="A25" s="41"/>
      <c r="B25" s="42" t="s">
        <v>15</v>
      </c>
      <c r="C25" s="67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43" t="s">
        <v>7</v>
      </c>
      <c r="W25" s="43" t="s">
        <v>7</v>
      </c>
      <c r="X25" s="43" t="s">
        <v>7</v>
      </c>
      <c r="Y25" s="43" t="s">
        <v>7</v>
      </c>
      <c r="Z25" s="43" t="s">
        <v>7</v>
      </c>
      <c r="AA25" s="43"/>
      <c r="AB25" s="43"/>
      <c r="AC25" s="43"/>
      <c r="AD25" s="43"/>
      <c r="AE25" s="43"/>
      <c r="AF25" s="43"/>
      <c r="AG25" s="43"/>
      <c r="AH25" s="44">
        <f>COUNTA(Août!$C25:$AG25)</f>
        <v>5</v>
      </c>
      <c r="AI25" s="45">
        <f>(COUNTIFS(Août!$C25:$AG25,("cp")))/2+Juillet!AI25</f>
        <v>3.5</v>
      </c>
      <c r="AJ25" s="45">
        <f>COUNTIFS(Août!$C25:$AG25,"RTT")/2+Juillet!AJ25</f>
        <v>0</v>
      </c>
      <c r="AK25" s="45">
        <f>COUNTIFS(Août!$C25:$AG25,"m")/2+Juillet!AK25</f>
        <v>0</v>
      </c>
      <c r="AL25" s="45">
        <f>COUNTIFS(Août!$C25:$AG25,"a")/2+Juillet!AL25</f>
        <v>0</v>
      </c>
      <c r="AM25" s="46"/>
      <c r="AN25" s="47"/>
      <c r="AO25" s="47"/>
      <c r="AP25" s="46"/>
      <c r="AQ25" s="47"/>
      <c r="AR25" s="47"/>
      <c r="AS25" s="47"/>
    </row>
    <row r="26" spans="1:45" s="63" customFormat="1" ht="12.95" customHeight="1" x14ac:dyDescent="0.25">
      <c r="A26" s="48">
        <v>38626</v>
      </c>
      <c r="B26" s="42" t="s">
        <v>16</v>
      </c>
      <c r="C26" s="67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 t="s">
        <v>7</v>
      </c>
      <c r="W26" s="43" t="s">
        <v>7</v>
      </c>
      <c r="X26" s="43" t="s">
        <v>7</v>
      </c>
      <c r="Y26" s="43" t="s">
        <v>7</v>
      </c>
      <c r="Z26" s="43" t="s">
        <v>7</v>
      </c>
      <c r="AA26" s="43"/>
      <c r="AB26" s="43"/>
      <c r="AC26" s="43"/>
      <c r="AD26" s="43"/>
      <c r="AE26" s="43"/>
      <c r="AF26" s="43"/>
      <c r="AG26" s="43"/>
      <c r="AH26" s="44">
        <f>COUNTA(Août!$C26:$AG26)</f>
        <v>5</v>
      </c>
      <c r="AI26" s="45">
        <f>(COUNTIFS(Août!$C26:$AG26,("cp")))/2+Juillet!AI26</f>
        <v>3.5</v>
      </c>
      <c r="AJ26" s="45">
        <f>COUNTIFS(Août!$C26:$AG26,"RTT")/2+Juillet!AJ26</f>
        <v>0</v>
      </c>
      <c r="AK26" s="45">
        <f>COUNTIFS(Août!$C26:$AG26,"m")/2+Juillet!AK26</f>
        <v>0</v>
      </c>
      <c r="AL26" s="45">
        <f>COUNTIFS(Août!$C26:$AG26,"a")/2+Juillet!AL26</f>
        <v>0</v>
      </c>
      <c r="AM26" s="46"/>
      <c r="AN26" s="47"/>
      <c r="AO26" s="47"/>
      <c r="AP26" s="46"/>
      <c r="AQ26" s="47"/>
      <c r="AR26" s="47"/>
      <c r="AS26" s="101"/>
    </row>
    <row r="27" spans="1:45" s="63" customFormat="1" ht="12.95" customHeight="1" x14ac:dyDescent="0.25">
      <c r="A27" s="41"/>
      <c r="B27" s="42"/>
      <c r="C27" s="49" t="str">
        <f t="shared" ref="C27:AG27" si="12">IF(C25&gt;0,C25,IF(C26&gt;0,C26,""))</f>
        <v/>
      </c>
      <c r="D27" s="49" t="str">
        <f t="shared" si="12"/>
        <v/>
      </c>
      <c r="E27" s="49" t="str">
        <f t="shared" si="12"/>
        <v/>
      </c>
      <c r="F27" s="49" t="str">
        <f t="shared" si="12"/>
        <v/>
      </c>
      <c r="G27" s="49" t="str">
        <f t="shared" si="12"/>
        <v/>
      </c>
      <c r="H27" s="49" t="str">
        <f t="shared" si="12"/>
        <v/>
      </c>
      <c r="I27" s="49" t="str">
        <f t="shared" si="12"/>
        <v/>
      </c>
      <c r="J27" s="49" t="str">
        <f t="shared" si="12"/>
        <v/>
      </c>
      <c r="K27" s="49" t="str">
        <f t="shared" si="12"/>
        <v/>
      </c>
      <c r="L27" s="49" t="str">
        <f t="shared" si="12"/>
        <v/>
      </c>
      <c r="M27" s="49" t="str">
        <f t="shared" si="12"/>
        <v/>
      </c>
      <c r="N27" s="49" t="str">
        <f t="shared" si="12"/>
        <v/>
      </c>
      <c r="O27" s="49" t="str">
        <f t="shared" si="12"/>
        <v/>
      </c>
      <c r="P27" s="49" t="str">
        <f t="shared" si="12"/>
        <v/>
      </c>
      <c r="Q27" s="49" t="str">
        <f t="shared" si="12"/>
        <v/>
      </c>
      <c r="R27" s="49" t="str">
        <f t="shared" si="12"/>
        <v/>
      </c>
      <c r="S27" s="49" t="str">
        <f t="shared" si="12"/>
        <v/>
      </c>
      <c r="T27" s="49" t="str">
        <f t="shared" si="12"/>
        <v/>
      </c>
      <c r="U27" s="49" t="str">
        <f t="shared" si="12"/>
        <v/>
      </c>
      <c r="V27" s="49" t="str">
        <f t="shared" si="12"/>
        <v>CP</v>
      </c>
      <c r="W27" s="49" t="str">
        <f t="shared" si="12"/>
        <v>CP</v>
      </c>
      <c r="X27" s="49" t="str">
        <f t="shared" si="12"/>
        <v>CP</v>
      </c>
      <c r="Y27" s="49" t="str">
        <f t="shared" si="12"/>
        <v>CP</v>
      </c>
      <c r="Z27" s="49" t="str">
        <f t="shared" si="12"/>
        <v>CP</v>
      </c>
      <c r="AA27" s="49" t="str">
        <f t="shared" si="12"/>
        <v/>
      </c>
      <c r="AB27" s="49" t="str">
        <f t="shared" si="12"/>
        <v/>
      </c>
      <c r="AC27" s="49" t="str">
        <f t="shared" si="12"/>
        <v/>
      </c>
      <c r="AD27" s="49" t="str">
        <f t="shared" si="12"/>
        <v/>
      </c>
      <c r="AE27" s="49" t="str">
        <f t="shared" si="12"/>
        <v/>
      </c>
      <c r="AF27" s="49" t="str">
        <f t="shared" si="12"/>
        <v/>
      </c>
      <c r="AG27" s="49" t="str">
        <f t="shared" si="12"/>
        <v/>
      </c>
      <c r="AH27" s="44">
        <f>SUM(AH25:AH26)</f>
        <v>10</v>
      </c>
      <c r="AI27" s="45">
        <f>SUM(AI25:AI26)</f>
        <v>7</v>
      </c>
      <c r="AJ27" s="45">
        <f>SUM(AJ25:AJ26)</f>
        <v>0</v>
      </c>
      <c r="AK27" s="45">
        <f t="shared" ref="AK27:AL27" si="13">SUM(AK25:AK26)</f>
        <v>0</v>
      </c>
      <c r="AL27" s="45">
        <f t="shared" si="13"/>
        <v>0</v>
      </c>
      <c r="AM27" s="50">
        <f>+Juin!AM27</f>
        <v>28.7</v>
      </c>
      <c r="AN27" s="51">
        <f>IF(A26="","",IF(A26&gt;NomMois,0,IF(A26&lt;$A$3,2.08,(NETWORKDAYS(A26,$A$2)/21.66667)*2.08)))</f>
        <v>2.08</v>
      </c>
      <c r="AO27" s="51">
        <f>IF( AN27="",0,+AN27+Juillet!AO27)</f>
        <v>6.24</v>
      </c>
      <c r="AP27" s="50"/>
      <c r="AQ27" s="45">
        <f>+AM27-AI27</f>
        <v>21.7</v>
      </c>
      <c r="AR27" s="45">
        <f>+AP27-AJ27</f>
        <v>0</v>
      </c>
      <c r="AS27" s="102">
        <f t="shared" ref="AS27" si="14">+AO27+AQ27</f>
        <v>27.939999999999998</v>
      </c>
    </row>
    <row r="28" spans="1:45" s="63" customFormat="1" ht="6.75" customHeight="1" x14ac:dyDescent="0.25">
      <c r="A28" s="60"/>
      <c r="B28" s="53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1"/>
      <c r="AI28" s="61"/>
      <c r="AJ28" s="61"/>
      <c r="AK28" s="61"/>
      <c r="AL28" s="61"/>
      <c r="AM28" s="60"/>
      <c r="AN28" s="61" t="str">
        <f>IF(A27="","",IF(A27&gt;NomMois,0,IF(A27&lt;$A$3,2.08,(NETWORKDAYS(A27,$A$2)/21.66667)*2.08)))</f>
        <v/>
      </c>
      <c r="AO28" s="61">
        <f>IF( AN28="",0,+AN28+Juillet!AO28)</f>
        <v>0</v>
      </c>
      <c r="AP28" s="60"/>
      <c r="AQ28" s="61"/>
      <c r="AR28" s="61"/>
      <c r="AS28" s="65"/>
    </row>
    <row r="29" spans="1:45" s="63" customFormat="1" ht="12.95" customHeight="1" x14ac:dyDescent="0.25">
      <c r="A29" s="41"/>
      <c r="B29" s="42" t="s">
        <v>15</v>
      </c>
      <c r="C29" s="67"/>
      <c r="D29" s="43"/>
      <c r="E29" s="43"/>
      <c r="F29" s="43"/>
      <c r="G29" s="43"/>
      <c r="H29" s="43"/>
      <c r="I29" s="43" t="s">
        <v>7</v>
      </c>
      <c r="J29" s="43" t="s">
        <v>7</v>
      </c>
      <c r="K29" s="43" t="s">
        <v>7</v>
      </c>
      <c r="L29" s="43" t="s">
        <v>7</v>
      </c>
      <c r="M29" s="43" t="s">
        <v>7</v>
      </c>
      <c r="N29" s="43"/>
      <c r="O29" s="43"/>
      <c r="P29" s="43" t="s">
        <v>7</v>
      </c>
      <c r="Q29" s="43"/>
      <c r="R29" s="43" t="s">
        <v>7</v>
      </c>
      <c r="S29" s="43" t="s">
        <v>7</v>
      </c>
      <c r="T29" s="43" t="s">
        <v>7</v>
      </c>
      <c r="U29" s="43"/>
      <c r="V29" s="43"/>
      <c r="W29" s="43" t="s">
        <v>7</v>
      </c>
      <c r="X29" s="43" t="s">
        <v>7</v>
      </c>
      <c r="Y29" s="43" t="s">
        <v>7</v>
      </c>
      <c r="Z29" s="43" t="s">
        <v>7</v>
      </c>
      <c r="AA29" s="43" t="s">
        <v>7</v>
      </c>
      <c r="AB29" s="43"/>
      <c r="AC29" s="43"/>
      <c r="AD29" s="43" t="s">
        <v>7</v>
      </c>
      <c r="AE29" s="43"/>
      <c r="AF29" s="43"/>
      <c r="AG29" s="43"/>
      <c r="AH29" s="44">
        <f>COUNTA(Août!$C29:$AG29)</f>
        <v>15</v>
      </c>
      <c r="AI29" s="45">
        <f>(COUNTIFS(Août!$C29:$AG29,("cp")))/2+Juillet!AI29</f>
        <v>7.5</v>
      </c>
      <c r="AJ29" s="45">
        <f>COUNTIFS(Août!$C29:$AG29,"RTT")/2+Juillet!AJ29</f>
        <v>0</v>
      </c>
      <c r="AK29" s="45">
        <f>COUNTIFS(Août!$C29:$AG29,"m")/2+Juillet!AK29</f>
        <v>0</v>
      </c>
      <c r="AL29" s="45">
        <f>COUNTIFS(Août!$C29:$AG29,"a")/2+Juillet!AL29</f>
        <v>0</v>
      </c>
      <c r="AM29" s="46"/>
      <c r="AN29" s="47"/>
      <c r="AO29" s="47"/>
      <c r="AP29" s="46"/>
      <c r="AQ29" s="47"/>
      <c r="AR29" s="47"/>
      <c r="AS29" s="47"/>
    </row>
    <row r="30" spans="1:45" s="63" customFormat="1" ht="12.95" customHeight="1" x14ac:dyDescent="0.25">
      <c r="A30" s="48">
        <v>36892</v>
      </c>
      <c r="B30" s="42" t="s">
        <v>16</v>
      </c>
      <c r="C30" s="67"/>
      <c r="D30" s="43"/>
      <c r="E30" s="43"/>
      <c r="F30" s="43" t="s">
        <v>7</v>
      </c>
      <c r="G30" s="43"/>
      <c r="H30" s="43"/>
      <c r="I30" s="43" t="s">
        <v>7</v>
      </c>
      <c r="J30" s="43" t="s">
        <v>7</v>
      </c>
      <c r="K30" s="43" t="s">
        <v>7</v>
      </c>
      <c r="L30" s="43" t="s">
        <v>7</v>
      </c>
      <c r="M30" s="43" t="s">
        <v>7</v>
      </c>
      <c r="N30" s="43"/>
      <c r="O30" s="43"/>
      <c r="P30" s="43" t="s">
        <v>7</v>
      </c>
      <c r="Q30" s="43"/>
      <c r="R30" s="43" t="s">
        <v>7</v>
      </c>
      <c r="S30" s="43" t="s">
        <v>7</v>
      </c>
      <c r="T30" s="43" t="s">
        <v>7</v>
      </c>
      <c r="U30" s="43"/>
      <c r="V30" s="43"/>
      <c r="W30" s="43" t="s">
        <v>7</v>
      </c>
      <c r="X30" s="43" t="s">
        <v>7</v>
      </c>
      <c r="Y30" s="43" t="s">
        <v>7</v>
      </c>
      <c r="Z30" s="43" t="s">
        <v>7</v>
      </c>
      <c r="AA30" s="43" t="s">
        <v>7</v>
      </c>
      <c r="AB30" s="43"/>
      <c r="AC30" s="43"/>
      <c r="AD30" s="43" t="s">
        <v>7</v>
      </c>
      <c r="AE30" s="43"/>
      <c r="AF30" s="43"/>
      <c r="AG30" s="43"/>
      <c r="AH30" s="44">
        <f>COUNTA(Août!$C30:$AG30)</f>
        <v>16</v>
      </c>
      <c r="AI30" s="45">
        <f>(COUNTIFS(Août!$C30:$AG30,("cp")))/2+Juillet!AI30</f>
        <v>8</v>
      </c>
      <c r="AJ30" s="45">
        <f>COUNTIFS(Août!$C30:$AG30,"RTT")/2+Juillet!AJ30</f>
        <v>0</v>
      </c>
      <c r="AK30" s="45">
        <f>COUNTIFS(Août!$C30:$AG30,"m")/2+Juillet!AK30</f>
        <v>0</v>
      </c>
      <c r="AL30" s="45">
        <f>COUNTIFS(Août!$C30:$AG30,"a")/2+Juillet!AL30</f>
        <v>0</v>
      </c>
      <c r="AM30" s="46"/>
      <c r="AN30" s="47"/>
      <c r="AO30" s="47"/>
      <c r="AP30" s="46"/>
      <c r="AQ30" s="47"/>
      <c r="AR30" s="47"/>
      <c r="AS30" s="101"/>
    </row>
    <row r="31" spans="1:45" s="63" customFormat="1" ht="12.95" customHeight="1" x14ac:dyDescent="0.25">
      <c r="A31" s="41"/>
      <c r="B31" s="42"/>
      <c r="C31" s="49" t="str">
        <f t="shared" ref="C31:AG31" si="15">IF(C29&gt;0,C29,IF(C30&gt;0,C30,""))</f>
        <v/>
      </c>
      <c r="D31" s="49" t="str">
        <f t="shared" si="15"/>
        <v/>
      </c>
      <c r="E31" s="49" t="str">
        <f t="shared" si="15"/>
        <v/>
      </c>
      <c r="F31" s="49" t="str">
        <f t="shared" si="15"/>
        <v>CP</v>
      </c>
      <c r="G31" s="49" t="str">
        <f t="shared" si="15"/>
        <v/>
      </c>
      <c r="H31" s="49" t="str">
        <f t="shared" si="15"/>
        <v/>
      </c>
      <c r="I31" s="49" t="str">
        <f t="shared" si="15"/>
        <v>CP</v>
      </c>
      <c r="J31" s="49" t="str">
        <f t="shared" si="15"/>
        <v>CP</v>
      </c>
      <c r="K31" s="49" t="str">
        <f t="shared" si="15"/>
        <v>CP</v>
      </c>
      <c r="L31" s="49" t="str">
        <f t="shared" si="15"/>
        <v>CP</v>
      </c>
      <c r="M31" s="49" t="str">
        <f t="shared" si="15"/>
        <v>CP</v>
      </c>
      <c r="N31" s="49" t="str">
        <f t="shared" si="15"/>
        <v/>
      </c>
      <c r="O31" s="49" t="str">
        <f t="shared" si="15"/>
        <v/>
      </c>
      <c r="P31" s="49" t="str">
        <f t="shared" si="15"/>
        <v>CP</v>
      </c>
      <c r="Q31" s="49" t="str">
        <f t="shared" si="15"/>
        <v/>
      </c>
      <c r="R31" s="49" t="str">
        <f t="shared" si="15"/>
        <v>CP</v>
      </c>
      <c r="S31" s="49" t="str">
        <f t="shared" si="15"/>
        <v>CP</v>
      </c>
      <c r="T31" s="49" t="str">
        <f t="shared" si="15"/>
        <v>CP</v>
      </c>
      <c r="U31" s="49" t="str">
        <f t="shared" si="15"/>
        <v/>
      </c>
      <c r="V31" s="49" t="str">
        <f t="shared" si="15"/>
        <v/>
      </c>
      <c r="W31" s="49" t="str">
        <f t="shared" si="15"/>
        <v>CP</v>
      </c>
      <c r="X31" s="49" t="str">
        <f t="shared" si="15"/>
        <v>CP</v>
      </c>
      <c r="Y31" s="49" t="str">
        <f t="shared" si="15"/>
        <v>CP</v>
      </c>
      <c r="Z31" s="49" t="str">
        <f t="shared" si="15"/>
        <v>CP</v>
      </c>
      <c r="AA31" s="49" t="str">
        <f t="shared" si="15"/>
        <v>CP</v>
      </c>
      <c r="AB31" s="49" t="str">
        <f t="shared" si="15"/>
        <v/>
      </c>
      <c r="AC31" s="49" t="str">
        <f t="shared" si="15"/>
        <v/>
      </c>
      <c r="AD31" s="49" t="str">
        <f t="shared" si="15"/>
        <v>CP</v>
      </c>
      <c r="AE31" s="49" t="str">
        <f t="shared" si="15"/>
        <v/>
      </c>
      <c r="AF31" s="49" t="str">
        <f t="shared" si="15"/>
        <v/>
      </c>
      <c r="AG31" s="49" t="str">
        <f t="shared" si="15"/>
        <v/>
      </c>
      <c r="AH31" s="44">
        <f>SUM(AH29:AH30)</f>
        <v>31</v>
      </c>
      <c r="AI31" s="45">
        <f>SUM(AI29:AI30)</f>
        <v>15.5</v>
      </c>
      <c r="AJ31" s="45">
        <f>SUM(AJ29:AJ30)</f>
        <v>0</v>
      </c>
      <c r="AK31" s="45">
        <f t="shared" ref="AK31:AL31" si="16">SUM(AK29:AK30)</f>
        <v>0</v>
      </c>
      <c r="AL31" s="45">
        <f t="shared" si="16"/>
        <v>0</v>
      </c>
      <c r="AM31" s="50">
        <f>+Juin!AM31</f>
        <v>30.37</v>
      </c>
      <c r="AN31" s="51">
        <f>IF(A30="","",IF(A30&gt;NomMois,0,IF(A30&lt;$A$3,2.08,(NETWORKDAYS(A30,$A$2)/21.66667)*2.08)))</f>
        <v>2.08</v>
      </c>
      <c r="AO31" s="51">
        <f>IF( AN31="",0,+AN31+Juillet!AO31)</f>
        <v>6.24</v>
      </c>
      <c r="AP31" s="50"/>
      <c r="AQ31" s="45">
        <f>+AM31-AI31</f>
        <v>14.870000000000001</v>
      </c>
      <c r="AR31" s="45">
        <f>+AP31-AJ31</f>
        <v>0</v>
      </c>
      <c r="AS31" s="102">
        <f t="shared" ref="AS31:AS91" si="17">+AO31+AQ31</f>
        <v>21.11</v>
      </c>
    </row>
    <row r="32" spans="1:45" s="63" customFormat="1" ht="6.75" customHeight="1" x14ac:dyDescent="0.25">
      <c r="A32" s="60"/>
      <c r="B32" s="53"/>
      <c r="C32" s="60"/>
      <c r="D32" s="60"/>
      <c r="E32" s="60"/>
      <c r="F32" s="60"/>
      <c r="G32" s="60"/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1"/>
      <c r="AI32" s="61"/>
      <c r="AJ32" s="61"/>
      <c r="AK32" s="61"/>
      <c r="AL32" s="61"/>
      <c r="AM32" s="60"/>
      <c r="AN32" s="61"/>
      <c r="AO32" s="61"/>
      <c r="AP32" s="60"/>
      <c r="AQ32" s="69"/>
      <c r="AR32" s="69"/>
      <c r="AS32" s="65"/>
    </row>
    <row r="33" spans="1:45" s="63" customFormat="1" ht="12.95" customHeight="1" x14ac:dyDescent="0.25">
      <c r="A33" s="41"/>
      <c r="B33" s="42" t="s">
        <v>15</v>
      </c>
      <c r="C33" s="67" t="s">
        <v>7</v>
      </c>
      <c r="D33" s="43" t="s">
        <v>7</v>
      </c>
      <c r="E33" s="43" t="s">
        <v>7</v>
      </c>
      <c r="F33" s="43" t="s">
        <v>7</v>
      </c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4">
        <f>COUNTA(Août!$C33:$AG33)</f>
        <v>4</v>
      </c>
      <c r="AI33" s="45">
        <f>(COUNTIFS(Août!$C33:$AG33,("cp")))/2+Juillet!AI33</f>
        <v>8</v>
      </c>
      <c r="AJ33" s="45">
        <f>COUNTIFS(Août!$C33:$AG33,"RTT")/2+Juillet!AJ33</f>
        <v>0</v>
      </c>
      <c r="AK33" s="45">
        <f>COUNTIFS(Août!$C33:$AG33,"m")/2+Juillet!AK33</f>
        <v>0</v>
      </c>
      <c r="AL33" s="45">
        <f>COUNTIFS(Août!$C33:$AG33,"a")/2+Juillet!AL33</f>
        <v>0</v>
      </c>
      <c r="AM33" s="46"/>
      <c r="AN33" s="47"/>
      <c r="AO33" s="47"/>
      <c r="AP33" s="46"/>
      <c r="AQ33" s="47"/>
      <c r="AR33" s="47"/>
      <c r="AS33" s="47"/>
    </row>
    <row r="34" spans="1:45" s="63" customFormat="1" ht="12.95" customHeight="1" x14ac:dyDescent="0.25">
      <c r="A34" s="48">
        <v>42110</v>
      </c>
      <c r="B34" s="42" t="s">
        <v>16</v>
      </c>
      <c r="C34" s="67" t="s">
        <v>7</v>
      </c>
      <c r="D34" s="43" t="s">
        <v>7</v>
      </c>
      <c r="E34" s="43" t="s">
        <v>7</v>
      </c>
      <c r="F34" s="43" t="s">
        <v>7</v>
      </c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3"/>
      <c r="AE34" s="43"/>
      <c r="AF34" s="43"/>
      <c r="AG34" s="43"/>
      <c r="AH34" s="44">
        <f>COUNTA(Août!$C34:$AG34)</f>
        <v>4</v>
      </c>
      <c r="AI34" s="45">
        <f>(COUNTIFS(Août!$C34:$AG34,("cp")))/2+Juillet!AI34</f>
        <v>8</v>
      </c>
      <c r="AJ34" s="45">
        <f>COUNTIFS(Août!$C34:$AG34,"RTT")/2+Juillet!AJ34</f>
        <v>0</v>
      </c>
      <c r="AK34" s="45">
        <f>COUNTIFS(Août!$C34:$AG34,"m")/2+Juillet!AK34</f>
        <v>0</v>
      </c>
      <c r="AL34" s="45">
        <f>COUNTIFS(Août!$C34:$AG34,"a")/2+Juillet!AL34</f>
        <v>0</v>
      </c>
      <c r="AM34" s="46"/>
      <c r="AN34" s="47"/>
      <c r="AO34" s="47"/>
      <c r="AP34" s="46"/>
      <c r="AQ34" s="47"/>
      <c r="AR34" s="47"/>
      <c r="AS34" s="101"/>
    </row>
    <row r="35" spans="1:45" s="63" customFormat="1" ht="12.95" customHeight="1" x14ac:dyDescent="0.25">
      <c r="A35" s="41"/>
      <c r="B35" s="42"/>
      <c r="C35" s="49" t="str">
        <f t="shared" ref="C35:AG35" si="18">IF(C33&gt;0,C33,IF(C34&gt;0,C34,""))</f>
        <v>CP</v>
      </c>
      <c r="D35" s="49" t="str">
        <f t="shared" si="18"/>
        <v>CP</v>
      </c>
      <c r="E35" s="49" t="str">
        <f t="shared" si="18"/>
        <v>CP</v>
      </c>
      <c r="F35" s="49" t="str">
        <f t="shared" si="18"/>
        <v>CP</v>
      </c>
      <c r="G35" s="49" t="str">
        <f t="shared" si="18"/>
        <v/>
      </c>
      <c r="H35" s="49" t="str">
        <f t="shared" si="18"/>
        <v/>
      </c>
      <c r="I35" s="49" t="str">
        <f t="shared" si="18"/>
        <v/>
      </c>
      <c r="J35" s="49" t="str">
        <f t="shared" si="18"/>
        <v/>
      </c>
      <c r="K35" s="49" t="str">
        <f t="shared" si="18"/>
        <v/>
      </c>
      <c r="L35" s="49" t="str">
        <f t="shared" si="18"/>
        <v/>
      </c>
      <c r="M35" s="49" t="str">
        <f t="shared" si="18"/>
        <v/>
      </c>
      <c r="N35" s="49" t="str">
        <f t="shared" si="18"/>
        <v/>
      </c>
      <c r="O35" s="49" t="str">
        <f t="shared" si="18"/>
        <v/>
      </c>
      <c r="P35" s="49" t="str">
        <f t="shared" si="18"/>
        <v/>
      </c>
      <c r="Q35" s="49" t="str">
        <f t="shared" si="18"/>
        <v/>
      </c>
      <c r="R35" s="49" t="str">
        <f t="shared" si="18"/>
        <v/>
      </c>
      <c r="S35" s="49" t="str">
        <f t="shared" si="18"/>
        <v/>
      </c>
      <c r="T35" s="49" t="str">
        <f t="shared" si="18"/>
        <v/>
      </c>
      <c r="U35" s="49" t="str">
        <f t="shared" si="18"/>
        <v/>
      </c>
      <c r="V35" s="49" t="str">
        <f t="shared" si="18"/>
        <v/>
      </c>
      <c r="W35" s="49" t="str">
        <f t="shared" si="18"/>
        <v/>
      </c>
      <c r="X35" s="49" t="str">
        <f t="shared" si="18"/>
        <v/>
      </c>
      <c r="Y35" s="49" t="str">
        <f t="shared" si="18"/>
        <v/>
      </c>
      <c r="Z35" s="49" t="str">
        <f t="shared" si="18"/>
        <v/>
      </c>
      <c r="AA35" s="49" t="str">
        <f t="shared" si="18"/>
        <v/>
      </c>
      <c r="AB35" s="49" t="str">
        <f t="shared" si="18"/>
        <v/>
      </c>
      <c r="AC35" s="49" t="str">
        <f t="shared" si="18"/>
        <v/>
      </c>
      <c r="AD35" s="49" t="str">
        <f t="shared" si="18"/>
        <v/>
      </c>
      <c r="AE35" s="49" t="str">
        <f t="shared" si="18"/>
        <v/>
      </c>
      <c r="AF35" s="49" t="str">
        <f t="shared" si="18"/>
        <v/>
      </c>
      <c r="AG35" s="49" t="str">
        <f t="shared" si="18"/>
        <v/>
      </c>
      <c r="AH35" s="44">
        <f>SUM(AH33:AH34)</f>
        <v>8</v>
      </c>
      <c r="AI35" s="45">
        <f>SUM(AI33:AI34)</f>
        <v>16</v>
      </c>
      <c r="AJ35" s="45">
        <f>SUM(AJ33:AJ34)</f>
        <v>0</v>
      </c>
      <c r="AK35" s="45">
        <f t="shared" ref="AK35:AL35" si="19">SUM(AK33:AK34)</f>
        <v>0</v>
      </c>
      <c r="AL35" s="45">
        <f t="shared" si="19"/>
        <v>0</v>
      </c>
      <c r="AM35" s="50">
        <f>+Juin!AM35</f>
        <v>14.56</v>
      </c>
      <c r="AN35" s="51">
        <f>IF(A34="","",IF(A34&gt;NomMois,0,IF(A34&lt;$A$3,2.08,(NETWORKDAYS(A34,$A$2)/21.66667)*2.08)))</f>
        <v>2.08</v>
      </c>
      <c r="AO35" s="51">
        <f>IF( AN35="",0,+AN35+Juillet!AO35)</f>
        <v>6.24</v>
      </c>
      <c r="AP35" s="50"/>
      <c r="AQ35" s="45">
        <f>+AM35-AI35</f>
        <v>-1.4399999999999995</v>
      </c>
      <c r="AR35" s="45">
        <f>+AP35-AJ35</f>
        <v>0</v>
      </c>
      <c r="AS35" s="102">
        <f t="shared" si="17"/>
        <v>4.8000000000000007</v>
      </c>
    </row>
    <row r="36" spans="1:45" s="63" customFormat="1" ht="6.75" customHeight="1" x14ac:dyDescent="0.25">
      <c r="A36" s="60"/>
      <c r="B36" s="53"/>
      <c r="C36" s="60"/>
      <c r="D36" s="60"/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0"/>
      <c r="Z36" s="60"/>
      <c r="AA36" s="60"/>
      <c r="AB36" s="60"/>
      <c r="AC36" s="60"/>
      <c r="AD36" s="60"/>
      <c r="AE36" s="60"/>
      <c r="AF36" s="60"/>
      <c r="AG36" s="60"/>
      <c r="AH36" s="61"/>
      <c r="AI36" s="61"/>
      <c r="AJ36" s="61"/>
      <c r="AK36" s="61"/>
      <c r="AL36" s="61"/>
      <c r="AM36" s="60"/>
      <c r="AN36" s="61"/>
      <c r="AO36" s="61"/>
      <c r="AP36" s="60"/>
      <c r="AQ36" s="61"/>
      <c r="AR36" s="61"/>
      <c r="AS36" s="65"/>
    </row>
    <row r="37" spans="1:45" s="63" customFormat="1" ht="12.95" customHeight="1" x14ac:dyDescent="0.25">
      <c r="A37" s="41"/>
      <c r="B37" s="42" t="s">
        <v>15</v>
      </c>
      <c r="C37" s="67"/>
      <c r="D37" s="43"/>
      <c r="E37" s="43"/>
      <c r="F37" s="43"/>
      <c r="G37" s="43"/>
      <c r="H37" s="43"/>
      <c r="I37" s="43"/>
      <c r="J37" s="43"/>
      <c r="K37" s="43"/>
      <c r="L37" s="43"/>
      <c r="M37" s="43" t="s">
        <v>7</v>
      </c>
      <c r="N37" s="43"/>
      <c r="O37" s="43"/>
      <c r="P37" s="43" t="s">
        <v>7</v>
      </c>
      <c r="Q37" s="43"/>
      <c r="R37" s="43" t="s">
        <v>7</v>
      </c>
      <c r="S37" s="43" t="s">
        <v>7</v>
      </c>
      <c r="T37" s="43" t="s">
        <v>7</v>
      </c>
      <c r="U37" s="43"/>
      <c r="V37" s="43"/>
      <c r="W37" s="43" t="s">
        <v>7</v>
      </c>
      <c r="X37" s="43" t="s">
        <v>7</v>
      </c>
      <c r="Y37" s="43" t="s">
        <v>7</v>
      </c>
      <c r="Z37" s="43" t="s">
        <v>7</v>
      </c>
      <c r="AA37" s="43" t="s">
        <v>7</v>
      </c>
      <c r="AB37" s="43"/>
      <c r="AC37" s="43"/>
      <c r="AD37" s="43"/>
      <c r="AE37" s="43"/>
      <c r="AF37" s="43"/>
      <c r="AG37" s="43"/>
      <c r="AH37" s="44">
        <f>COUNTA(Août!$C37:$AG37)</f>
        <v>10</v>
      </c>
      <c r="AI37" s="45">
        <f>(COUNTIFS(Août!$C37:$AG37,("cp")))/2+Juillet!AI37</f>
        <v>5</v>
      </c>
      <c r="AJ37" s="45">
        <f>COUNTIFS(Août!$C37:$AG37,"RTT")/2+Juillet!AJ37</f>
        <v>0</v>
      </c>
      <c r="AK37" s="45">
        <f>COUNTIFS(Août!$C37:$AG37,"m")/2+Juillet!AK37</f>
        <v>0</v>
      </c>
      <c r="AL37" s="45">
        <f>COUNTIFS(Août!$C37:$AG37,"a")/2+Juillet!AL37</f>
        <v>0</v>
      </c>
      <c r="AM37" s="46"/>
      <c r="AN37" s="47"/>
      <c r="AO37" s="47"/>
      <c r="AP37" s="46"/>
      <c r="AQ37" s="47"/>
      <c r="AR37" s="47"/>
      <c r="AS37" s="47"/>
    </row>
    <row r="38" spans="1:45" s="63" customFormat="1" ht="12.95" customHeight="1" x14ac:dyDescent="0.25">
      <c r="A38" s="48">
        <v>42373</v>
      </c>
      <c r="B38" s="42" t="s">
        <v>16</v>
      </c>
      <c r="C38" s="67"/>
      <c r="D38" s="43"/>
      <c r="E38" s="43"/>
      <c r="F38" s="43"/>
      <c r="G38" s="43"/>
      <c r="H38" s="43"/>
      <c r="I38" s="43"/>
      <c r="J38" s="43"/>
      <c r="K38" s="43"/>
      <c r="L38" s="43"/>
      <c r="M38" s="43" t="s">
        <v>7</v>
      </c>
      <c r="N38" s="43"/>
      <c r="O38" s="43"/>
      <c r="P38" s="43" t="s">
        <v>7</v>
      </c>
      <c r="Q38" s="43"/>
      <c r="R38" s="43" t="s">
        <v>7</v>
      </c>
      <c r="S38" s="43" t="s">
        <v>7</v>
      </c>
      <c r="T38" s="43" t="s">
        <v>7</v>
      </c>
      <c r="U38" s="43"/>
      <c r="V38" s="43"/>
      <c r="W38" s="43" t="s">
        <v>7</v>
      </c>
      <c r="X38" s="43" t="s">
        <v>7</v>
      </c>
      <c r="Y38" s="43" t="s">
        <v>7</v>
      </c>
      <c r="Z38" s="43" t="s">
        <v>7</v>
      </c>
      <c r="AA38" s="43" t="s">
        <v>7</v>
      </c>
      <c r="AB38" s="43"/>
      <c r="AC38" s="43"/>
      <c r="AD38" s="43"/>
      <c r="AE38" s="43"/>
      <c r="AF38" s="43"/>
      <c r="AG38" s="43"/>
      <c r="AH38" s="44">
        <f>COUNTA(Août!$C38:$AG38)</f>
        <v>10</v>
      </c>
      <c r="AI38" s="45">
        <f>(COUNTIFS(Août!$C38:$AG38,("cp")))/2+Juillet!AI38</f>
        <v>5</v>
      </c>
      <c r="AJ38" s="45">
        <f>COUNTIFS(Août!$C38:$AG38,"RTT")/2+Juillet!AJ38</f>
        <v>0</v>
      </c>
      <c r="AK38" s="45">
        <f>COUNTIFS(Août!$C38:$AG38,"m")/2+Juillet!AK38</f>
        <v>0</v>
      </c>
      <c r="AL38" s="45">
        <f>COUNTIFS(Août!$C38:$AG38,"a")/2+Juillet!AL38</f>
        <v>0</v>
      </c>
      <c r="AM38" s="46"/>
      <c r="AN38" s="47"/>
      <c r="AO38" s="47"/>
      <c r="AP38" s="46"/>
      <c r="AQ38" s="47"/>
      <c r="AR38" s="47"/>
      <c r="AS38" s="101"/>
    </row>
    <row r="39" spans="1:45" s="63" customFormat="1" ht="12.95" customHeight="1" x14ac:dyDescent="0.25">
      <c r="A39" s="41"/>
      <c r="B39" s="42"/>
      <c r="C39" s="49" t="str">
        <f t="shared" ref="C39:AG39" si="20">IF(C37&gt;0,C37,IF(C38&gt;0,C38,""))</f>
        <v/>
      </c>
      <c r="D39" s="49" t="str">
        <f t="shared" si="20"/>
        <v/>
      </c>
      <c r="E39" s="49" t="str">
        <f t="shared" si="20"/>
        <v/>
      </c>
      <c r="F39" s="49" t="str">
        <f t="shared" si="20"/>
        <v/>
      </c>
      <c r="G39" s="49" t="str">
        <f t="shared" si="20"/>
        <v/>
      </c>
      <c r="H39" s="49" t="str">
        <f t="shared" si="20"/>
        <v/>
      </c>
      <c r="I39" s="49" t="str">
        <f t="shared" si="20"/>
        <v/>
      </c>
      <c r="J39" s="49" t="str">
        <f t="shared" si="20"/>
        <v/>
      </c>
      <c r="K39" s="49" t="str">
        <f t="shared" si="20"/>
        <v/>
      </c>
      <c r="L39" s="49" t="str">
        <f t="shared" si="20"/>
        <v/>
      </c>
      <c r="M39" s="49" t="str">
        <f t="shared" si="20"/>
        <v>CP</v>
      </c>
      <c r="N39" s="49" t="str">
        <f t="shared" si="20"/>
        <v/>
      </c>
      <c r="O39" s="49" t="str">
        <f t="shared" si="20"/>
        <v/>
      </c>
      <c r="P39" s="49" t="str">
        <f t="shared" si="20"/>
        <v>CP</v>
      </c>
      <c r="Q39" s="49" t="str">
        <f t="shared" si="20"/>
        <v/>
      </c>
      <c r="R39" s="49" t="str">
        <f t="shared" si="20"/>
        <v>CP</v>
      </c>
      <c r="S39" s="49" t="str">
        <f t="shared" si="20"/>
        <v>CP</v>
      </c>
      <c r="T39" s="49" t="str">
        <f t="shared" si="20"/>
        <v>CP</v>
      </c>
      <c r="U39" s="49" t="str">
        <f t="shared" si="20"/>
        <v/>
      </c>
      <c r="V39" s="49" t="str">
        <f t="shared" si="20"/>
        <v/>
      </c>
      <c r="W39" s="49" t="str">
        <f t="shared" si="20"/>
        <v>CP</v>
      </c>
      <c r="X39" s="49" t="str">
        <f t="shared" si="20"/>
        <v>CP</v>
      </c>
      <c r="Y39" s="49" t="str">
        <f t="shared" si="20"/>
        <v>CP</v>
      </c>
      <c r="Z39" s="49" t="str">
        <f t="shared" si="20"/>
        <v>CP</v>
      </c>
      <c r="AA39" s="49" t="str">
        <f t="shared" si="20"/>
        <v>CP</v>
      </c>
      <c r="AB39" s="49" t="str">
        <f t="shared" si="20"/>
        <v/>
      </c>
      <c r="AC39" s="49" t="str">
        <f t="shared" si="20"/>
        <v/>
      </c>
      <c r="AD39" s="49" t="str">
        <f t="shared" si="20"/>
        <v/>
      </c>
      <c r="AE39" s="49" t="str">
        <f t="shared" si="20"/>
        <v/>
      </c>
      <c r="AF39" s="49" t="str">
        <f t="shared" si="20"/>
        <v/>
      </c>
      <c r="AG39" s="49" t="str">
        <f t="shared" si="20"/>
        <v/>
      </c>
      <c r="AH39" s="44">
        <f>SUM(AH37:AH38)</f>
        <v>20</v>
      </c>
      <c r="AI39" s="45">
        <f>SUM(AI37:AI38)</f>
        <v>10</v>
      </c>
      <c r="AJ39" s="45">
        <f>SUM(AJ37:AJ38)</f>
        <v>0</v>
      </c>
      <c r="AK39" s="45">
        <f t="shared" ref="AK39:AL39" si="21">SUM(AK37:AK38)</f>
        <v>0</v>
      </c>
      <c r="AL39" s="45">
        <f t="shared" si="21"/>
        <v>0</v>
      </c>
      <c r="AM39" s="50">
        <f>+Juin!AM39</f>
        <v>14.14</v>
      </c>
      <c r="AN39" s="51">
        <f>IF(A38="","",IF(A38&gt;NomMois,0,IF(A38&lt;$A$3,2.08,(NETWORKDAYS(A38,$A$2)/21.66667)*2.08)))</f>
        <v>2.08</v>
      </c>
      <c r="AO39" s="51">
        <f>IF( AN39="",0,+AN39+Juillet!AO39)</f>
        <v>6.24</v>
      </c>
      <c r="AP39" s="50"/>
      <c r="AQ39" s="45">
        <f>+AM39-AI39</f>
        <v>4.1400000000000006</v>
      </c>
      <c r="AR39" s="45">
        <f>+AP39-AJ39</f>
        <v>0</v>
      </c>
      <c r="AS39" s="102">
        <f t="shared" si="17"/>
        <v>10.38</v>
      </c>
    </row>
    <row r="40" spans="1:45" s="63" customFormat="1" ht="6.75" customHeight="1" x14ac:dyDescent="0.25">
      <c r="A40" s="60"/>
      <c r="B40" s="53"/>
      <c r="C40" s="60"/>
      <c r="D40" s="60"/>
      <c r="E40" s="60"/>
      <c r="F40" s="60"/>
      <c r="G40" s="60"/>
      <c r="H40" s="60"/>
      <c r="I40" s="60"/>
      <c r="J40" s="60"/>
      <c r="K40" s="60"/>
      <c r="L40" s="60"/>
      <c r="M40" s="60"/>
      <c r="N40" s="60"/>
      <c r="O40" s="60"/>
      <c r="P40" s="60"/>
      <c r="Q40" s="60"/>
      <c r="R40" s="60"/>
      <c r="S40" s="60"/>
      <c r="T40" s="60"/>
      <c r="U40" s="60"/>
      <c r="V40" s="60"/>
      <c r="W40" s="60"/>
      <c r="X40" s="60"/>
      <c r="Y40" s="60"/>
      <c r="Z40" s="60"/>
      <c r="AA40" s="60"/>
      <c r="AB40" s="60"/>
      <c r="AC40" s="60"/>
      <c r="AD40" s="60"/>
      <c r="AE40" s="60"/>
      <c r="AF40" s="60"/>
      <c r="AG40" s="60"/>
      <c r="AH40" s="61"/>
      <c r="AI40" s="61"/>
      <c r="AJ40" s="61"/>
      <c r="AK40" s="61"/>
      <c r="AL40" s="61"/>
      <c r="AM40" s="60"/>
      <c r="AN40" s="61"/>
      <c r="AO40" s="61"/>
      <c r="AP40" s="60"/>
      <c r="AQ40" s="61"/>
      <c r="AR40" s="61"/>
      <c r="AS40" s="65"/>
    </row>
    <row r="41" spans="1:45" s="63" customFormat="1" ht="12.95" customHeight="1" x14ac:dyDescent="0.25">
      <c r="A41" s="41"/>
      <c r="B41" s="42" t="s">
        <v>15</v>
      </c>
      <c r="C41" s="67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4">
        <f>COUNTA(Août!$C41:$AG41)</f>
        <v>0</v>
      </c>
      <c r="AI41" s="45">
        <f>(COUNTIFS(Août!$C41:$AG41,("cp")))/2+Juillet!AI41</f>
        <v>7.5</v>
      </c>
      <c r="AJ41" s="45">
        <f>COUNTIFS(Août!$C41:$AG41,"RTT")/2+Juillet!AJ41</f>
        <v>0</v>
      </c>
      <c r="AK41" s="45">
        <f>COUNTIFS(Août!$C41:$AG41,"m")/2+Juillet!AK41</f>
        <v>0</v>
      </c>
      <c r="AL41" s="45">
        <f>COUNTIFS(Août!$C41:$AG41,"a")/2+Juillet!AL41</f>
        <v>0</v>
      </c>
      <c r="AM41" s="46"/>
      <c r="AN41" s="47"/>
      <c r="AO41" s="47"/>
      <c r="AP41" s="46"/>
      <c r="AQ41" s="47"/>
      <c r="AR41" s="47"/>
      <c r="AS41" s="47"/>
    </row>
    <row r="42" spans="1:45" s="63" customFormat="1" ht="12.95" customHeight="1" x14ac:dyDescent="0.25">
      <c r="A42" s="48">
        <v>41821</v>
      </c>
      <c r="B42" s="42" t="s">
        <v>16</v>
      </c>
      <c r="C42" s="67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3"/>
      <c r="AE42" s="43"/>
      <c r="AF42" s="43"/>
      <c r="AG42" s="43"/>
      <c r="AH42" s="44">
        <f>COUNTA(Août!$C42:$AG42)</f>
        <v>0</v>
      </c>
      <c r="AI42" s="45">
        <f>(COUNTIFS(Août!$C42:$AG42,("cp")))/2+Juillet!AI42</f>
        <v>7.5</v>
      </c>
      <c r="AJ42" s="45">
        <f>COUNTIFS(Août!$C42:$AG42,"RTT")/2+Juillet!AJ42</f>
        <v>0</v>
      </c>
      <c r="AK42" s="45">
        <f>COUNTIFS(Août!$C42:$AG42,"m")/2+Juillet!AK42</f>
        <v>0</v>
      </c>
      <c r="AL42" s="45">
        <f>COUNTIFS(Août!$C42:$AG42,"a")/2+Juillet!AL42</f>
        <v>0</v>
      </c>
      <c r="AM42" s="46"/>
      <c r="AN42" s="47"/>
      <c r="AO42" s="47"/>
      <c r="AP42" s="46"/>
      <c r="AQ42" s="47"/>
      <c r="AR42" s="47"/>
      <c r="AS42" s="101"/>
    </row>
    <row r="43" spans="1:45" s="63" customFormat="1" ht="12.95" customHeight="1" x14ac:dyDescent="0.25">
      <c r="A43" s="41"/>
      <c r="B43" s="42"/>
      <c r="C43" s="49" t="str">
        <f t="shared" ref="C43:AG43" si="22">IF(C41&gt;0,C41,IF(C42&gt;0,C42,""))</f>
        <v/>
      </c>
      <c r="D43" s="49" t="str">
        <f t="shared" si="22"/>
        <v/>
      </c>
      <c r="E43" s="49" t="str">
        <f t="shared" si="22"/>
        <v/>
      </c>
      <c r="F43" s="49" t="str">
        <f t="shared" si="22"/>
        <v/>
      </c>
      <c r="G43" s="49" t="str">
        <f t="shared" si="22"/>
        <v/>
      </c>
      <c r="H43" s="49" t="str">
        <f t="shared" si="22"/>
        <v/>
      </c>
      <c r="I43" s="49" t="str">
        <f t="shared" si="22"/>
        <v/>
      </c>
      <c r="J43" s="49" t="str">
        <f t="shared" si="22"/>
        <v/>
      </c>
      <c r="K43" s="49" t="str">
        <f t="shared" si="22"/>
        <v/>
      </c>
      <c r="L43" s="49" t="str">
        <f t="shared" si="22"/>
        <v/>
      </c>
      <c r="M43" s="49" t="str">
        <f t="shared" si="22"/>
        <v/>
      </c>
      <c r="N43" s="49" t="str">
        <f t="shared" si="22"/>
        <v/>
      </c>
      <c r="O43" s="49" t="str">
        <f t="shared" si="22"/>
        <v/>
      </c>
      <c r="P43" s="49" t="str">
        <f t="shared" si="22"/>
        <v/>
      </c>
      <c r="Q43" s="49" t="str">
        <f t="shared" si="22"/>
        <v/>
      </c>
      <c r="R43" s="49" t="str">
        <f t="shared" si="22"/>
        <v/>
      </c>
      <c r="S43" s="49" t="str">
        <f t="shared" si="22"/>
        <v/>
      </c>
      <c r="T43" s="49" t="str">
        <f t="shared" si="22"/>
        <v/>
      </c>
      <c r="U43" s="49" t="str">
        <f t="shared" si="22"/>
        <v/>
      </c>
      <c r="V43" s="49" t="str">
        <f t="shared" si="22"/>
        <v/>
      </c>
      <c r="W43" s="49" t="str">
        <f t="shared" si="22"/>
        <v/>
      </c>
      <c r="X43" s="49" t="str">
        <f t="shared" si="22"/>
        <v/>
      </c>
      <c r="Y43" s="49" t="str">
        <f t="shared" si="22"/>
        <v/>
      </c>
      <c r="Z43" s="49" t="str">
        <f t="shared" si="22"/>
        <v/>
      </c>
      <c r="AA43" s="49" t="str">
        <f t="shared" si="22"/>
        <v/>
      </c>
      <c r="AB43" s="49" t="str">
        <f t="shared" si="22"/>
        <v/>
      </c>
      <c r="AC43" s="49" t="str">
        <f t="shared" si="22"/>
        <v/>
      </c>
      <c r="AD43" s="49" t="str">
        <f t="shared" si="22"/>
        <v/>
      </c>
      <c r="AE43" s="49" t="str">
        <f t="shared" si="22"/>
        <v/>
      </c>
      <c r="AF43" s="49" t="str">
        <f t="shared" si="22"/>
        <v/>
      </c>
      <c r="AG43" s="49" t="str">
        <f t="shared" si="22"/>
        <v/>
      </c>
      <c r="AH43" s="44">
        <f>SUM(AH41:AH42)</f>
        <v>0</v>
      </c>
      <c r="AI43" s="45">
        <f>SUM(AI41:AI42)</f>
        <v>15</v>
      </c>
      <c r="AJ43" s="45">
        <f>SUM(AJ41:AJ42)</f>
        <v>0</v>
      </c>
      <c r="AK43" s="45">
        <f t="shared" ref="AK43:AL43" si="23">SUM(AK41:AK42)</f>
        <v>0</v>
      </c>
      <c r="AL43" s="45">
        <f t="shared" si="23"/>
        <v>0</v>
      </c>
      <c r="AM43" s="50">
        <f>+Juin!AM43</f>
        <v>20.38</v>
      </c>
      <c r="AN43" s="51">
        <f>IF(A42="","",IF(A42&gt;NomMois,0,IF(A42&lt;$A$3,2.08,(NETWORKDAYS(A42,$A$2)/21.66667)*2.08)))</f>
        <v>2.08</v>
      </c>
      <c r="AO43" s="51">
        <f>IF( AN43="",0,+AN43+Juillet!AO43)</f>
        <v>6.24</v>
      </c>
      <c r="AP43" s="50"/>
      <c r="AQ43" s="45">
        <f>+AM43-AI43</f>
        <v>5.379999999999999</v>
      </c>
      <c r="AR43" s="45">
        <f>+AP43-AJ43</f>
        <v>0</v>
      </c>
      <c r="AS43" s="102">
        <f t="shared" si="17"/>
        <v>11.62</v>
      </c>
    </row>
    <row r="44" spans="1:45" s="63" customFormat="1" ht="6.75" customHeight="1" x14ac:dyDescent="0.25">
      <c r="A44" s="60"/>
      <c r="B44" s="53"/>
      <c r="C44" s="60"/>
      <c r="D44" s="60"/>
      <c r="E44" s="60"/>
      <c r="F44" s="60"/>
      <c r="G44" s="60"/>
      <c r="H44" s="60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61">
        <f>COUNTA(Août!$C44:$AG44)</f>
        <v>0</v>
      </c>
      <c r="AI44" s="61">
        <f>(COUNTIFS(Août!$C44:$AF44,("cp")))/2</f>
        <v>0</v>
      </c>
      <c r="AJ44" s="61">
        <f>COUNTIFS(Août!$C44:$AF44,"RTT")/2</f>
        <v>0</v>
      </c>
      <c r="AK44" s="61">
        <f>COUNTIFS(Août!$C44:$AF44,"m")/2</f>
        <v>0</v>
      </c>
      <c r="AL44" s="61">
        <f>COUNTIFS(Août!$C44:$AF44,"a")/2</f>
        <v>0</v>
      </c>
      <c r="AM44" s="60"/>
      <c r="AN44" s="61"/>
      <c r="AO44" s="61"/>
      <c r="AP44" s="60"/>
      <c r="AQ44" s="69"/>
      <c r="AR44" s="69"/>
      <c r="AS44" s="65"/>
    </row>
    <row r="45" spans="1:45" s="63" customFormat="1" ht="12.95" customHeight="1" x14ac:dyDescent="0.25">
      <c r="A45" s="41"/>
      <c r="B45" s="42" t="s">
        <v>15</v>
      </c>
      <c r="C45" s="67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4">
        <f>COUNTA(Août!$C45:$AG45)</f>
        <v>0</v>
      </c>
      <c r="AI45" s="45">
        <f>(COUNTIFS(Août!$C45:$AG45,("cp")))/2+Juillet!AI45</f>
        <v>0</v>
      </c>
      <c r="AJ45" s="45">
        <f>COUNTIFS(Août!$C45:$AG45,"RTT")/2+Juillet!AJ45</f>
        <v>0</v>
      </c>
      <c r="AK45" s="45">
        <f>COUNTIFS(Août!$C45:$AG45,"m")/2+Juillet!AK45</f>
        <v>0</v>
      </c>
      <c r="AL45" s="45">
        <f>COUNTIFS(Août!$C45:$AG45,"a")/2+Juillet!AL45</f>
        <v>0</v>
      </c>
      <c r="AM45" s="46"/>
      <c r="AN45" s="47"/>
      <c r="AO45" s="47"/>
      <c r="AP45" s="46"/>
      <c r="AQ45" s="47"/>
      <c r="AR45" s="47"/>
      <c r="AS45" s="47"/>
    </row>
    <row r="46" spans="1:45" s="63" customFormat="1" ht="12.95" customHeight="1" x14ac:dyDescent="0.25">
      <c r="A46" s="48">
        <v>40575</v>
      </c>
      <c r="B46" s="42" t="s">
        <v>16</v>
      </c>
      <c r="C46" s="67"/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3"/>
      <c r="AC46" s="43"/>
      <c r="AD46" s="43"/>
      <c r="AE46" s="43"/>
      <c r="AF46" s="43"/>
      <c r="AG46" s="43"/>
      <c r="AH46" s="44">
        <f>COUNTA(Août!$C46:$AG46)</f>
        <v>0</v>
      </c>
      <c r="AI46" s="45">
        <f>(COUNTIFS(Août!$C46:$AG46,("cp")))/2+Juillet!AI46</f>
        <v>0.5</v>
      </c>
      <c r="AJ46" s="45">
        <f>COUNTIFS(Août!$C46:$AG46,"RTT")/2+Juillet!AJ46</f>
        <v>0</v>
      </c>
      <c r="AK46" s="45">
        <f>COUNTIFS(Août!$C46:$AG46,"m")/2+Juillet!AK46</f>
        <v>0</v>
      </c>
      <c r="AL46" s="45">
        <f>COUNTIFS(Août!$C46:$AG46,"a")/2+Juillet!AL46</f>
        <v>0</v>
      </c>
      <c r="AM46" s="46"/>
      <c r="AN46" s="47"/>
      <c r="AO46" s="47"/>
      <c r="AP46" s="46"/>
      <c r="AQ46" s="47"/>
      <c r="AR46" s="47"/>
      <c r="AS46" s="101"/>
    </row>
    <row r="47" spans="1:45" s="63" customFormat="1" ht="12.95" customHeight="1" x14ac:dyDescent="0.25">
      <c r="A47" s="41"/>
      <c r="B47" s="42"/>
      <c r="C47" s="49" t="str">
        <f t="shared" ref="C47:AG47" si="24">IF(C45&gt;0,C45,IF(C46&gt;0,C46,""))</f>
        <v/>
      </c>
      <c r="D47" s="49" t="str">
        <f t="shared" si="24"/>
        <v/>
      </c>
      <c r="E47" s="49" t="str">
        <f t="shared" si="24"/>
        <v/>
      </c>
      <c r="F47" s="49" t="str">
        <f t="shared" si="24"/>
        <v/>
      </c>
      <c r="G47" s="49" t="str">
        <f t="shared" si="24"/>
        <v/>
      </c>
      <c r="H47" s="49" t="str">
        <f t="shared" si="24"/>
        <v/>
      </c>
      <c r="I47" s="49" t="str">
        <f t="shared" si="24"/>
        <v/>
      </c>
      <c r="J47" s="49" t="str">
        <f t="shared" si="24"/>
        <v/>
      </c>
      <c r="K47" s="49" t="str">
        <f t="shared" si="24"/>
        <v/>
      </c>
      <c r="L47" s="49" t="str">
        <f t="shared" si="24"/>
        <v/>
      </c>
      <c r="M47" s="49" t="str">
        <f t="shared" si="24"/>
        <v/>
      </c>
      <c r="N47" s="49" t="str">
        <f t="shared" si="24"/>
        <v/>
      </c>
      <c r="O47" s="49" t="str">
        <f t="shared" si="24"/>
        <v/>
      </c>
      <c r="P47" s="49" t="str">
        <f t="shared" si="24"/>
        <v/>
      </c>
      <c r="Q47" s="49" t="str">
        <f t="shared" si="24"/>
        <v/>
      </c>
      <c r="R47" s="49" t="str">
        <f t="shared" si="24"/>
        <v/>
      </c>
      <c r="S47" s="49" t="str">
        <f t="shared" si="24"/>
        <v/>
      </c>
      <c r="T47" s="49" t="str">
        <f t="shared" si="24"/>
        <v/>
      </c>
      <c r="U47" s="49" t="str">
        <f t="shared" si="24"/>
        <v/>
      </c>
      <c r="V47" s="49" t="str">
        <f t="shared" si="24"/>
        <v/>
      </c>
      <c r="W47" s="49" t="str">
        <f t="shared" si="24"/>
        <v/>
      </c>
      <c r="X47" s="49" t="str">
        <f t="shared" si="24"/>
        <v/>
      </c>
      <c r="Y47" s="49" t="str">
        <f t="shared" si="24"/>
        <v/>
      </c>
      <c r="Z47" s="49" t="str">
        <f t="shared" si="24"/>
        <v/>
      </c>
      <c r="AA47" s="49" t="str">
        <f t="shared" si="24"/>
        <v/>
      </c>
      <c r="AB47" s="49" t="str">
        <f t="shared" si="24"/>
        <v/>
      </c>
      <c r="AC47" s="49" t="str">
        <f t="shared" si="24"/>
        <v/>
      </c>
      <c r="AD47" s="49" t="str">
        <f t="shared" si="24"/>
        <v/>
      </c>
      <c r="AE47" s="49" t="str">
        <f t="shared" si="24"/>
        <v/>
      </c>
      <c r="AF47" s="49" t="str">
        <f t="shared" si="24"/>
        <v/>
      </c>
      <c r="AG47" s="49" t="str">
        <f t="shared" si="24"/>
        <v/>
      </c>
      <c r="AH47" s="44">
        <f>SUM(AH45:AH46)</f>
        <v>0</v>
      </c>
      <c r="AI47" s="45">
        <f>SUM(AI45:AI46)</f>
        <v>0.5</v>
      </c>
      <c r="AJ47" s="45">
        <f>SUM(AJ45:AJ46)</f>
        <v>0</v>
      </c>
      <c r="AK47" s="45">
        <f t="shared" ref="AK47:AL47" si="25">SUM(AK45:AK46)</f>
        <v>0</v>
      </c>
      <c r="AL47" s="45">
        <f t="shared" si="25"/>
        <v>0</v>
      </c>
      <c r="AM47" s="50">
        <f>+Juin!AM47</f>
        <v>24.96</v>
      </c>
      <c r="AN47" s="51">
        <f>IF(A46="","",IF(A46&gt;NomMois,0,IF(A46&lt;$A$3,2.08,(NETWORKDAYS(A46,$A$2)/21.66667)*2.08)))</f>
        <v>2.08</v>
      </c>
      <c r="AO47" s="51">
        <f>IF( AN47="",0,+AN47+Juillet!AO47)</f>
        <v>6.24</v>
      </c>
      <c r="AP47" s="50"/>
      <c r="AQ47" s="45">
        <f>+AM47-AI47</f>
        <v>24.46</v>
      </c>
      <c r="AR47" s="45">
        <f>+AP47-AJ47</f>
        <v>0</v>
      </c>
      <c r="AS47" s="102">
        <f t="shared" si="17"/>
        <v>30.700000000000003</v>
      </c>
    </row>
    <row r="48" spans="1:45" s="63" customFormat="1" ht="6.75" customHeight="1" x14ac:dyDescent="0.25">
      <c r="A48" s="60"/>
      <c r="B48" s="53"/>
      <c r="C48" s="60"/>
      <c r="D48" s="60"/>
      <c r="E48" s="60"/>
      <c r="F48" s="60"/>
      <c r="G48" s="60"/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60"/>
      <c r="Z48" s="60"/>
      <c r="AA48" s="60"/>
      <c r="AB48" s="60"/>
      <c r="AC48" s="60"/>
      <c r="AD48" s="60"/>
      <c r="AE48" s="60"/>
      <c r="AF48" s="60"/>
      <c r="AG48" s="60"/>
      <c r="AH48" s="61"/>
      <c r="AI48" s="61"/>
      <c r="AJ48" s="61"/>
      <c r="AK48" s="61"/>
      <c r="AL48" s="61"/>
      <c r="AM48" s="60"/>
      <c r="AN48" s="61"/>
      <c r="AO48" s="61"/>
      <c r="AP48" s="60"/>
      <c r="AQ48" s="69"/>
      <c r="AR48" s="69"/>
      <c r="AS48" s="65"/>
    </row>
    <row r="49" spans="1:45" s="63" customFormat="1" ht="12.95" customHeight="1" x14ac:dyDescent="0.25">
      <c r="A49" s="41"/>
      <c r="B49" s="42" t="s">
        <v>15</v>
      </c>
      <c r="C49" s="67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  <c r="AA49" s="43"/>
      <c r="AB49" s="43"/>
      <c r="AC49" s="43"/>
      <c r="AD49" s="43"/>
      <c r="AE49" s="43"/>
      <c r="AF49" s="43"/>
      <c r="AG49" s="43"/>
      <c r="AH49" s="44">
        <f>COUNTA(Août!$C49:$AG49)</f>
        <v>0</v>
      </c>
      <c r="AI49" s="45">
        <f>(COUNTIFS(Août!$C49:$AG49,("cp")))/2+Juillet!AI49</f>
        <v>0.5</v>
      </c>
      <c r="AJ49" s="45">
        <f>COUNTIFS(Août!$C49:$AG49,"RTT")/2+Juillet!AJ49</f>
        <v>0</v>
      </c>
      <c r="AK49" s="45">
        <f>COUNTIFS(Août!$C49:$AG49,"m")/2+Juillet!AK49</f>
        <v>0</v>
      </c>
      <c r="AL49" s="45">
        <f>COUNTIFS(Août!$C49:$AG49,"a")/2+Juillet!AL49</f>
        <v>0</v>
      </c>
      <c r="AM49" s="46"/>
      <c r="AN49" s="47"/>
      <c r="AO49" s="47"/>
      <c r="AP49" s="46"/>
      <c r="AQ49" s="47"/>
      <c r="AR49" s="47"/>
      <c r="AS49" s="47"/>
    </row>
    <row r="50" spans="1:45" s="63" customFormat="1" ht="12.95" customHeight="1" x14ac:dyDescent="0.25">
      <c r="A50" s="48">
        <v>42793</v>
      </c>
      <c r="B50" s="42" t="s">
        <v>16</v>
      </c>
      <c r="C50" s="67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  <c r="AA50" s="43"/>
      <c r="AB50" s="43"/>
      <c r="AC50" s="43"/>
      <c r="AD50" s="43"/>
      <c r="AE50" s="43"/>
      <c r="AF50" s="43"/>
      <c r="AG50" s="43"/>
      <c r="AH50" s="44">
        <f>COUNTA(Août!$C50:$AG50)</f>
        <v>0</v>
      </c>
      <c r="AI50" s="45">
        <f>(COUNTIFS(Août!$C50:$AG50,("cp")))/2+Juillet!AI50</f>
        <v>0.5</v>
      </c>
      <c r="AJ50" s="45">
        <f>COUNTIFS(Août!$C50:$AG50,"RTT")/2+Juillet!AJ50</f>
        <v>0</v>
      </c>
      <c r="AK50" s="45">
        <f>COUNTIFS(Août!$C50:$AG50,"m")/2+Juillet!AK50</f>
        <v>0</v>
      </c>
      <c r="AL50" s="45">
        <f>COUNTIFS(Août!$C50:$AG50,"a")/2+Juillet!AL50</f>
        <v>0</v>
      </c>
      <c r="AM50" s="46"/>
      <c r="AN50" s="47"/>
      <c r="AO50" s="47"/>
      <c r="AP50" s="46"/>
      <c r="AQ50" s="47"/>
      <c r="AR50" s="47"/>
      <c r="AS50" s="101"/>
    </row>
    <row r="51" spans="1:45" s="63" customFormat="1" ht="12.95" customHeight="1" x14ac:dyDescent="0.25">
      <c r="A51" s="41"/>
      <c r="B51" s="42"/>
      <c r="C51" s="49" t="str">
        <f t="shared" ref="C51:AG51" si="26">IF(C49&gt;0,C49,IF(C50&gt;0,C50,""))</f>
        <v/>
      </c>
      <c r="D51" s="49" t="str">
        <f t="shared" si="26"/>
        <v/>
      </c>
      <c r="E51" s="49" t="str">
        <f t="shared" si="26"/>
        <v/>
      </c>
      <c r="F51" s="49" t="str">
        <f t="shared" si="26"/>
        <v/>
      </c>
      <c r="G51" s="49" t="str">
        <f t="shared" si="26"/>
        <v/>
      </c>
      <c r="H51" s="49" t="str">
        <f t="shared" si="26"/>
        <v/>
      </c>
      <c r="I51" s="49" t="str">
        <f t="shared" si="26"/>
        <v/>
      </c>
      <c r="J51" s="49" t="str">
        <f t="shared" si="26"/>
        <v/>
      </c>
      <c r="K51" s="49" t="str">
        <f t="shared" si="26"/>
        <v/>
      </c>
      <c r="L51" s="49" t="str">
        <f t="shared" si="26"/>
        <v/>
      </c>
      <c r="M51" s="49" t="str">
        <f t="shared" si="26"/>
        <v/>
      </c>
      <c r="N51" s="49" t="str">
        <f t="shared" si="26"/>
        <v/>
      </c>
      <c r="O51" s="49" t="str">
        <f t="shared" si="26"/>
        <v/>
      </c>
      <c r="P51" s="49" t="str">
        <f t="shared" si="26"/>
        <v/>
      </c>
      <c r="Q51" s="49" t="str">
        <f t="shared" si="26"/>
        <v/>
      </c>
      <c r="R51" s="49" t="str">
        <f t="shared" si="26"/>
        <v/>
      </c>
      <c r="S51" s="49" t="str">
        <f t="shared" si="26"/>
        <v/>
      </c>
      <c r="T51" s="49" t="str">
        <f t="shared" si="26"/>
        <v/>
      </c>
      <c r="U51" s="49" t="str">
        <f t="shared" si="26"/>
        <v/>
      </c>
      <c r="V51" s="49" t="str">
        <f t="shared" si="26"/>
        <v/>
      </c>
      <c r="W51" s="49" t="str">
        <f t="shared" si="26"/>
        <v/>
      </c>
      <c r="X51" s="49" t="str">
        <f t="shared" si="26"/>
        <v/>
      </c>
      <c r="Y51" s="49" t="str">
        <f t="shared" si="26"/>
        <v/>
      </c>
      <c r="Z51" s="49" t="str">
        <f t="shared" si="26"/>
        <v/>
      </c>
      <c r="AA51" s="49" t="str">
        <f t="shared" si="26"/>
        <v/>
      </c>
      <c r="AB51" s="49" t="str">
        <f t="shared" si="26"/>
        <v/>
      </c>
      <c r="AC51" s="49" t="str">
        <f t="shared" si="26"/>
        <v/>
      </c>
      <c r="AD51" s="49" t="str">
        <f t="shared" si="26"/>
        <v/>
      </c>
      <c r="AE51" s="49" t="str">
        <f t="shared" si="26"/>
        <v/>
      </c>
      <c r="AF51" s="49" t="str">
        <f t="shared" si="26"/>
        <v/>
      </c>
      <c r="AG51" s="49" t="str">
        <f t="shared" si="26"/>
        <v/>
      </c>
      <c r="AH51" s="44">
        <f>SUM(AH49:AH50)</f>
        <v>0</v>
      </c>
      <c r="AI51" s="45">
        <f>SUM(AI49:AI50)</f>
        <v>1</v>
      </c>
      <c r="AJ51" s="45">
        <f>SUM(AJ49:AJ50)</f>
        <v>0</v>
      </c>
      <c r="AK51" s="45">
        <f t="shared" ref="AK51:AL51" si="27">SUM(AK49:AK50)</f>
        <v>0</v>
      </c>
      <c r="AL51" s="45">
        <f t="shared" si="27"/>
        <v>0</v>
      </c>
      <c r="AM51" s="50">
        <f>+Juin!AM51</f>
        <v>6.41</v>
      </c>
      <c r="AN51" s="51">
        <f>IF(A50="","",IF(A50&gt;NomMois,0,IF(A50&lt;$A$3,2.08,(NETWORKDAYS(A50,$A$2)/21.66667)*2.08)))</f>
        <v>2.08</v>
      </c>
      <c r="AO51" s="51">
        <f>IF( AN51="",0,+AN51+Juillet!AO51)</f>
        <v>6.24</v>
      </c>
      <c r="AP51" s="50"/>
      <c r="AQ51" s="45">
        <f>+AM51-AI51</f>
        <v>5.41</v>
      </c>
      <c r="AR51" s="45">
        <f>+AP51-AJ51</f>
        <v>0</v>
      </c>
      <c r="AS51" s="102">
        <f t="shared" si="17"/>
        <v>11.65</v>
      </c>
    </row>
    <row r="52" spans="1:45" s="63" customFormat="1" ht="6.75" customHeight="1" x14ac:dyDescent="0.25">
      <c r="A52" s="60"/>
      <c r="B52" s="53"/>
      <c r="C52" s="60"/>
      <c r="D52" s="60"/>
      <c r="E52" s="60"/>
      <c r="F52" s="60"/>
      <c r="G52" s="60"/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0"/>
      <c r="W52" s="60"/>
      <c r="X52" s="60"/>
      <c r="Y52" s="60"/>
      <c r="Z52" s="60"/>
      <c r="AA52" s="60"/>
      <c r="AB52" s="60"/>
      <c r="AC52" s="60"/>
      <c r="AD52" s="60"/>
      <c r="AE52" s="60"/>
      <c r="AF52" s="60"/>
      <c r="AG52" s="60"/>
      <c r="AH52" s="61"/>
      <c r="AI52" s="61"/>
      <c r="AJ52" s="61"/>
      <c r="AK52" s="61"/>
      <c r="AL52" s="61"/>
      <c r="AM52" s="60"/>
      <c r="AN52" s="61"/>
      <c r="AO52" s="61"/>
      <c r="AP52" s="60"/>
      <c r="AQ52" s="69"/>
      <c r="AR52" s="69"/>
      <c r="AS52" s="65"/>
    </row>
    <row r="53" spans="1:45" s="63" customFormat="1" ht="12.95" customHeight="1" x14ac:dyDescent="0.25">
      <c r="A53" s="41"/>
      <c r="B53" s="42" t="s">
        <v>15</v>
      </c>
      <c r="C53" s="67" t="s">
        <v>7</v>
      </c>
      <c r="D53" s="43" t="s">
        <v>7</v>
      </c>
      <c r="E53" s="43" t="s">
        <v>7</v>
      </c>
      <c r="F53" s="43" t="s">
        <v>7</v>
      </c>
      <c r="G53" s="43"/>
      <c r="H53" s="43"/>
      <c r="I53" s="43" t="s">
        <v>7</v>
      </c>
      <c r="J53" s="43" t="s">
        <v>7</v>
      </c>
      <c r="K53" s="43" t="s">
        <v>7</v>
      </c>
      <c r="L53" s="43" t="s">
        <v>7</v>
      </c>
      <c r="M53" s="43" t="s">
        <v>7</v>
      </c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  <c r="AA53" s="43"/>
      <c r="AB53" s="43"/>
      <c r="AC53" s="43"/>
      <c r="AD53" s="43"/>
      <c r="AE53" s="43"/>
      <c r="AF53" s="43"/>
      <c r="AG53" s="43"/>
      <c r="AH53" s="44">
        <f>COUNTA(Août!$C53:$AG53)</f>
        <v>9</v>
      </c>
      <c r="AI53" s="45">
        <f>(COUNTIFS(Août!$C53:$AG53,("cp")))/2+Juillet!AI53</f>
        <v>9</v>
      </c>
      <c r="AJ53" s="45">
        <f>COUNTIFS(Août!$C53:$AG53,"RTT")/2+Juillet!AJ53</f>
        <v>0</v>
      </c>
      <c r="AK53" s="45">
        <f>COUNTIFS(Août!$C53:$AG53,"m")/2+Juillet!AK53</f>
        <v>0</v>
      </c>
      <c r="AL53" s="45">
        <f>COUNTIFS(Août!$C53:$AG53,"a")/2+Juillet!AL53</f>
        <v>0</v>
      </c>
      <c r="AM53" s="46"/>
      <c r="AN53" s="47"/>
      <c r="AO53" s="47"/>
      <c r="AP53" s="46"/>
      <c r="AQ53" s="47"/>
      <c r="AR53" s="47"/>
      <c r="AS53" s="47"/>
    </row>
    <row r="54" spans="1:45" s="63" customFormat="1" ht="12.95" customHeight="1" x14ac:dyDescent="0.25">
      <c r="A54" s="48">
        <v>42660</v>
      </c>
      <c r="B54" s="42" t="s">
        <v>16</v>
      </c>
      <c r="C54" s="67" t="s">
        <v>7</v>
      </c>
      <c r="D54" s="43" t="s">
        <v>7</v>
      </c>
      <c r="E54" s="43" t="s">
        <v>7</v>
      </c>
      <c r="F54" s="43" t="s">
        <v>7</v>
      </c>
      <c r="G54" s="43"/>
      <c r="H54" s="43"/>
      <c r="I54" s="43" t="s">
        <v>7</v>
      </c>
      <c r="J54" s="43" t="s">
        <v>7</v>
      </c>
      <c r="K54" s="43" t="s">
        <v>7</v>
      </c>
      <c r="L54" s="43" t="s">
        <v>7</v>
      </c>
      <c r="M54" s="43" t="s">
        <v>7</v>
      </c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  <c r="AA54" s="43"/>
      <c r="AB54" s="43"/>
      <c r="AC54" s="43"/>
      <c r="AD54" s="43"/>
      <c r="AE54" s="43"/>
      <c r="AF54" s="43"/>
      <c r="AG54" s="43"/>
      <c r="AH54" s="44">
        <f>COUNTA(Août!$C54:$AG54)</f>
        <v>9</v>
      </c>
      <c r="AI54" s="45">
        <f>(COUNTIFS(Août!$C54:$AG54,("cp")))/2+Juillet!AI54</f>
        <v>9</v>
      </c>
      <c r="AJ54" s="45">
        <f>COUNTIFS(Août!$C54:$AG54,"RTT")/2+Juillet!AJ54</f>
        <v>0</v>
      </c>
      <c r="AK54" s="45">
        <f>COUNTIFS(Août!$C54:$AG54,"m")/2+Juillet!AK54</f>
        <v>0</v>
      </c>
      <c r="AL54" s="45">
        <f>COUNTIFS(Août!$C54:$AG54,"a")/2+Juillet!AL54</f>
        <v>0</v>
      </c>
      <c r="AM54" s="46"/>
      <c r="AN54" s="47"/>
      <c r="AO54" s="47"/>
      <c r="AP54" s="46"/>
      <c r="AQ54" s="47"/>
      <c r="AR54" s="47"/>
      <c r="AS54" s="101"/>
    </row>
    <row r="55" spans="1:45" s="63" customFormat="1" ht="12.95" customHeight="1" x14ac:dyDescent="0.25">
      <c r="A55" s="41"/>
      <c r="B55" s="42"/>
      <c r="C55" s="49" t="str">
        <f t="shared" ref="C55:AG55" si="28">IF(C53&gt;0,C53,IF(C54&gt;0,C54,""))</f>
        <v>CP</v>
      </c>
      <c r="D55" s="49" t="str">
        <f t="shared" si="28"/>
        <v>CP</v>
      </c>
      <c r="E55" s="49" t="str">
        <f t="shared" si="28"/>
        <v>CP</v>
      </c>
      <c r="F55" s="49" t="str">
        <f t="shared" si="28"/>
        <v>CP</v>
      </c>
      <c r="G55" s="49" t="str">
        <f t="shared" si="28"/>
        <v/>
      </c>
      <c r="H55" s="49" t="str">
        <f t="shared" si="28"/>
        <v/>
      </c>
      <c r="I55" s="49" t="str">
        <f t="shared" si="28"/>
        <v>CP</v>
      </c>
      <c r="J55" s="49" t="str">
        <f t="shared" si="28"/>
        <v>CP</v>
      </c>
      <c r="K55" s="49" t="str">
        <f t="shared" si="28"/>
        <v>CP</v>
      </c>
      <c r="L55" s="49" t="str">
        <f t="shared" si="28"/>
        <v>CP</v>
      </c>
      <c r="M55" s="49" t="str">
        <f t="shared" si="28"/>
        <v>CP</v>
      </c>
      <c r="N55" s="49" t="str">
        <f t="shared" si="28"/>
        <v/>
      </c>
      <c r="O55" s="49" t="str">
        <f t="shared" si="28"/>
        <v/>
      </c>
      <c r="P55" s="49" t="str">
        <f t="shared" si="28"/>
        <v/>
      </c>
      <c r="Q55" s="49" t="str">
        <f t="shared" si="28"/>
        <v/>
      </c>
      <c r="R55" s="49" t="str">
        <f t="shared" si="28"/>
        <v/>
      </c>
      <c r="S55" s="49" t="str">
        <f t="shared" si="28"/>
        <v/>
      </c>
      <c r="T55" s="49" t="str">
        <f t="shared" si="28"/>
        <v/>
      </c>
      <c r="U55" s="49" t="str">
        <f t="shared" si="28"/>
        <v/>
      </c>
      <c r="V55" s="49" t="str">
        <f t="shared" si="28"/>
        <v/>
      </c>
      <c r="W55" s="49" t="str">
        <f t="shared" si="28"/>
        <v/>
      </c>
      <c r="X55" s="49" t="str">
        <f t="shared" si="28"/>
        <v/>
      </c>
      <c r="Y55" s="49" t="str">
        <f t="shared" si="28"/>
        <v/>
      </c>
      <c r="Z55" s="49" t="str">
        <f t="shared" si="28"/>
        <v/>
      </c>
      <c r="AA55" s="49" t="str">
        <f t="shared" si="28"/>
        <v/>
      </c>
      <c r="AB55" s="49" t="str">
        <f t="shared" si="28"/>
        <v/>
      </c>
      <c r="AC55" s="49" t="str">
        <f t="shared" si="28"/>
        <v/>
      </c>
      <c r="AD55" s="49" t="str">
        <f t="shared" si="28"/>
        <v/>
      </c>
      <c r="AE55" s="49" t="str">
        <f t="shared" si="28"/>
        <v/>
      </c>
      <c r="AF55" s="49" t="str">
        <f t="shared" si="28"/>
        <v/>
      </c>
      <c r="AG55" s="49" t="str">
        <f t="shared" si="28"/>
        <v/>
      </c>
      <c r="AH55" s="44">
        <f>SUM(AH53:AH54)</f>
        <v>18</v>
      </c>
      <c r="AI55" s="45">
        <f>SUM(AI53:AI54)</f>
        <v>18</v>
      </c>
      <c r="AJ55" s="45">
        <f>SUM(AJ53:AJ54)</f>
        <v>0</v>
      </c>
      <c r="AK55" s="45">
        <f t="shared" ref="AK55:AL55" si="29">SUM(AK53:AK54)</f>
        <v>0</v>
      </c>
      <c r="AL55" s="45">
        <f t="shared" si="29"/>
        <v>0</v>
      </c>
      <c r="AM55" s="50">
        <f>+Juin!AM55</f>
        <v>15.68</v>
      </c>
      <c r="AN55" s="51">
        <f>IF(A54="","",IF(A54&gt;NomMois,0,IF(A54&lt;$A$3,2.08,(NETWORKDAYS(A54,$A$2)/21.66667)*2.08)))</f>
        <v>2.08</v>
      </c>
      <c r="AO55" s="51">
        <f>IF( AN55="",0,+AN55+Juillet!AO55)</f>
        <v>6.24</v>
      </c>
      <c r="AP55" s="50"/>
      <c r="AQ55" s="45">
        <f>+AM55-AI55</f>
        <v>-2.3200000000000003</v>
      </c>
      <c r="AR55" s="45">
        <f>+AP55-AJ55</f>
        <v>0</v>
      </c>
      <c r="AS55" s="102">
        <f t="shared" si="17"/>
        <v>3.92</v>
      </c>
    </row>
    <row r="56" spans="1:45" s="63" customFormat="1" ht="6.75" customHeight="1" x14ac:dyDescent="0.25">
      <c r="A56" s="60"/>
      <c r="B56" s="53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60"/>
      <c r="X56" s="60"/>
      <c r="Y56" s="60"/>
      <c r="Z56" s="60"/>
      <c r="AA56" s="60"/>
      <c r="AB56" s="60"/>
      <c r="AC56" s="60"/>
      <c r="AD56" s="60"/>
      <c r="AE56" s="60"/>
      <c r="AF56" s="60"/>
      <c r="AG56" s="60"/>
      <c r="AH56" s="61"/>
      <c r="AI56" s="61"/>
      <c r="AJ56" s="61"/>
      <c r="AK56" s="61"/>
      <c r="AL56" s="61"/>
      <c r="AM56" s="60"/>
      <c r="AN56" s="61"/>
      <c r="AO56" s="61"/>
      <c r="AP56" s="60"/>
      <c r="AQ56" s="69"/>
      <c r="AR56" s="69"/>
      <c r="AS56" s="65"/>
    </row>
    <row r="57" spans="1:45" s="63" customFormat="1" ht="12.95" customHeight="1" x14ac:dyDescent="0.25">
      <c r="A57" s="41"/>
      <c r="B57" s="42" t="s">
        <v>15</v>
      </c>
      <c r="C57" s="67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3"/>
      <c r="AB57" s="43"/>
      <c r="AC57" s="43"/>
      <c r="AD57" s="43"/>
      <c r="AE57" s="43"/>
      <c r="AF57" s="43"/>
      <c r="AG57" s="43"/>
      <c r="AH57" s="44">
        <f>COUNTA(Août!$C57:$AG57)</f>
        <v>0</v>
      </c>
      <c r="AI57" s="45">
        <f>(COUNTIFS(Août!$C57:$AG57,("cp")))/2+Juillet!AI57</f>
        <v>0</v>
      </c>
      <c r="AJ57" s="45">
        <f>COUNTIFS(Août!$C57:$AG57,"RTT")/2+Juillet!AJ57</f>
        <v>0</v>
      </c>
      <c r="AK57" s="45">
        <f>COUNTIFS(Août!$C57:$AG57,"m")/2+Juillet!AK57</f>
        <v>0</v>
      </c>
      <c r="AL57" s="45">
        <f>COUNTIFS(Août!$C57:$AG57,"a")/2+Juillet!AL57</f>
        <v>0</v>
      </c>
      <c r="AM57" s="46"/>
      <c r="AN57" s="47"/>
      <c r="AO57" s="47"/>
      <c r="AP57" s="46"/>
      <c r="AQ57" s="47"/>
      <c r="AR57" s="47"/>
      <c r="AS57" s="47"/>
    </row>
    <row r="58" spans="1:45" s="63" customFormat="1" ht="12.95" customHeight="1" x14ac:dyDescent="0.25">
      <c r="A58" s="48">
        <v>42975</v>
      </c>
      <c r="B58" s="42" t="s">
        <v>16</v>
      </c>
      <c r="C58" s="67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3"/>
      <c r="AB58" s="43"/>
      <c r="AC58" s="43"/>
      <c r="AD58" s="43"/>
      <c r="AE58" s="43"/>
      <c r="AF58" s="43"/>
      <c r="AG58" s="43"/>
      <c r="AH58" s="44">
        <f>COUNTA(Août!$C58:$AG58)</f>
        <v>0</v>
      </c>
      <c r="AI58" s="45">
        <f>(COUNTIFS(Août!$C58:$AG58,("cp")))/2+Juillet!AI58</f>
        <v>0</v>
      </c>
      <c r="AJ58" s="45">
        <f>COUNTIFS(Août!$C58:$AG58,"RTT")/2+Juillet!AJ58</f>
        <v>0</v>
      </c>
      <c r="AK58" s="45">
        <f>COUNTIFS(Août!$C58:$AG58,"m")/2+Juillet!AK58</f>
        <v>0</v>
      </c>
      <c r="AL58" s="45">
        <f>COUNTIFS(Août!$C58:$AG58,"a")/2+Juillet!AL58</f>
        <v>0</v>
      </c>
      <c r="AM58" s="46"/>
      <c r="AN58" s="47"/>
      <c r="AO58" s="47"/>
      <c r="AP58" s="46"/>
      <c r="AQ58" s="47"/>
      <c r="AR58" s="47"/>
      <c r="AS58" s="101"/>
    </row>
    <row r="59" spans="1:45" s="63" customFormat="1" ht="12.95" customHeight="1" x14ac:dyDescent="0.25">
      <c r="A59" s="41"/>
      <c r="B59" s="42"/>
      <c r="C59" s="49" t="str">
        <f t="shared" ref="C59:AG59" si="30">IF(C57&gt;0,C57,IF(C58&gt;0,C58,""))</f>
        <v/>
      </c>
      <c r="D59" s="49" t="str">
        <f t="shared" si="30"/>
        <v/>
      </c>
      <c r="E59" s="49" t="str">
        <f t="shared" si="30"/>
        <v/>
      </c>
      <c r="F59" s="49" t="str">
        <f t="shared" si="30"/>
        <v/>
      </c>
      <c r="G59" s="49" t="str">
        <f t="shared" si="30"/>
        <v/>
      </c>
      <c r="H59" s="49" t="str">
        <f t="shared" si="30"/>
        <v/>
      </c>
      <c r="I59" s="49" t="str">
        <f t="shared" si="30"/>
        <v/>
      </c>
      <c r="J59" s="49" t="str">
        <f t="shared" si="30"/>
        <v/>
      </c>
      <c r="K59" s="49" t="str">
        <f t="shared" si="30"/>
        <v/>
      </c>
      <c r="L59" s="49" t="str">
        <f t="shared" si="30"/>
        <v/>
      </c>
      <c r="M59" s="49" t="str">
        <f t="shared" si="30"/>
        <v/>
      </c>
      <c r="N59" s="49" t="str">
        <f t="shared" si="30"/>
        <v/>
      </c>
      <c r="O59" s="49" t="str">
        <f t="shared" si="30"/>
        <v/>
      </c>
      <c r="P59" s="49" t="str">
        <f t="shared" si="30"/>
        <v/>
      </c>
      <c r="Q59" s="49" t="str">
        <f t="shared" si="30"/>
        <v/>
      </c>
      <c r="R59" s="49" t="str">
        <f t="shared" si="30"/>
        <v/>
      </c>
      <c r="S59" s="49" t="str">
        <f t="shared" si="30"/>
        <v/>
      </c>
      <c r="T59" s="49" t="str">
        <f t="shared" si="30"/>
        <v/>
      </c>
      <c r="U59" s="49" t="str">
        <f t="shared" si="30"/>
        <v/>
      </c>
      <c r="V59" s="49" t="str">
        <f t="shared" si="30"/>
        <v/>
      </c>
      <c r="W59" s="49" t="str">
        <f t="shared" si="30"/>
        <v/>
      </c>
      <c r="X59" s="49" t="str">
        <f t="shared" si="30"/>
        <v/>
      </c>
      <c r="Y59" s="49" t="str">
        <f t="shared" si="30"/>
        <v/>
      </c>
      <c r="Z59" s="49" t="str">
        <f t="shared" si="30"/>
        <v/>
      </c>
      <c r="AA59" s="49" t="str">
        <f t="shared" si="30"/>
        <v/>
      </c>
      <c r="AB59" s="49" t="str">
        <f t="shared" si="30"/>
        <v/>
      </c>
      <c r="AC59" s="49" t="str">
        <f t="shared" si="30"/>
        <v/>
      </c>
      <c r="AD59" s="49" t="str">
        <f t="shared" si="30"/>
        <v/>
      </c>
      <c r="AE59" s="49" t="str">
        <f t="shared" si="30"/>
        <v/>
      </c>
      <c r="AF59" s="49" t="str">
        <f t="shared" si="30"/>
        <v/>
      </c>
      <c r="AG59" s="49" t="str">
        <f t="shared" si="30"/>
        <v/>
      </c>
      <c r="AH59" s="44">
        <f>SUM(AH57:AH58)</f>
        <v>0</v>
      </c>
      <c r="AI59" s="45">
        <f>SUM(AI57:AI58)</f>
        <v>0</v>
      </c>
      <c r="AJ59" s="45">
        <f>SUM(AJ57:AJ58)</f>
        <v>0</v>
      </c>
      <c r="AK59" s="45">
        <f t="shared" ref="AK59:AL59" si="31">SUM(AK57:AK58)</f>
        <v>0</v>
      </c>
      <c r="AL59" s="45">
        <f t="shared" si="31"/>
        <v>0</v>
      </c>
      <c r="AM59" s="50">
        <v>0</v>
      </c>
      <c r="AN59" s="51">
        <f>IF(A58="","",IF(A58&gt;NomMois,0,IF(A58&lt;$A$3,2.08,(NETWORKDAYS(A58,$A$2)/21.66667)*2.08)))</f>
        <v>0.38399994092308604</v>
      </c>
      <c r="AO59" s="51">
        <f>IF( AN59="",0,+AN59+Juillet!AO59)</f>
        <v>0.38399994092308604</v>
      </c>
      <c r="AP59" s="50"/>
      <c r="AQ59" s="45">
        <f>+AM59-AI59</f>
        <v>0</v>
      </c>
      <c r="AR59" s="45">
        <f>+AP59-AJ59</f>
        <v>0</v>
      </c>
      <c r="AS59" s="102">
        <f t="shared" si="17"/>
        <v>0.38399994092308604</v>
      </c>
    </row>
    <row r="60" spans="1:45" s="63" customFormat="1" ht="6.75" customHeight="1" x14ac:dyDescent="0.25">
      <c r="A60" s="60"/>
      <c r="B60" s="42"/>
      <c r="C60" s="64"/>
      <c r="D60" s="64"/>
      <c r="E60" s="64"/>
      <c r="F60" s="64"/>
      <c r="G60" s="64"/>
      <c r="H60" s="64"/>
      <c r="I60" s="64"/>
      <c r="J60" s="64"/>
      <c r="K60" s="64"/>
      <c r="L60" s="64"/>
      <c r="M60" s="64"/>
      <c r="N60" s="64"/>
      <c r="O60" s="64"/>
      <c r="P60" s="64"/>
      <c r="Q60" s="64"/>
      <c r="R60" s="64"/>
      <c r="S60" s="64"/>
      <c r="T60" s="64"/>
      <c r="U60" s="64"/>
      <c r="V60" s="64"/>
      <c r="W60" s="64"/>
      <c r="X60" s="64"/>
      <c r="Y60" s="64"/>
      <c r="Z60" s="64"/>
      <c r="AA60" s="64"/>
      <c r="AB60" s="64"/>
      <c r="AC60" s="64"/>
      <c r="AD60" s="64"/>
      <c r="AE60" s="64"/>
      <c r="AF60" s="64"/>
      <c r="AG60" s="64"/>
      <c r="AH60" s="65"/>
      <c r="AI60" s="65"/>
      <c r="AJ60" s="65"/>
      <c r="AK60" s="65"/>
      <c r="AL60" s="65"/>
      <c r="AM60" s="64"/>
      <c r="AN60" s="65"/>
      <c r="AO60" s="65"/>
      <c r="AP60" s="64"/>
      <c r="AQ60" s="69"/>
      <c r="AR60" s="69"/>
      <c r="AS60" s="65"/>
    </row>
    <row r="61" spans="1:45" s="63" customFormat="1" ht="12.95" customHeight="1" x14ac:dyDescent="0.25">
      <c r="A61" s="41"/>
      <c r="B61" s="42" t="s">
        <v>15</v>
      </c>
      <c r="C61" s="67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  <c r="AA61" s="43"/>
      <c r="AB61" s="43"/>
      <c r="AC61" s="43"/>
      <c r="AD61" s="43"/>
      <c r="AE61" s="43"/>
      <c r="AF61" s="43"/>
      <c r="AG61" s="43"/>
      <c r="AH61" s="44">
        <f>COUNTA(Août!$C61:$AG61)</f>
        <v>0</v>
      </c>
      <c r="AI61" s="45">
        <f>(COUNTIFS(Août!$C61:$AG61,("cp")))/2+Juillet!AI61</f>
        <v>4</v>
      </c>
      <c r="AJ61" s="45">
        <f>COUNTIFS(Août!$C61:$AG61,"RTT")/2+Juillet!AJ61</f>
        <v>0</v>
      </c>
      <c r="AK61" s="45">
        <f>COUNTIFS(Août!$C61:$AG61,"m")/2+Juillet!AK61</f>
        <v>0</v>
      </c>
      <c r="AL61" s="45">
        <f>COUNTIFS(Août!$C61:$AG61,"a")/2+Juillet!AL61</f>
        <v>0</v>
      </c>
      <c r="AM61" s="46"/>
      <c r="AN61" s="47"/>
      <c r="AO61" s="47"/>
      <c r="AP61" s="46"/>
      <c r="AQ61" s="47"/>
      <c r="AR61" s="47"/>
      <c r="AS61" s="47"/>
    </row>
    <row r="62" spans="1:45" s="63" customFormat="1" ht="12.95" customHeight="1" x14ac:dyDescent="0.25">
      <c r="A62" s="48">
        <v>42646</v>
      </c>
      <c r="B62" s="42" t="s">
        <v>16</v>
      </c>
      <c r="C62" s="67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  <c r="AA62" s="43"/>
      <c r="AB62" s="43"/>
      <c r="AC62" s="43"/>
      <c r="AD62" s="43"/>
      <c r="AE62" s="43"/>
      <c r="AF62" s="43"/>
      <c r="AG62" s="43"/>
      <c r="AH62" s="44">
        <f>COUNTA(Août!$C62:$AG62)</f>
        <v>0</v>
      </c>
      <c r="AI62" s="45">
        <f>(COUNTIFS(Août!$C62:$AG62,("cp")))/2+Juillet!AI62</f>
        <v>4</v>
      </c>
      <c r="AJ62" s="45">
        <f>COUNTIFS(Août!$C62:$AG62,"RTT")/2+Juillet!AJ62</f>
        <v>0</v>
      </c>
      <c r="AK62" s="45">
        <f>COUNTIFS(Août!$C62:$AG62,"m")/2+Juillet!AK62</f>
        <v>0</v>
      </c>
      <c r="AL62" s="45">
        <f>COUNTIFS(Août!$C62:$AG62,"a")/2+Juillet!AL62</f>
        <v>0</v>
      </c>
      <c r="AM62" s="46"/>
      <c r="AN62" s="47"/>
      <c r="AO62" s="47"/>
      <c r="AP62" s="46"/>
      <c r="AQ62" s="47"/>
      <c r="AR62" s="47"/>
      <c r="AS62" s="101"/>
    </row>
    <row r="63" spans="1:45" s="63" customFormat="1" ht="12.95" customHeight="1" x14ac:dyDescent="0.25">
      <c r="A63" s="41"/>
      <c r="B63" s="42"/>
      <c r="C63" s="49" t="str">
        <f t="shared" ref="C63:AG63" si="32">IF(C61&gt;0,C61,IF(C62&gt;0,C62,""))</f>
        <v/>
      </c>
      <c r="D63" s="49" t="str">
        <f t="shared" si="32"/>
        <v/>
      </c>
      <c r="E63" s="49" t="str">
        <f t="shared" si="32"/>
        <v/>
      </c>
      <c r="F63" s="49" t="str">
        <f t="shared" si="32"/>
        <v/>
      </c>
      <c r="G63" s="49" t="str">
        <f t="shared" si="32"/>
        <v/>
      </c>
      <c r="H63" s="49" t="str">
        <f t="shared" si="32"/>
        <v/>
      </c>
      <c r="I63" s="49" t="str">
        <f t="shared" si="32"/>
        <v/>
      </c>
      <c r="J63" s="49" t="str">
        <f t="shared" si="32"/>
        <v/>
      </c>
      <c r="K63" s="49" t="str">
        <f t="shared" si="32"/>
        <v/>
      </c>
      <c r="L63" s="49" t="str">
        <f t="shared" si="32"/>
        <v/>
      </c>
      <c r="M63" s="49" t="str">
        <f t="shared" si="32"/>
        <v/>
      </c>
      <c r="N63" s="49" t="str">
        <f t="shared" si="32"/>
        <v/>
      </c>
      <c r="O63" s="49" t="str">
        <f t="shared" si="32"/>
        <v/>
      </c>
      <c r="P63" s="49" t="str">
        <f t="shared" si="32"/>
        <v/>
      </c>
      <c r="Q63" s="49" t="str">
        <f t="shared" si="32"/>
        <v/>
      </c>
      <c r="R63" s="49" t="str">
        <f t="shared" si="32"/>
        <v/>
      </c>
      <c r="S63" s="49" t="str">
        <f t="shared" si="32"/>
        <v/>
      </c>
      <c r="T63" s="49" t="str">
        <f t="shared" si="32"/>
        <v/>
      </c>
      <c r="U63" s="49" t="str">
        <f t="shared" si="32"/>
        <v/>
      </c>
      <c r="V63" s="49" t="str">
        <f t="shared" si="32"/>
        <v/>
      </c>
      <c r="W63" s="49" t="str">
        <f t="shared" si="32"/>
        <v/>
      </c>
      <c r="X63" s="49" t="str">
        <f t="shared" si="32"/>
        <v/>
      </c>
      <c r="Y63" s="49" t="str">
        <f t="shared" si="32"/>
        <v/>
      </c>
      <c r="Z63" s="49" t="str">
        <f t="shared" si="32"/>
        <v/>
      </c>
      <c r="AA63" s="49" t="str">
        <f t="shared" si="32"/>
        <v/>
      </c>
      <c r="AB63" s="49" t="str">
        <f t="shared" si="32"/>
        <v/>
      </c>
      <c r="AC63" s="49" t="str">
        <f t="shared" si="32"/>
        <v/>
      </c>
      <c r="AD63" s="49" t="str">
        <f t="shared" si="32"/>
        <v/>
      </c>
      <c r="AE63" s="49" t="str">
        <f t="shared" si="32"/>
        <v/>
      </c>
      <c r="AF63" s="49" t="str">
        <f t="shared" si="32"/>
        <v/>
      </c>
      <c r="AG63" s="49" t="str">
        <f t="shared" si="32"/>
        <v/>
      </c>
      <c r="AH63" s="44">
        <f>SUM(AH61:AH62)</f>
        <v>0</v>
      </c>
      <c r="AI63" s="45">
        <f>SUM(AI61:AI62)</f>
        <v>8</v>
      </c>
      <c r="AJ63" s="45">
        <f>SUM(AJ61:AJ62)</f>
        <v>0</v>
      </c>
      <c r="AK63" s="45">
        <f t="shared" ref="AK63:AL63" si="33">SUM(AK61:AK62)</f>
        <v>0</v>
      </c>
      <c r="AL63" s="45">
        <f t="shared" si="33"/>
        <v>0</v>
      </c>
      <c r="AM63" s="50">
        <f>+Juin!AM63</f>
        <v>16.64</v>
      </c>
      <c r="AN63" s="51">
        <f>IF(A62="","",IF(A62&gt;NomMois,0,IF(A62&lt;$A$3,2.08,(NETWORKDAYS(A62,$A$2)/21.66667)*2.08)))</f>
        <v>2.08</v>
      </c>
      <c r="AO63" s="51">
        <f>IF( AN63="",0,+AN63+Juillet!AO63)</f>
        <v>6.24</v>
      </c>
      <c r="AP63" s="50"/>
      <c r="AQ63" s="45">
        <f>+AM63-AI63</f>
        <v>8.64</v>
      </c>
      <c r="AR63" s="45">
        <f>+AP63-AJ63</f>
        <v>0</v>
      </c>
      <c r="AS63" s="102">
        <f t="shared" si="17"/>
        <v>14.88</v>
      </c>
    </row>
    <row r="64" spans="1:45" s="63" customFormat="1" ht="6.75" customHeight="1" x14ac:dyDescent="0.25">
      <c r="A64" s="60"/>
      <c r="B64" s="53"/>
      <c r="C64" s="60"/>
      <c r="D64" s="60"/>
      <c r="E64" s="60"/>
      <c r="F64" s="60"/>
      <c r="G64" s="60"/>
      <c r="H64" s="60"/>
      <c r="I64" s="60"/>
      <c r="J64" s="60"/>
      <c r="K64" s="60"/>
      <c r="L64" s="60"/>
      <c r="M64" s="60"/>
      <c r="N64" s="60"/>
      <c r="O64" s="60"/>
      <c r="P64" s="60"/>
      <c r="Q64" s="60"/>
      <c r="R64" s="60"/>
      <c r="S64" s="60"/>
      <c r="T64" s="60"/>
      <c r="U64" s="60"/>
      <c r="V64" s="60"/>
      <c r="W64" s="60"/>
      <c r="X64" s="60"/>
      <c r="Y64" s="60"/>
      <c r="Z64" s="60"/>
      <c r="AA64" s="60"/>
      <c r="AB64" s="60"/>
      <c r="AC64" s="60"/>
      <c r="AD64" s="60"/>
      <c r="AE64" s="60"/>
      <c r="AF64" s="60"/>
      <c r="AG64" s="60"/>
      <c r="AH64" s="61">
        <v>0</v>
      </c>
      <c r="AI64" s="61">
        <v>0</v>
      </c>
      <c r="AJ64" s="61">
        <v>0</v>
      </c>
      <c r="AK64" s="61">
        <v>0</v>
      </c>
      <c r="AL64" s="61">
        <v>0</v>
      </c>
      <c r="AM64" s="60"/>
      <c r="AN64" s="61"/>
      <c r="AO64" s="61"/>
      <c r="AP64" s="60"/>
      <c r="AQ64" s="69"/>
      <c r="AR64" s="69"/>
      <c r="AS64" s="65"/>
    </row>
    <row r="65" spans="1:45" s="63" customFormat="1" ht="12.95" customHeight="1" x14ac:dyDescent="0.25">
      <c r="A65" s="41"/>
      <c r="B65" s="42" t="s">
        <v>15</v>
      </c>
      <c r="C65" s="67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  <c r="W65" s="43"/>
      <c r="X65" s="43"/>
      <c r="Y65" s="43"/>
      <c r="Z65" s="43"/>
      <c r="AA65" s="43"/>
      <c r="AB65" s="43"/>
      <c r="AC65" s="43"/>
      <c r="AD65" s="43"/>
      <c r="AE65" s="43"/>
      <c r="AF65" s="43"/>
      <c r="AG65" s="43"/>
      <c r="AH65" s="44">
        <f>COUNTA(Août!$C65:$AG65)</f>
        <v>0</v>
      </c>
      <c r="AI65" s="45">
        <f>(COUNTIFS(Août!$C65:$AG65,("cp")))/2+Juillet!AI65</f>
        <v>4.5</v>
      </c>
      <c r="AJ65" s="45">
        <f>COUNTIFS(Août!$C65:$AG65,"RTT")/2+Juillet!AJ65</f>
        <v>0</v>
      </c>
      <c r="AK65" s="45">
        <f>COUNTIFS(Août!$C65:$AG65,"m")/2+Juillet!AK65</f>
        <v>0</v>
      </c>
      <c r="AL65" s="45">
        <f>COUNTIFS(Août!$C65:$AG65,"a")/2+Juillet!AL65</f>
        <v>0</v>
      </c>
      <c r="AM65" s="46"/>
      <c r="AN65" s="47"/>
      <c r="AO65" s="47"/>
      <c r="AP65" s="46"/>
      <c r="AQ65" s="47"/>
      <c r="AR65" s="47"/>
      <c r="AS65" s="47"/>
    </row>
    <row r="66" spans="1:45" s="63" customFormat="1" ht="12.95" customHeight="1" x14ac:dyDescent="0.25">
      <c r="A66" s="48">
        <v>42410</v>
      </c>
      <c r="B66" s="42" t="s">
        <v>16</v>
      </c>
      <c r="C66" s="67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3"/>
      <c r="T66" s="43"/>
      <c r="U66" s="43"/>
      <c r="V66" s="43"/>
      <c r="W66" s="43"/>
      <c r="X66" s="43"/>
      <c r="Y66" s="43"/>
      <c r="Z66" s="43"/>
      <c r="AA66" s="43"/>
      <c r="AB66" s="43"/>
      <c r="AC66" s="43"/>
      <c r="AD66" s="43"/>
      <c r="AE66" s="43"/>
      <c r="AF66" s="43"/>
      <c r="AG66" s="43"/>
      <c r="AH66" s="44">
        <f>COUNTA(Août!$C66:$AG66)</f>
        <v>0</v>
      </c>
      <c r="AI66" s="45">
        <f>(COUNTIFS(Août!$C66:$AG66,("cp")))/2+Juillet!AI66</f>
        <v>4.5</v>
      </c>
      <c r="AJ66" s="45">
        <f>COUNTIFS(Août!$C66:$AG66,"RTT")/2+Juillet!AJ66</f>
        <v>0</v>
      </c>
      <c r="AK66" s="45">
        <f>COUNTIFS(Août!$C66:$AG66,"m")/2+Juillet!AK66</f>
        <v>0</v>
      </c>
      <c r="AL66" s="45">
        <f>COUNTIFS(Août!$C66:$AG66,"a")/2+Juillet!AL66</f>
        <v>0</v>
      </c>
      <c r="AM66" s="46"/>
      <c r="AN66" s="47"/>
      <c r="AO66" s="47"/>
      <c r="AP66" s="46"/>
      <c r="AQ66" s="47"/>
      <c r="AR66" s="47"/>
      <c r="AS66" s="101"/>
    </row>
    <row r="67" spans="1:45" s="63" customFormat="1" ht="12.95" customHeight="1" x14ac:dyDescent="0.25">
      <c r="A67" s="41"/>
      <c r="B67" s="42"/>
      <c r="C67" s="49" t="str">
        <f t="shared" ref="C67:AG67" si="34">IF(C65&gt;0,C65,IF(C66&gt;0,C66,""))</f>
        <v/>
      </c>
      <c r="D67" s="49" t="str">
        <f t="shared" si="34"/>
        <v/>
      </c>
      <c r="E67" s="49" t="str">
        <f t="shared" si="34"/>
        <v/>
      </c>
      <c r="F67" s="49" t="str">
        <f t="shared" si="34"/>
        <v/>
      </c>
      <c r="G67" s="49" t="str">
        <f t="shared" si="34"/>
        <v/>
      </c>
      <c r="H67" s="49" t="str">
        <f t="shared" si="34"/>
        <v/>
      </c>
      <c r="I67" s="49" t="str">
        <f t="shared" si="34"/>
        <v/>
      </c>
      <c r="J67" s="49" t="str">
        <f t="shared" si="34"/>
        <v/>
      </c>
      <c r="K67" s="49" t="str">
        <f t="shared" si="34"/>
        <v/>
      </c>
      <c r="L67" s="49" t="str">
        <f t="shared" si="34"/>
        <v/>
      </c>
      <c r="M67" s="49" t="str">
        <f t="shared" si="34"/>
        <v/>
      </c>
      <c r="N67" s="49" t="str">
        <f t="shared" si="34"/>
        <v/>
      </c>
      <c r="O67" s="49" t="str">
        <f t="shared" si="34"/>
        <v/>
      </c>
      <c r="P67" s="49" t="str">
        <f t="shared" si="34"/>
        <v/>
      </c>
      <c r="Q67" s="49" t="str">
        <f t="shared" si="34"/>
        <v/>
      </c>
      <c r="R67" s="49" t="str">
        <f t="shared" si="34"/>
        <v/>
      </c>
      <c r="S67" s="49" t="str">
        <f t="shared" si="34"/>
        <v/>
      </c>
      <c r="T67" s="49" t="str">
        <f t="shared" si="34"/>
        <v/>
      </c>
      <c r="U67" s="49" t="str">
        <f t="shared" si="34"/>
        <v/>
      </c>
      <c r="V67" s="49" t="str">
        <f t="shared" si="34"/>
        <v/>
      </c>
      <c r="W67" s="49" t="str">
        <f t="shared" si="34"/>
        <v/>
      </c>
      <c r="X67" s="49" t="str">
        <f t="shared" si="34"/>
        <v/>
      </c>
      <c r="Y67" s="49" t="str">
        <f t="shared" si="34"/>
        <v/>
      </c>
      <c r="Z67" s="49" t="str">
        <f t="shared" si="34"/>
        <v/>
      </c>
      <c r="AA67" s="49" t="str">
        <f t="shared" si="34"/>
        <v/>
      </c>
      <c r="AB67" s="49" t="str">
        <f t="shared" si="34"/>
        <v/>
      </c>
      <c r="AC67" s="49" t="str">
        <f t="shared" si="34"/>
        <v/>
      </c>
      <c r="AD67" s="49" t="str">
        <f t="shared" si="34"/>
        <v/>
      </c>
      <c r="AE67" s="49" t="str">
        <f t="shared" si="34"/>
        <v/>
      </c>
      <c r="AF67" s="49" t="str">
        <f t="shared" si="34"/>
        <v/>
      </c>
      <c r="AG67" s="49" t="str">
        <f t="shared" si="34"/>
        <v/>
      </c>
      <c r="AH67" s="44">
        <f>SUM(AH65:AH66)</f>
        <v>0</v>
      </c>
      <c r="AI67" s="45">
        <f>SUM(AI65:AI66)</f>
        <v>9</v>
      </c>
      <c r="AJ67" s="45">
        <f>SUM(AJ65:AJ66)</f>
        <v>0</v>
      </c>
      <c r="AK67" s="45">
        <f t="shared" ref="AK67:AL67" si="35">SUM(AK65:AK66)</f>
        <v>0</v>
      </c>
      <c r="AL67" s="45">
        <f t="shared" si="35"/>
        <v>0</v>
      </c>
      <c r="AM67" s="50">
        <f>+Juin!AM67</f>
        <v>22.46</v>
      </c>
      <c r="AN67" s="51">
        <f>IF(A66="","",IF(A66&gt;NomMois,0,IF(A66&lt;$A$3,2.08,(NETWORKDAYS(A66,$A$2)/21.66667)*2.08)))</f>
        <v>2.08</v>
      </c>
      <c r="AO67" s="51">
        <f>IF( AN67="",0,+AN67+Juillet!AO67)</f>
        <v>6.24</v>
      </c>
      <c r="AP67" s="50"/>
      <c r="AQ67" s="45">
        <f>+AM67-AI67</f>
        <v>13.46</v>
      </c>
      <c r="AR67" s="45">
        <f>+AP67-AJ67</f>
        <v>0</v>
      </c>
      <c r="AS67" s="102">
        <f t="shared" si="17"/>
        <v>19.700000000000003</v>
      </c>
    </row>
    <row r="68" spans="1:45" s="63" customFormat="1" ht="6.75" customHeight="1" x14ac:dyDescent="0.25">
      <c r="A68" s="64"/>
      <c r="B68" s="42"/>
      <c r="C68" s="64"/>
      <c r="D68" s="64"/>
      <c r="E68" s="64"/>
      <c r="F68" s="64"/>
      <c r="G68" s="64"/>
      <c r="H68" s="64"/>
      <c r="I68" s="64"/>
      <c r="J68" s="64"/>
      <c r="K68" s="64"/>
      <c r="L68" s="64"/>
      <c r="M68" s="64"/>
      <c r="N68" s="64"/>
      <c r="O68" s="64"/>
      <c r="P68" s="64"/>
      <c r="Q68" s="64"/>
      <c r="R68" s="64"/>
      <c r="S68" s="64"/>
      <c r="T68" s="64"/>
      <c r="U68" s="64"/>
      <c r="V68" s="64"/>
      <c r="W68" s="64"/>
      <c r="X68" s="64"/>
      <c r="Y68" s="64"/>
      <c r="Z68" s="64"/>
      <c r="AA68" s="64"/>
      <c r="AB68" s="64"/>
      <c r="AC68" s="64"/>
      <c r="AD68" s="64"/>
      <c r="AE68" s="64"/>
      <c r="AF68" s="64"/>
      <c r="AG68" s="64"/>
      <c r="AH68" s="65"/>
      <c r="AI68" s="65"/>
      <c r="AJ68" s="65"/>
      <c r="AK68" s="65"/>
      <c r="AL68" s="65"/>
      <c r="AM68" s="64"/>
      <c r="AN68" s="65"/>
      <c r="AO68" s="65"/>
      <c r="AP68" s="64"/>
      <c r="AQ68" s="69"/>
      <c r="AR68" s="69"/>
      <c r="AS68" s="65"/>
    </row>
    <row r="69" spans="1:45" s="63" customFormat="1" ht="12.95" customHeight="1" x14ac:dyDescent="0.25">
      <c r="A69" s="41"/>
      <c r="B69" s="42" t="s">
        <v>15</v>
      </c>
      <c r="C69" s="67" t="s">
        <v>7</v>
      </c>
      <c r="D69" s="43" t="s">
        <v>7</v>
      </c>
      <c r="E69" s="43" t="s">
        <v>7</v>
      </c>
      <c r="F69" s="43" t="s">
        <v>7</v>
      </c>
      <c r="G69" s="43"/>
      <c r="H69" s="43"/>
      <c r="I69" s="43" t="s">
        <v>7</v>
      </c>
      <c r="J69" s="43" t="s">
        <v>7</v>
      </c>
      <c r="K69" s="43" t="s">
        <v>7</v>
      </c>
      <c r="L69" s="43" t="s">
        <v>7</v>
      </c>
      <c r="M69" s="43" t="s">
        <v>7</v>
      </c>
      <c r="N69" s="43"/>
      <c r="O69" s="43"/>
      <c r="P69" s="43" t="s">
        <v>7</v>
      </c>
      <c r="Q69" s="43"/>
      <c r="R69" s="43" t="s">
        <v>7</v>
      </c>
      <c r="S69" s="43" t="s">
        <v>7</v>
      </c>
      <c r="T69" s="43" t="s">
        <v>7</v>
      </c>
      <c r="U69" s="43"/>
      <c r="V69" s="43"/>
      <c r="W69" s="43" t="s">
        <v>7</v>
      </c>
      <c r="X69" s="43" t="s">
        <v>7</v>
      </c>
      <c r="Y69" s="43" t="s">
        <v>7</v>
      </c>
      <c r="Z69" s="43" t="s">
        <v>7</v>
      </c>
      <c r="AA69" s="43"/>
      <c r="AB69" s="43"/>
      <c r="AC69" s="43"/>
      <c r="AD69" s="43"/>
      <c r="AE69" s="43"/>
      <c r="AF69" s="43"/>
      <c r="AG69" s="43"/>
      <c r="AH69" s="44">
        <f>COUNTA(Août!$C69:$AG69)</f>
        <v>17</v>
      </c>
      <c r="AI69" s="45">
        <f>(COUNTIFS(Août!$C69:$AG69,("cp")))/2+Juillet!AI69</f>
        <v>10</v>
      </c>
      <c r="AJ69" s="45">
        <f>COUNTIFS(Août!$C69:$AG69,"RTT")/2+Juillet!AJ69</f>
        <v>0</v>
      </c>
      <c r="AK69" s="45">
        <f>COUNTIFS(Août!$C69:$AG69,"m")/2+Juillet!AK69</f>
        <v>0</v>
      </c>
      <c r="AL69" s="45">
        <f>COUNTIFS(Août!$C69:$AG69,"a")/2+Juillet!AL69</f>
        <v>1</v>
      </c>
      <c r="AM69" s="46"/>
      <c r="AN69" s="47"/>
      <c r="AO69" s="47"/>
      <c r="AP69" s="46"/>
      <c r="AQ69" s="47"/>
      <c r="AR69" s="47"/>
      <c r="AS69" s="47"/>
    </row>
    <row r="70" spans="1:45" s="63" customFormat="1" ht="12.95" customHeight="1" x14ac:dyDescent="0.25">
      <c r="A70" s="48">
        <v>41701</v>
      </c>
      <c r="B70" s="42" t="s">
        <v>16</v>
      </c>
      <c r="C70" s="67" t="s">
        <v>7</v>
      </c>
      <c r="D70" s="43" t="s">
        <v>7</v>
      </c>
      <c r="E70" s="43" t="s">
        <v>7</v>
      </c>
      <c r="F70" s="43" t="s">
        <v>7</v>
      </c>
      <c r="G70" s="43"/>
      <c r="H70" s="43"/>
      <c r="I70" s="43" t="s">
        <v>7</v>
      </c>
      <c r="J70" s="43" t="s">
        <v>7</v>
      </c>
      <c r="K70" s="43" t="s">
        <v>7</v>
      </c>
      <c r="L70" s="43" t="s">
        <v>7</v>
      </c>
      <c r="M70" s="43" t="s">
        <v>7</v>
      </c>
      <c r="N70" s="43"/>
      <c r="O70" s="43"/>
      <c r="P70" s="43" t="s">
        <v>7</v>
      </c>
      <c r="Q70" s="43"/>
      <c r="R70" s="43" t="s">
        <v>7</v>
      </c>
      <c r="S70" s="43" t="s">
        <v>7</v>
      </c>
      <c r="T70" s="43" t="s">
        <v>7</v>
      </c>
      <c r="U70" s="43"/>
      <c r="V70" s="43"/>
      <c r="W70" s="43" t="s">
        <v>7</v>
      </c>
      <c r="X70" s="43" t="s">
        <v>7</v>
      </c>
      <c r="Y70" s="43" t="s">
        <v>7</v>
      </c>
      <c r="Z70" s="43" t="s">
        <v>7</v>
      </c>
      <c r="AA70" s="43"/>
      <c r="AB70" s="43"/>
      <c r="AC70" s="43"/>
      <c r="AD70" s="43"/>
      <c r="AE70" s="43"/>
      <c r="AF70" s="43"/>
      <c r="AG70" s="43"/>
      <c r="AH70" s="44">
        <f>COUNTA(Août!$C70:$AG70)</f>
        <v>17</v>
      </c>
      <c r="AI70" s="45">
        <f>(COUNTIFS(Août!$C70:$AG70,("cp")))/2+Juillet!AI70</f>
        <v>10</v>
      </c>
      <c r="AJ70" s="45">
        <f>COUNTIFS(Août!$C70:$AG70,"RTT")/2+Juillet!AJ70</f>
        <v>0</v>
      </c>
      <c r="AK70" s="45">
        <f>COUNTIFS(Août!$C70:$AG70,"m")/2+Juillet!AK70</f>
        <v>0</v>
      </c>
      <c r="AL70" s="45">
        <f>COUNTIFS(Août!$C70:$AG70,"a")/2+Juillet!AL70</f>
        <v>1</v>
      </c>
      <c r="AM70" s="46"/>
      <c r="AN70" s="47"/>
      <c r="AO70" s="47"/>
      <c r="AP70" s="46"/>
      <c r="AQ70" s="47"/>
      <c r="AR70" s="47"/>
      <c r="AS70" s="101"/>
    </row>
    <row r="71" spans="1:45" s="63" customFormat="1" ht="12.95" customHeight="1" x14ac:dyDescent="0.25">
      <c r="A71" s="41"/>
      <c r="B71" s="42"/>
      <c r="C71" s="49" t="str">
        <f t="shared" ref="C71:AC71" si="36">IF(C69&gt;0,C69,IF(C70&gt;0,C70,""))</f>
        <v>CP</v>
      </c>
      <c r="D71" s="49" t="str">
        <f t="shared" si="36"/>
        <v>CP</v>
      </c>
      <c r="E71" s="49" t="str">
        <f t="shared" si="36"/>
        <v>CP</v>
      </c>
      <c r="F71" s="49" t="str">
        <f t="shared" si="36"/>
        <v>CP</v>
      </c>
      <c r="G71" s="49" t="str">
        <f t="shared" si="36"/>
        <v/>
      </c>
      <c r="H71" s="49" t="str">
        <f t="shared" si="36"/>
        <v/>
      </c>
      <c r="I71" s="49" t="str">
        <f t="shared" si="36"/>
        <v>CP</v>
      </c>
      <c r="J71" s="49" t="str">
        <f t="shared" si="36"/>
        <v>CP</v>
      </c>
      <c r="K71" s="49" t="str">
        <f t="shared" si="36"/>
        <v>CP</v>
      </c>
      <c r="L71" s="49" t="str">
        <f t="shared" si="36"/>
        <v>CP</v>
      </c>
      <c r="M71" s="49" t="str">
        <f t="shared" si="36"/>
        <v>CP</v>
      </c>
      <c r="N71" s="49" t="str">
        <f t="shared" si="36"/>
        <v/>
      </c>
      <c r="O71" s="49" t="str">
        <f t="shared" si="36"/>
        <v/>
      </c>
      <c r="P71" s="49" t="str">
        <f t="shared" si="36"/>
        <v>CP</v>
      </c>
      <c r="Q71" s="49" t="str">
        <f t="shared" si="36"/>
        <v/>
      </c>
      <c r="R71" s="49" t="str">
        <f t="shared" si="36"/>
        <v>CP</v>
      </c>
      <c r="S71" s="49" t="str">
        <f t="shared" si="36"/>
        <v>CP</v>
      </c>
      <c r="T71" s="49" t="str">
        <f t="shared" si="36"/>
        <v>CP</v>
      </c>
      <c r="U71" s="49" t="str">
        <f t="shared" si="36"/>
        <v/>
      </c>
      <c r="V71" s="49" t="str">
        <f t="shared" si="36"/>
        <v/>
      </c>
      <c r="W71" s="49" t="str">
        <f t="shared" si="36"/>
        <v>CP</v>
      </c>
      <c r="X71" s="49" t="str">
        <f t="shared" si="36"/>
        <v>CP</v>
      </c>
      <c r="Y71" s="49" t="str">
        <f t="shared" si="36"/>
        <v>CP</v>
      </c>
      <c r="Z71" s="49" t="str">
        <f t="shared" si="36"/>
        <v>CP</v>
      </c>
      <c r="AA71" s="49" t="str">
        <f t="shared" si="36"/>
        <v/>
      </c>
      <c r="AB71" s="49" t="str">
        <f t="shared" si="36"/>
        <v/>
      </c>
      <c r="AC71" s="49" t="str">
        <f t="shared" si="36"/>
        <v/>
      </c>
      <c r="AD71" s="49" t="str">
        <f>IF(AD69&gt;0,AD69,IF(AD70&gt;0,AD70,""))</f>
        <v/>
      </c>
      <c r="AE71" s="49"/>
      <c r="AF71" s="49" t="str">
        <f>IF(AF69&gt;0,AF69,IF(AF70&gt;0,AF70,""))</f>
        <v/>
      </c>
      <c r="AG71" s="49" t="str">
        <f>IF(AG69&gt;0,AG69,IF(AG70&gt;0,AG70,""))</f>
        <v/>
      </c>
      <c r="AH71" s="44">
        <f>SUM(AH69:AH70)</f>
        <v>34</v>
      </c>
      <c r="AI71" s="45">
        <f>SUM(AI69:AI70)</f>
        <v>20</v>
      </c>
      <c r="AJ71" s="45">
        <f>SUM(AJ69:AJ70)</f>
        <v>0</v>
      </c>
      <c r="AK71" s="45">
        <f t="shared" ref="AK71:AL71" si="37">SUM(AK69:AK70)</f>
        <v>0</v>
      </c>
      <c r="AL71" s="45">
        <f t="shared" si="37"/>
        <v>2</v>
      </c>
      <c r="AM71" s="50">
        <f>+Juin!AM71</f>
        <v>45.34</v>
      </c>
      <c r="AN71" s="51">
        <f>IF(A70="","",IF(A70&gt;NomMois,0,IF(A70&lt;$A$3,2.08,(NETWORKDAYS(A70,$A$2)/21.66667)*2.08)))</f>
        <v>2.08</v>
      </c>
      <c r="AO71" s="51">
        <f>IF( AN71="",0,+AN71+Juillet!AO71)</f>
        <v>6.24</v>
      </c>
      <c r="AP71" s="50"/>
      <c r="AQ71" s="45">
        <f>+AM71-AI71</f>
        <v>25.340000000000003</v>
      </c>
      <c r="AR71" s="45">
        <f>+AP71-AJ71</f>
        <v>0</v>
      </c>
      <c r="AS71" s="102">
        <f t="shared" si="17"/>
        <v>31.580000000000005</v>
      </c>
    </row>
    <row r="72" spans="1:45" s="63" customFormat="1" ht="6.75" customHeight="1" x14ac:dyDescent="0.25">
      <c r="A72" s="60"/>
      <c r="B72" s="53"/>
      <c r="C72" s="60"/>
      <c r="D72" s="60"/>
      <c r="E72" s="60"/>
      <c r="F72" s="60"/>
      <c r="G72" s="60"/>
      <c r="H72" s="60"/>
      <c r="I72" s="60"/>
      <c r="J72" s="60"/>
      <c r="K72" s="60"/>
      <c r="L72" s="60"/>
      <c r="M72" s="60"/>
      <c r="N72" s="60"/>
      <c r="O72" s="60"/>
      <c r="P72" s="60"/>
      <c r="Q72" s="60"/>
      <c r="R72" s="60"/>
      <c r="S72" s="60"/>
      <c r="T72" s="60"/>
      <c r="U72" s="60"/>
      <c r="V72" s="60"/>
      <c r="W72" s="60"/>
      <c r="X72" s="60"/>
      <c r="Y72" s="60"/>
      <c r="Z72" s="60"/>
      <c r="AA72" s="60"/>
      <c r="AB72" s="60"/>
      <c r="AC72" s="60"/>
      <c r="AD72" s="60"/>
      <c r="AE72" s="60"/>
      <c r="AF72" s="60"/>
      <c r="AG72" s="60"/>
      <c r="AH72" s="61"/>
      <c r="AI72" s="61"/>
      <c r="AJ72" s="61"/>
      <c r="AK72" s="61"/>
      <c r="AL72" s="61"/>
      <c r="AM72" s="60"/>
      <c r="AN72" s="61"/>
      <c r="AO72" s="61"/>
      <c r="AP72" s="60"/>
      <c r="AQ72" s="69"/>
      <c r="AR72" s="69"/>
      <c r="AS72" s="65"/>
    </row>
    <row r="73" spans="1:45" s="63" customFormat="1" ht="12.95" customHeight="1" x14ac:dyDescent="0.25">
      <c r="A73" s="41"/>
      <c r="B73" s="42" t="s">
        <v>15</v>
      </c>
      <c r="C73" s="67"/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43"/>
      <c r="AH73" s="44">
        <f>COUNTA(Août!$C73:$AG73)</f>
        <v>0</v>
      </c>
      <c r="AI73" s="45">
        <f>(COUNTIFS(Août!$C73:$AG73,("cp")))/2+Juillet!AI73</f>
        <v>0</v>
      </c>
      <c r="AJ73" s="45">
        <f>COUNTIFS(Août!$C73:$AG73,"RTT")/2+Juillet!AJ73</f>
        <v>0</v>
      </c>
      <c r="AK73" s="45">
        <f>COUNTIFS(Août!$C73:$AG73,"m")/2+Juillet!AK73</f>
        <v>0</v>
      </c>
      <c r="AL73" s="45">
        <f>COUNTIFS(Août!$C73:$AG73,"a")/2+Juillet!AL73</f>
        <v>0</v>
      </c>
      <c r="AM73" s="46"/>
      <c r="AN73" s="47"/>
      <c r="AO73" s="47"/>
      <c r="AP73" s="46"/>
      <c r="AQ73" s="47"/>
      <c r="AR73" s="47"/>
      <c r="AS73" s="47"/>
    </row>
    <row r="74" spans="1:45" s="63" customFormat="1" ht="12.95" customHeight="1" x14ac:dyDescent="0.25">
      <c r="A74" s="48">
        <v>42979</v>
      </c>
      <c r="B74" s="42" t="s">
        <v>16</v>
      </c>
      <c r="C74" s="67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43"/>
      <c r="AH74" s="44">
        <f>COUNTA(Août!$C74:$AG74)</f>
        <v>0</v>
      </c>
      <c r="AI74" s="45">
        <f>(COUNTIFS(Août!$C74:$AG74,("cp")))/2+Juillet!AI74</f>
        <v>0</v>
      </c>
      <c r="AJ74" s="45">
        <f>COUNTIFS(Août!$C74:$AG74,"RTT")/2+Juillet!AJ74</f>
        <v>0</v>
      </c>
      <c r="AK74" s="45">
        <f>COUNTIFS(Août!$C74:$AG74,"m")/2+Juillet!AK74</f>
        <v>0</v>
      </c>
      <c r="AL74" s="45">
        <f>COUNTIFS(Août!$C74:$AG74,"a")/2+Juillet!AL74</f>
        <v>0</v>
      </c>
      <c r="AM74" s="46"/>
      <c r="AN74" s="47"/>
      <c r="AO74" s="47"/>
      <c r="AP74" s="46"/>
      <c r="AQ74" s="47"/>
      <c r="AR74" s="47"/>
      <c r="AS74" s="101"/>
    </row>
    <row r="75" spans="1:45" s="63" customFormat="1" ht="12.95" customHeight="1" x14ac:dyDescent="0.25">
      <c r="A75" s="41"/>
      <c r="B75" s="42"/>
      <c r="C75" s="49" t="str">
        <f t="shared" ref="C75:AG75" si="38">IF(C73&gt;0,C73,IF(C74&gt;0,C74,""))</f>
        <v/>
      </c>
      <c r="D75" s="49" t="str">
        <f t="shared" si="38"/>
        <v/>
      </c>
      <c r="E75" s="49" t="str">
        <f t="shared" si="38"/>
        <v/>
      </c>
      <c r="F75" s="49" t="str">
        <f t="shared" si="38"/>
        <v/>
      </c>
      <c r="G75" s="49" t="str">
        <f t="shared" si="38"/>
        <v/>
      </c>
      <c r="H75" s="49" t="str">
        <f t="shared" si="38"/>
        <v/>
      </c>
      <c r="I75" s="49" t="str">
        <f t="shared" si="38"/>
        <v/>
      </c>
      <c r="J75" s="49" t="str">
        <f t="shared" si="38"/>
        <v/>
      </c>
      <c r="K75" s="49" t="str">
        <f t="shared" si="38"/>
        <v/>
      </c>
      <c r="L75" s="49" t="str">
        <f t="shared" si="38"/>
        <v/>
      </c>
      <c r="M75" s="49" t="str">
        <f t="shared" si="38"/>
        <v/>
      </c>
      <c r="N75" s="49" t="str">
        <f t="shared" si="38"/>
        <v/>
      </c>
      <c r="O75" s="49" t="str">
        <f t="shared" si="38"/>
        <v/>
      </c>
      <c r="P75" s="49" t="str">
        <f t="shared" si="38"/>
        <v/>
      </c>
      <c r="Q75" s="49" t="str">
        <f t="shared" si="38"/>
        <v/>
      </c>
      <c r="R75" s="49" t="str">
        <f t="shared" si="38"/>
        <v/>
      </c>
      <c r="S75" s="49" t="str">
        <f t="shared" si="38"/>
        <v/>
      </c>
      <c r="T75" s="49" t="str">
        <f t="shared" si="38"/>
        <v/>
      </c>
      <c r="U75" s="49" t="str">
        <f t="shared" si="38"/>
        <v/>
      </c>
      <c r="V75" s="49" t="str">
        <f t="shared" si="38"/>
        <v/>
      </c>
      <c r="W75" s="49" t="str">
        <f t="shared" si="38"/>
        <v/>
      </c>
      <c r="X75" s="49" t="str">
        <f t="shared" si="38"/>
        <v/>
      </c>
      <c r="Y75" s="49" t="str">
        <f t="shared" si="38"/>
        <v/>
      </c>
      <c r="Z75" s="49" t="str">
        <f t="shared" si="38"/>
        <v/>
      </c>
      <c r="AA75" s="49" t="str">
        <f t="shared" si="38"/>
        <v/>
      </c>
      <c r="AB75" s="49" t="str">
        <f t="shared" si="38"/>
        <v/>
      </c>
      <c r="AC75" s="49" t="str">
        <f t="shared" si="38"/>
        <v/>
      </c>
      <c r="AD75" s="49" t="str">
        <f t="shared" si="38"/>
        <v/>
      </c>
      <c r="AE75" s="49" t="str">
        <f t="shared" si="38"/>
        <v/>
      </c>
      <c r="AF75" s="49" t="str">
        <f t="shared" si="38"/>
        <v/>
      </c>
      <c r="AG75" s="49" t="str">
        <f t="shared" si="38"/>
        <v/>
      </c>
      <c r="AH75" s="44">
        <f>SUM(AH73:AH74)</f>
        <v>0</v>
      </c>
      <c r="AI75" s="45">
        <f>SUM(AI73:AI74)</f>
        <v>0</v>
      </c>
      <c r="AJ75" s="45">
        <f>SUM(AJ73:AJ74)</f>
        <v>0</v>
      </c>
      <c r="AK75" s="45">
        <f t="shared" ref="AK75:AL75" si="39">SUM(AK73:AK74)</f>
        <v>0</v>
      </c>
      <c r="AL75" s="45">
        <f t="shared" si="39"/>
        <v>0</v>
      </c>
      <c r="AM75" s="50">
        <f>+Juin!AM75</f>
        <v>0</v>
      </c>
      <c r="AN75" s="51">
        <f>IF(A74="","",IF(A74&gt;NomMois,0,IF(A74&lt;$A$3,2.08,(NETWORKDAYS(A74,$A$2)/21.66667)*2.08)))</f>
        <v>0</v>
      </c>
      <c r="AO75" s="51">
        <f>IF( AN75="",0,+AN75+Juillet!AO75)</f>
        <v>0</v>
      </c>
      <c r="AP75" s="50"/>
      <c r="AQ75" s="45">
        <f>+AM75-AI75</f>
        <v>0</v>
      </c>
      <c r="AR75" s="45">
        <f>+AP75-AJ75</f>
        <v>0</v>
      </c>
      <c r="AS75" s="102">
        <f t="shared" si="17"/>
        <v>0</v>
      </c>
    </row>
    <row r="76" spans="1:45" s="63" customFormat="1" ht="6.75" customHeight="1" x14ac:dyDescent="0.25">
      <c r="A76" s="64"/>
      <c r="B76" s="42"/>
      <c r="C76" s="64"/>
      <c r="D76" s="64"/>
      <c r="E76" s="64"/>
      <c r="F76" s="64"/>
      <c r="G76" s="64"/>
      <c r="H76" s="64"/>
      <c r="I76" s="64"/>
      <c r="J76" s="64"/>
      <c r="K76" s="64"/>
      <c r="L76" s="64"/>
      <c r="M76" s="64"/>
      <c r="N76" s="64"/>
      <c r="O76" s="64"/>
      <c r="P76" s="64"/>
      <c r="Q76" s="64"/>
      <c r="R76" s="64"/>
      <c r="S76" s="64"/>
      <c r="T76" s="64"/>
      <c r="U76" s="64"/>
      <c r="V76" s="64"/>
      <c r="W76" s="64"/>
      <c r="X76" s="64"/>
      <c r="Y76" s="64"/>
      <c r="Z76" s="64"/>
      <c r="AA76" s="64"/>
      <c r="AB76" s="64"/>
      <c r="AC76" s="64"/>
      <c r="AD76" s="64"/>
      <c r="AE76" s="64"/>
      <c r="AF76" s="64"/>
      <c r="AG76" s="64"/>
      <c r="AH76" s="65"/>
      <c r="AI76" s="65"/>
      <c r="AJ76" s="65"/>
      <c r="AK76" s="65"/>
      <c r="AL76" s="65"/>
      <c r="AM76" s="64"/>
      <c r="AN76" s="65"/>
      <c r="AO76" s="65"/>
      <c r="AP76" s="64"/>
      <c r="AQ76" s="69"/>
      <c r="AR76" s="69"/>
      <c r="AS76" s="65"/>
    </row>
    <row r="77" spans="1:45" s="63" customFormat="1" ht="12.95" customHeight="1" x14ac:dyDescent="0.25">
      <c r="A77" s="41"/>
      <c r="B77" s="42" t="s">
        <v>15</v>
      </c>
      <c r="C77" s="67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43"/>
      <c r="AH77" s="44">
        <f>COUNTA(Août!$C77:$AG77)</f>
        <v>0</v>
      </c>
      <c r="AI77" s="45">
        <f>(COUNTIFS(Août!$C77:$AG77,("cp")))/2+Juillet!AI77</f>
        <v>0</v>
      </c>
      <c r="AJ77" s="45">
        <f>COUNTIFS(Août!$C77:$AG77,"RTT")/2+Juillet!AJ77</f>
        <v>0</v>
      </c>
      <c r="AK77" s="45">
        <f>COUNTIFS(Août!$C77:$AG77,"m")/2+Juillet!AK77</f>
        <v>0</v>
      </c>
      <c r="AL77" s="45">
        <f>COUNTIFS(Août!$C77:$AG77,"a")/2+Juillet!AL77</f>
        <v>0</v>
      </c>
      <c r="AM77" s="46"/>
      <c r="AN77" s="47"/>
      <c r="AO77" s="47"/>
      <c r="AP77" s="46"/>
      <c r="AQ77" s="47"/>
      <c r="AR77" s="47"/>
      <c r="AS77" s="47"/>
    </row>
    <row r="78" spans="1:45" s="63" customFormat="1" ht="12.95" customHeight="1" x14ac:dyDescent="0.25">
      <c r="A78" s="48">
        <v>43059</v>
      </c>
      <c r="B78" s="42" t="s">
        <v>16</v>
      </c>
      <c r="C78" s="67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  <c r="AA78" s="43"/>
      <c r="AB78" s="43"/>
      <c r="AC78" s="43"/>
      <c r="AD78" s="43"/>
      <c r="AE78" s="43"/>
      <c r="AF78" s="43"/>
      <c r="AG78" s="43"/>
      <c r="AH78" s="44">
        <f>COUNTA(Août!$C78:$AG78)</f>
        <v>0</v>
      </c>
      <c r="AI78" s="45">
        <f>(COUNTIFS(Août!$C78:$AG78,("cp")))/2+Juillet!AI78</f>
        <v>0</v>
      </c>
      <c r="AJ78" s="45">
        <f>COUNTIFS(Août!$C78:$AG78,"RTT")/2+Juillet!AJ78</f>
        <v>0</v>
      </c>
      <c r="AK78" s="45">
        <f>COUNTIFS(Août!$C78:$AG78,"m")/2+Juillet!AK78</f>
        <v>0</v>
      </c>
      <c r="AL78" s="45">
        <f>COUNTIFS(Août!$C78:$AG78,"a")/2+Juillet!AL78</f>
        <v>0</v>
      </c>
      <c r="AM78" s="46"/>
      <c r="AN78" s="47"/>
      <c r="AO78" s="47"/>
      <c r="AP78" s="46"/>
      <c r="AQ78" s="47"/>
      <c r="AR78" s="47"/>
      <c r="AS78" s="101"/>
    </row>
    <row r="79" spans="1:45" s="63" customFormat="1" ht="12.95" customHeight="1" x14ac:dyDescent="0.25">
      <c r="A79" s="41"/>
      <c r="B79" s="42"/>
      <c r="C79" s="49" t="str">
        <f t="shared" ref="C79:AG79" si="40">IF(C77&gt;0,C77,IF(C78&gt;0,C78,""))</f>
        <v/>
      </c>
      <c r="D79" s="49" t="str">
        <f t="shared" si="40"/>
        <v/>
      </c>
      <c r="E79" s="49" t="str">
        <f t="shared" si="40"/>
        <v/>
      </c>
      <c r="F79" s="49" t="str">
        <f t="shared" si="40"/>
        <v/>
      </c>
      <c r="G79" s="49" t="str">
        <f t="shared" si="40"/>
        <v/>
      </c>
      <c r="H79" s="49" t="str">
        <f t="shared" si="40"/>
        <v/>
      </c>
      <c r="I79" s="49" t="str">
        <f t="shared" si="40"/>
        <v/>
      </c>
      <c r="J79" s="49" t="str">
        <f t="shared" si="40"/>
        <v/>
      </c>
      <c r="K79" s="49" t="str">
        <f t="shared" si="40"/>
        <v/>
      </c>
      <c r="L79" s="49" t="str">
        <f t="shared" si="40"/>
        <v/>
      </c>
      <c r="M79" s="49" t="str">
        <f t="shared" si="40"/>
        <v/>
      </c>
      <c r="N79" s="49" t="str">
        <f t="shared" si="40"/>
        <v/>
      </c>
      <c r="O79" s="49" t="str">
        <f t="shared" si="40"/>
        <v/>
      </c>
      <c r="P79" s="49" t="str">
        <f t="shared" si="40"/>
        <v/>
      </c>
      <c r="Q79" s="49" t="str">
        <f t="shared" si="40"/>
        <v/>
      </c>
      <c r="R79" s="49" t="str">
        <f t="shared" si="40"/>
        <v/>
      </c>
      <c r="S79" s="49" t="str">
        <f t="shared" si="40"/>
        <v/>
      </c>
      <c r="T79" s="49" t="str">
        <f t="shared" si="40"/>
        <v/>
      </c>
      <c r="U79" s="49" t="str">
        <f t="shared" si="40"/>
        <v/>
      </c>
      <c r="V79" s="49" t="str">
        <f t="shared" si="40"/>
        <v/>
      </c>
      <c r="W79" s="49" t="str">
        <f t="shared" si="40"/>
        <v/>
      </c>
      <c r="X79" s="49" t="str">
        <f t="shared" si="40"/>
        <v/>
      </c>
      <c r="Y79" s="49" t="str">
        <f t="shared" si="40"/>
        <v/>
      </c>
      <c r="Z79" s="49" t="str">
        <f t="shared" si="40"/>
        <v/>
      </c>
      <c r="AA79" s="49" t="str">
        <f t="shared" si="40"/>
        <v/>
      </c>
      <c r="AB79" s="49" t="str">
        <f t="shared" si="40"/>
        <v/>
      </c>
      <c r="AC79" s="49" t="str">
        <f t="shared" si="40"/>
        <v/>
      </c>
      <c r="AD79" s="49" t="str">
        <f t="shared" si="40"/>
        <v/>
      </c>
      <c r="AE79" s="49" t="str">
        <f t="shared" si="40"/>
        <v/>
      </c>
      <c r="AF79" s="49" t="str">
        <f t="shared" si="40"/>
        <v/>
      </c>
      <c r="AG79" s="49" t="str">
        <f t="shared" si="40"/>
        <v/>
      </c>
      <c r="AH79" s="44">
        <f>SUM(AH77:AH78)</f>
        <v>0</v>
      </c>
      <c r="AI79" s="45">
        <f>SUM(AI77:AI78)</f>
        <v>0</v>
      </c>
      <c r="AJ79" s="45">
        <f>SUM(AJ77:AJ78)</f>
        <v>0</v>
      </c>
      <c r="AK79" s="45">
        <f t="shared" ref="AK79:AL79" si="41">SUM(AK77:AK78)</f>
        <v>0</v>
      </c>
      <c r="AL79" s="45">
        <f t="shared" si="41"/>
        <v>0</v>
      </c>
      <c r="AM79" s="50">
        <f>+Juin!AM79</f>
        <v>0</v>
      </c>
      <c r="AN79" s="51">
        <f>IF(A78="","",IF(A78&gt;NomMois,0,IF(A78&lt;$A$3,2.08,(NETWORKDAYS(A78,$A$2)/21.66667)*2.08)))</f>
        <v>0</v>
      </c>
      <c r="AO79" s="51">
        <f>IF( AN79="",0,+AN79+Juillet!AO79)</f>
        <v>0</v>
      </c>
      <c r="AP79" s="50"/>
      <c r="AQ79" s="45">
        <f>+AM79-AI79</f>
        <v>0</v>
      </c>
      <c r="AR79" s="45">
        <f>+AP79-AJ79</f>
        <v>0</v>
      </c>
      <c r="AS79" s="102">
        <f t="shared" si="17"/>
        <v>0</v>
      </c>
    </row>
    <row r="80" spans="1:45" s="63" customFormat="1" ht="6.75" customHeight="1" x14ac:dyDescent="0.25">
      <c r="A80" s="64"/>
      <c r="B80" s="42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  <c r="X80" s="64"/>
      <c r="Y80" s="64"/>
      <c r="Z80" s="64"/>
      <c r="AA80" s="64"/>
      <c r="AB80" s="64"/>
      <c r="AC80" s="64"/>
      <c r="AD80" s="64"/>
      <c r="AE80" s="64"/>
      <c r="AF80" s="64"/>
      <c r="AG80" s="64"/>
      <c r="AH80" s="65"/>
      <c r="AI80" s="65"/>
      <c r="AJ80" s="65"/>
      <c r="AK80" s="65"/>
      <c r="AL80" s="65"/>
      <c r="AM80" s="64"/>
      <c r="AN80" s="65"/>
      <c r="AO80" s="65"/>
      <c r="AP80" s="64"/>
      <c r="AQ80" s="69"/>
      <c r="AR80" s="69"/>
      <c r="AS80" s="65"/>
    </row>
    <row r="81" spans="1:45" s="63" customFormat="1" ht="12.95" customHeight="1" x14ac:dyDescent="0.25">
      <c r="A81" s="41"/>
      <c r="B81" s="42" t="s">
        <v>15</v>
      </c>
      <c r="C81" s="67"/>
      <c r="D81" s="43"/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  <c r="AA81" s="43"/>
      <c r="AB81" s="43"/>
      <c r="AC81" s="43"/>
      <c r="AD81" s="43"/>
      <c r="AE81" s="43"/>
      <c r="AF81" s="43"/>
      <c r="AG81" s="43"/>
      <c r="AH81" s="44">
        <f>COUNTA(Août!$C81:$AG81)</f>
        <v>0</v>
      </c>
      <c r="AI81" s="45">
        <f>(COUNTIFS(Août!$C81:$AG81,("cp")))/2+Juillet!AI81</f>
        <v>0</v>
      </c>
      <c r="AJ81" s="45">
        <f>COUNTIFS(Août!$C81:$AG81,"RTT")/2+Juillet!AJ81</f>
        <v>0</v>
      </c>
      <c r="AK81" s="45">
        <f>COUNTIFS(Août!$C81:$AG81,"m")/2+Juillet!AK81</f>
        <v>0</v>
      </c>
      <c r="AL81" s="45">
        <f>COUNTIFS(Août!$C81:$AG81,"a")/2+Juillet!AL81</f>
        <v>0</v>
      </c>
      <c r="AM81" s="46"/>
      <c r="AN81" s="47"/>
      <c r="AO81" s="47"/>
      <c r="AP81" s="46"/>
      <c r="AQ81" s="47"/>
      <c r="AR81" s="47"/>
      <c r="AS81" s="47"/>
    </row>
    <row r="82" spans="1:45" s="63" customFormat="1" ht="12.95" customHeight="1" x14ac:dyDescent="0.25">
      <c r="A82" s="48">
        <v>42506</v>
      </c>
      <c r="B82" s="42" t="s">
        <v>16</v>
      </c>
      <c r="C82" s="67"/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  <c r="S82" s="43"/>
      <c r="T82" s="43"/>
      <c r="U82" s="43"/>
      <c r="V82" s="43"/>
      <c r="W82" s="43"/>
      <c r="X82" s="43"/>
      <c r="Y82" s="43"/>
      <c r="Z82" s="43"/>
      <c r="AA82" s="43"/>
      <c r="AB82" s="43"/>
      <c r="AC82" s="43"/>
      <c r="AD82" s="43"/>
      <c r="AE82" s="43"/>
      <c r="AF82" s="43"/>
      <c r="AG82" s="43"/>
      <c r="AH82" s="44">
        <f>COUNTA(Août!$C82:$AG82)</f>
        <v>0</v>
      </c>
      <c r="AI82" s="45">
        <f>(COUNTIFS(Août!$C82:$AG82,("cp")))/2+Juillet!AI82</f>
        <v>0</v>
      </c>
      <c r="AJ82" s="45">
        <f>COUNTIFS(Août!$C82:$AG82,"RTT")/2+Juillet!AJ82</f>
        <v>0</v>
      </c>
      <c r="AK82" s="45">
        <f>COUNTIFS(Août!$C82:$AG82,"m")/2+Juillet!AK82</f>
        <v>0</v>
      </c>
      <c r="AL82" s="45">
        <f>COUNTIFS(Août!$C82:$AG82,"a")/2+Juillet!AL82</f>
        <v>0</v>
      </c>
      <c r="AM82" s="46"/>
      <c r="AN82" s="47"/>
      <c r="AO82" s="47"/>
      <c r="AP82" s="46"/>
      <c r="AQ82" s="47"/>
      <c r="AR82" s="47"/>
      <c r="AS82" s="101"/>
    </row>
    <row r="83" spans="1:45" s="63" customFormat="1" ht="12.95" customHeight="1" x14ac:dyDescent="0.25">
      <c r="A83" s="41"/>
      <c r="B83" s="42"/>
      <c r="C83" s="49" t="str">
        <f t="shared" ref="C83:AG83" si="42">IF(C81&gt;0,C81,IF(C82&gt;0,C82,""))</f>
        <v/>
      </c>
      <c r="D83" s="49" t="str">
        <f t="shared" si="42"/>
        <v/>
      </c>
      <c r="E83" s="49" t="str">
        <f t="shared" si="42"/>
        <v/>
      </c>
      <c r="F83" s="49" t="str">
        <f t="shared" si="42"/>
        <v/>
      </c>
      <c r="G83" s="49" t="str">
        <f t="shared" si="42"/>
        <v/>
      </c>
      <c r="H83" s="49" t="str">
        <f t="shared" si="42"/>
        <v/>
      </c>
      <c r="I83" s="49" t="str">
        <f t="shared" si="42"/>
        <v/>
      </c>
      <c r="J83" s="49" t="str">
        <f t="shared" si="42"/>
        <v/>
      </c>
      <c r="K83" s="49" t="str">
        <f t="shared" si="42"/>
        <v/>
      </c>
      <c r="L83" s="49" t="str">
        <f t="shared" si="42"/>
        <v/>
      </c>
      <c r="M83" s="49" t="str">
        <f t="shared" si="42"/>
        <v/>
      </c>
      <c r="N83" s="49" t="str">
        <f t="shared" si="42"/>
        <v/>
      </c>
      <c r="O83" s="49" t="str">
        <f t="shared" si="42"/>
        <v/>
      </c>
      <c r="P83" s="49" t="str">
        <f t="shared" si="42"/>
        <v/>
      </c>
      <c r="Q83" s="49" t="str">
        <f t="shared" si="42"/>
        <v/>
      </c>
      <c r="R83" s="49" t="str">
        <f t="shared" si="42"/>
        <v/>
      </c>
      <c r="S83" s="49" t="str">
        <f t="shared" si="42"/>
        <v/>
      </c>
      <c r="T83" s="49" t="str">
        <f t="shared" si="42"/>
        <v/>
      </c>
      <c r="U83" s="49" t="str">
        <f t="shared" si="42"/>
        <v/>
      </c>
      <c r="V83" s="49" t="str">
        <f t="shared" si="42"/>
        <v/>
      </c>
      <c r="W83" s="49" t="str">
        <f t="shared" si="42"/>
        <v/>
      </c>
      <c r="X83" s="49" t="str">
        <f t="shared" si="42"/>
        <v/>
      </c>
      <c r="Y83" s="49" t="str">
        <f t="shared" si="42"/>
        <v/>
      </c>
      <c r="Z83" s="49" t="str">
        <f t="shared" si="42"/>
        <v/>
      </c>
      <c r="AA83" s="49" t="str">
        <f t="shared" si="42"/>
        <v/>
      </c>
      <c r="AB83" s="49" t="str">
        <f t="shared" si="42"/>
        <v/>
      </c>
      <c r="AC83" s="49" t="str">
        <f t="shared" si="42"/>
        <v/>
      </c>
      <c r="AD83" s="49" t="str">
        <f t="shared" si="42"/>
        <v/>
      </c>
      <c r="AE83" s="49" t="str">
        <f t="shared" si="42"/>
        <v/>
      </c>
      <c r="AF83" s="49" t="str">
        <f t="shared" si="42"/>
        <v/>
      </c>
      <c r="AG83" s="49" t="str">
        <f t="shared" si="42"/>
        <v/>
      </c>
      <c r="AH83" s="44">
        <f>SUM(AH81:AH82)</f>
        <v>0</v>
      </c>
      <c r="AI83" s="45">
        <f>SUM(AI81:AI82)</f>
        <v>0</v>
      </c>
      <c r="AJ83" s="45">
        <f>SUM(AJ81:AJ82)</f>
        <v>0</v>
      </c>
      <c r="AK83" s="45">
        <f t="shared" ref="AK83:AL83" si="43">SUM(AK81:AK82)</f>
        <v>0</v>
      </c>
      <c r="AL83" s="45">
        <f t="shared" si="43"/>
        <v>0</v>
      </c>
      <c r="AM83" s="50">
        <f>+Juin!AM83</f>
        <v>-9.98</v>
      </c>
      <c r="AN83" s="51">
        <f>IF(A82="","",IF(A82&gt;NomMois,0,IF(A82&lt;$A$3,2.08,(NETWORKDAYS(A82,$A$2)/21.66667)*2.08)))</f>
        <v>2.08</v>
      </c>
      <c r="AO83" s="51">
        <f>IF( AN83="",0,+AN83+Juillet!AO83)</f>
        <v>6.24</v>
      </c>
      <c r="AP83" s="50"/>
      <c r="AQ83" s="45">
        <f>+AM83-AI83</f>
        <v>-9.98</v>
      </c>
      <c r="AR83" s="45">
        <f>+AP83-AJ83</f>
        <v>0</v>
      </c>
      <c r="AS83" s="102">
        <f t="shared" si="17"/>
        <v>-3.74</v>
      </c>
    </row>
    <row r="84" spans="1:45" s="63" customFormat="1" ht="6.75" customHeight="1" x14ac:dyDescent="0.25">
      <c r="A84" s="64"/>
      <c r="B84" s="42"/>
      <c r="C84" s="64"/>
      <c r="D84" s="64"/>
      <c r="E84" s="64"/>
      <c r="F84" s="64"/>
      <c r="G84" s="64"/>
      <c r="H84" s="64"/>
      <c r="I84" s="64"/>
      <c r="J84" s="64"/>
      <c r="K84" s="64"/>
      <c r="L84" s="64"/>
      <c r="M84" s="64"/>
      <c r="N84" s="64"/>
      <c r="O84" s="64"/>
      <c r="P84" s="64"/>
      <c r="Q84" s="64"/>
      <c r="R84" s="64"/>
      <c r="S84" s="64"/>
      <c r="T84" s="64"/>
      <c r="U84" s="64"/>
      <c r="V84" s="64"/>
      <c r="W84" s="64"/>
      <c r="X84" s="64"/>
      <c r="Y84" s="64"/>
      <c r="Z84" s="64"/>
      <c r="AA84" s="64"/>
      <c r="AB84" s="64"/>
      <c r="AC84" s="64"/>
      <c r="AD84" s="64"/>
      <c r="AE84" s="64"/>
      <c r="AF84" s="64"/>
      <c r="AG84" s="64"/>
      <c r="AH84" s="65"/>
      <c r="AI84" s="65"/>
      <c r="AJ84" s="65"/>
      <c r="AK84" s="65"/>
      <c r="AL84" s="65"/>
      <c r="AM84" s="64"/>
      <c r="AN84" s="65"/>
      <c r="AO84" s="65"/>
      <c r="AP84" s="64"/>
      <c r="AQ84" s="69"/>
      <c r="AR84" s="69"/>
      <c r="AS84" s="65"/>
    </row>
    <row r="85" spans="1:45" s="63" customFormat="1" ht="12.95" customHeight="1" x14ac:dyDescent="0.25">
      <c r="A85" s="41"/>
      <c r="B85" s="42" t="s">
        <v>15</v>
      </c>
      <c r="C85" s="67" t="s">
        <v>24</v>
      </c>
      <c r="D85" s="43" t="s">
        <v>24</v>
      </c>
      <c r="E85" s="43" t="s">
        <v>24</v>
      </c>
      <c r="F85" s="43" t="s">
        <v>24</v>
      </c>
      <c r="G85" s="43"/>
      <c r="H85" s="43"/>
      <c r="I85" s="43" t="s">
        <v>24</v>
      </c>
      <c r="J85" s="43" t="s">
        <v>24</v>
      </c>
      <c r="K85" s="43" t="s">
        <v>24</v>
      </c>
      <c r="L85" s="43" t="s">
        <v>24</v>
      </c>
      <c r="M85" s="43" t="s">
        <v>24</v>
      </c>
      <c r="N85" s="43"/>
      <c r="O85" s="43"/>
      <c r="P85" s="43"/>
      <c r="Q85" s="43"/>
      <c r="R85" s="43"/>
      <c r="S85" s="43"/>
      <c r="T85" s="43"/>
      <c r="U85" s="43"/>
      <c r="V85" s="43"/>
      <c r="W85" s="43"/>
      <c r="X85" s="43"/>
      <c r="Y85" s="43"/>
      <c r="Z85" s="43"/>
      <c r="AA85" s="43"/>
      <c r="AB85" s="43"/>
      <c r="AC85" s="43"/>
      <c r="AD85" s="43"/>
      <c r="AE85" s="43"/>
      <c r="AF85" s="43"/>
      <c r="AG85" s="43"/>
      <c r="AH85" s="44">
        <f>COUNTA(Août!$C85:$AG85)</f>
        <v>9</v>
      </c>
      <c r="AI85" s="45">
        <f>(COUNTIFS(Août!$C85:$AG85,("cp")))/2+Juillet!AI85</f>
        <v>10.5</v>
      </c>
      <c r="AJ85" s="45">
        <f>COUNTIFS(Août!$C85:$AG85,"RTT")/2+Juillet!AJ85</f>
        <v>0</v>
      </c>
      <c r="AK85" s="45">
        <f>COUNTIFS(Août!$C85:$AG85,"m")/2+Juillet!AK85</f>
        <v>0</v>
      </c>
      <c r="AL85" s="45">
        <f>COUNTIFS(Août!$C85:$AG85,"a")/2+Juillet!AL85</f>
        <v>0</v>
      </c>
      <c r="AM85" s="46"/>
      <c r="AN85" s="47"/>
      <c r="AO85" s="47"/>
      <c r="AP85" s="46"/>
      <c r="AQ85" s="47"/>
      <c r="AR85" s="47"/>
      <c r="AS85" s="47"/>
    </row>
    <row r="86" spans="1:45" s="63" customFormat="1" ht="12.95" customHeight="1" x14ac:dyDescent="0.25">
      <c r="A86" s="48">
        <v>42303</v>
      </c>
      <c r="B86" s="42" t="s">
        <v>16</v>
      </c>
      <c r="C86" s="67" t="s">
        <v>24</v>
      </c>
      <c r="D86" s="43" t="s">
        <v>24</v>
      </c>
      <c r="E86" s="43" t="s">
        <v>24</v>
      </c>
      <c r="F86" s="43" t="s">
        <v>24</v>
      </c>
      <c r="G86" s="43"/>
      <c r="H86" s="43"/>
      <c r="I86" s="43" t="s">
        <v>24</v>
      </c>
      <c r="J86" s="43" t="s">
        <v>24</v>
      </c>
      <c r="K86" s="43" t="s">
        <v>24</v>
      </c>
      <c r="L86" s="43" t="s">
        <v>24</v>
      </c>
      <c r="M86" s="43" t="s">
        <v>24</v>
      </c>
      <c r="N86" s="43"/>
      <c r="O86" s="43"/>
      <c r="P86" s="43"/>
      <c r="Q86" s="43"/>
      <c r="R86" s="43"/>
      <c r="S86" s="43"/>
      <c r="T86" s="43"/>
      <c r="U86" s="43"/>
      <c r="V86" s="43"/>
      <c r="W86" s="43"/>
      <c r="X86" s="43"/>
      <c r="Y86" s="43"/>
      <c r="Z86" s="43"/>
      <c r="AA86" s="43"/>
      <c r="AB86" s="43"/>
      <c r="AC86" s="43"/>
      <c r="AD86" s="43"/>
      <c r="AE86" s="43"/>
      <c r="AF86" s="43"/>
      <c r="AG86" s="43"/>
      <c r="AH86" s="44">
        <f>COUNTA(Août!$C86:$AG86)</f>
        <v>9</v>
      </c>
      <c r="AI86" s="45">
        <f>(COUNTIFS(Août!$C86:$AG86,("cp")))/2+Juillet!AI86</f>
        <v>10.5</v>
      </c>
      <c r="AJ86" s="45">
        <f>COUNTIFS(Août!$C86:$AG86,"RTT")/2+Juillet!AJ86</f>
        <v>0</v>
      </c>
      <c r="AK86" s="45">
        <f>COUNTIFS(Août!$C86:$AG86,"m")/2+Juillet!AK86</f>
        <v>0</v>
      </c>
      <c r="AL86" s="45">
        <f>COUNTIFS(Août!$C86:$AG86,"a")/2+Juillet!AL86</f>
        <v>0</v>
      </c>
      <c r="AM86" s="46"/>
      <c r="AN86" s="47"/>
      <c r="AO86" s="47"/>
      <c r="AP86" s="46"/>
      <c r="AQ86" s="47"/>
      <c r="AR86" s="47"/>
      <c r="AS86" s="101"/>
    </row>
    <row r="87" spans="1:45" s="63" customFormat="1" ht="12.95" customHeight="1" x14ac:dyDescent="0.25">
      <c r="A87" s="41"/>
      <c r="B87" s="42"/>
      <c r="C87" s="49" t="str">
        <f t="shared" ref="C87:AG87" si="44">IF(C85&gt;0,C85,IF(C86&gt;0,C86,""))</f>
        <v>cp</v>
      </c>
      <c r="D87" s="49" t="str">
        <f t="shared" si="44"/>
        <v>cp</v>
      </c>
      <c r="E87" s="49" t="str">
        <f t="shared" si="44"/>
        <v>cp</v>
      </c>
      <c r="F87" s="49" t="str">
        <f t="shared" si="44"/>
        <v>cp</v>
      </c>
      <c r="G87" s="49" t="str">
        <f t="shared" si="44"/>
        <v/>
      </c>
      <c r="H87" s="49" t="str">
        <f t="shared" si="44"/>
        <v/>
      </c>
      <c r="I87" s="49" t="str">
        <f t="shared" si="44"/>
        <v>cp</v>
      </c>
      <c r="J87" s="49" t="str">
        <f t="shared" si="44"/>
        <v>cp</v>
      </c>
      <c r="K87" s="49" t="str">
        <f t="shared" si="44"/>
        <v>cp</v>
      </c>
      <c r="L87" s="49" t="str">
        <f t="shared" si="44"/>
        <v>cp</v>
      </c>
      <c r="M87" s="49" t="str">
        <f t="shared" si="44"/>
        <v>cp</v>
      </c>
      <c r="N87" s="49" t="str">
        <f t="shared" si="44"/>
        <v/>
      </c>
      <c r="O87" s="49" t="str">
        <f t="shared" si="44"/>
        <v/>
      </c>
      <c r="P87" s="49" t="str">
        <f t="shared" si="44"/>
        <v/>
      </c>
      <c r="Q87" s="49" t="str">
        <f t="shared" si="44"/>
        <v/>
      </c>
      <c r="R87" s="49" t="str">
        <f t="shared" si="44"/>
        <v/>
      </c>
      <c r="S87" s="49" t="str">
        <f t="shared" si="44"/>
        <v/>
      </c>
      <c r="T87" s="49" t="str">
        <f t="shared" si="44"/>
        <v/>
      </c>
      <c r="U87" s="49" t="str">
        <f t="shared" si="44"/>
        <v/>
      </c>
      <c r="V87" s="49" t="str">
        <f t="shared" si="44"/>
        <v/>
      </c>
      <c r="W87" s="49" t="str">
        <f t="shared" si="44"/>
        <v/>
      </c>
      <c r="X87" s="49" t="str">
        <f t="shared" si="44"/>
        <v/>
      </c>
      <c r="Y87" s="49" t="str">
        <f t="shared" si="44"/>
        <v/>
      </c>
      <c r="Z87" s="49" t="str">
        <f t="shared" si="44"/>
        <v/>
      </c>
      <c r="AA87" s="49" t="str">
        <f t="shared" si="44"/>
        <v/>
      </c>
      <c r="AB87" s="49" t="str">
        <f t="shared" si="44"/>
        <v/>
      </c>
      <c r="AC87" s="49" t="str">
        <f t="shared" si="44"/>
        <v/>
      </c>
      <c r="AD87" s="49" t="str">
        <f t="shared" si="44"/>
        <v/>
      </c>
      <c r="AE87" s="49" t="str">
        <f t="shared" si="44"/>
        <v/>
      </c>
      <c r="AF87" s="49" t="str">
        <f t="shared" si="44"/>
        <v/>
      </c>
      <c r="AG87" s="49" t="str">
        <f t="shared" si="44"/>
        <v/>
      </c>
      <c r="AH87" s="44">
        <f>SUM(AH85:AH86)</f>
        <v>18</v>
      </c>
      <c r="AI87" s="45">
        <f>SUM(AI85:AI86)</f>
        <v>21</v>
      </c>
      <c r="AJ87" s="45">
        <f>SUM(AJ85:AJ86)</f>
        <v>0</v>
      </c>
      <c r="AK87" s="45">
        <f t="shared" ref="AK87:AL87" si="45">SUM(AK85:AK86)</f>
        <v>0</v>
      </c>
      <c r="AL87" s="45">
        <f t="shared" si="45"/>
        <v>0</v>
      </c>
      <c r="AM87" s="50">
        <f>+Juin!AM87</f>
        <v>12.02</v>
      </c>
      <c r="AN87" s="51">
        <f>IF(A86="","",IF(A86&gt;NomMois,0,IF(A86&lt;$A$3,2.5,(NETWORKDAYS(A86,$A$2)/21.66667)*2.5)))</f>
        <v>2.5</v>
      </c>
      <c r="AO87" s="51">
        <f>IF( AN87="",0,+AN87+Juillet!AO87)</f>
        <v>7.5</v>
      </c>
      <c r="AP87" s="50"/>
      <c r="AQ87" s="45">
        <f>+AM87-AI87</f>
        <v>-8.98</v>
      </c>
      <c r="AR87" s="45">
        <f>+AP87-AJ87</f>
        <v>0</v>
      </c>
      <c r="AS87" s="102">
        <f t="shared" si="17"/>
        <v>-1.4800000000000004</v>
      </c>
    </row>
    <row r="88" spans="1:45" s="63" customFormat="1" ht="6.75" customHeight="1" x14ac:dyDescent="0.25">
      <c r="A88" s="64"/>
      <c r="B88" s="42"/>
      <c r="C88" s="64"/>
      <c r="D88" s="64"/>
      <c r="E88" s="64"/>
      <c r="F88" s="64"/>
      <c r="G88" s="64"/>
      <c r="H88" s="64"/>
      <c r="I88" s="64"/>
      <c r="J88" s="64"/>
      <c r="K88" s="64"/>
      <c r="L88" s="64"/>
      <c r="M88" s="64"/>
      <c r="N88" s="64"/>
      <c r="O88" s="64"/>
      <c r="P88" s="64"/>
      <c r="Q88" s="64"/>
      <c r="R88" s="64"/>
      <c r="S88" s="64"/>
      <c r="T88" s="64"/>
      <c r="U88" s="64"/>
      <c r="V88" s="64"/>
      <c r="W88" s="64"/>
      <c r="X88" s="64"/>
      <c r="Y88" s="64"/>
      <c r="Z88" s="64"/>
      <c r="AA88" s="64"/>
      <c r="AB88" s="64"/>
      <c r="AC88" s="64"/>
      <c r="AD88" s="64"/>
      <c r="AE88" s="64"/>
      <c r="AF88" s="64"/>
      <c r="AG88" s="64"/>
      <c r="AH88" s="65"/>
      <c r="AI88" s="65"/>
      <c r="AJ88" s="65"/>
      <c r="AK88" s="65"/>
      <c r="AL88" s="65"/>
      <c r="AM88" s="64"/>
      <c r="AN88" s="65"/>
      <c r="AO88" s="65"/>
      <c r="AP88" s="64"/>
      <c r="AQ88" s="69"/>
      <c r="AR88" s="69"/>
      <c r="AS88" s="65"/>
    </row>
    <row r="89" spans="1:45" s="63" customFormat="1" ht="12.95" customHeight="1" x14ac:dyDescent="0.25">
      <c r="A89" s="41"/>
      <c r="B89" s="42" t="s">
        <v>15</v>
      </c>
      <c r="C89" s="67" t="s">
        <v>7</v>
      </c>
      <c r="D89" s="43" t="s">
        <v>7</v>
      </c>
      <c r="E89" s="43" t="s">
        <v>7</v>
      </c>
      <c r="F89" s="43" t="s">
        <v>7</v>
      </c>
      <c r="G89" s="43"/>
      <c r="H89" s="43"/>
      <c r="I89" s="43" t="s">
        <v>7</v>
      </c>
      <c r="J89" s="43" t="s">
        <v>7</v>
      </c>
      <c r="K89" s="43" t="s">
        <v>7</v>
      </c>
      <c r="L89" s="43" t="s">
        <v>7</v>
      </c>
      <c r="M89" s="43" t="s">
        <v>7</v>
      </c>
      <c r="N89" s="43"/>
      <c r="O89" s="43"/>
      <c r="P89" s="43" t="s">
        <v>7</v>
      </c>
      <c r="Q89" s="43" t="s">
        <v>7</v>
      </c>
      <c r="R89" s="43" t="s">
        <v>7</v>
      </c>
      <c r="S89" s="43" t="s">
        <v>7</v>
      </c>
      <c r="T89" s="43" t="s">
        <v>7</v>
      </c>
      <c r="U89" s="43"/>
      <c r="V89" s="43"/>
      <c r="W89" s="43" t="s">
        <v>7</v>
      </c>
      <c r="X89" s="43" t="s">
        <v>7</v>
      </c>
      <c r="Y89" s="43" t="s">
        <v>7</v>
      </c>
      <c r="Z89" s="43" t="s">
        <v>7</v>
      </c>
      <c r="AA89" s="43" t="s">
        <v>7</v>
      </c>
      <c r="AB89" s="43"/>
      <c r="AC89" s="43"/>
      <c r="AD89" s="43" t="s">
        <v>7</v>
      </c>
      <c r="AE89" s="43" t="s">
        <v>7</v>
      </c>
      <c r="AF89" s="43" t="s">
        <v>7</v>
      </c>
      <c r="AG89" s="43" t="s">
        <v>7</v>
      </c>
      <c r="AH89" s="44">
        <f>COUNTA(Août!$C89:$AG89)</f>
        <v>23</v>
      </c>
      <c r="AI89" s="45">
        <f>(COUNTIFS(Août!$C89:$AG89,("cp")))/2+Juillet!AI89</f>
        <v>11.5</v>
      </c>
      <c r="AJ89" s="45">
        <f>COUNTIFS(Août!$C89:$AG89,"RTT")/2+Juillet!AJ89</f>
        <v>0</v>
      </c>
      <c r="AK89" s="45">
        <f>COUNTIFS(Août!$C89:$AG89,"m")/2+Juillet!AK89</f>
        <v>0</v>
      </c>
      <c r="AL89" s="45">
        <f>COUNTIFS(Août!$C89:$AG89,"a")/2+Juillet!AL89</f>
        <v>0</v>
      </c>
      <c r="AM89" s="46"/>
      <c r="AN89" s="47"/>
      <c r="AO89" s="47"/>
      <c r="AP89" s="46"/>
      <c r="AQ89" s="47"/>
      <c r="AR89" s="47"/>
      <c r="AS89" s="47"/>
    </row>
    <row r="90" spans="1:45" s="63" customFormat="1" ht="12.95" customHeight="1" x14ac:dyDescent="0.25">
      <c r="A90" s="48">
        <v>42303</v>
      </c>
      <c r="B90" s="42" t="s">
        <v>16</v>
      </c>
      <c r="C90" s="67" t="s">
        <v>7</v>
      </c>
      <c r="D90" s="43" t="s">
        <v>7</v>
      </c>
      <c r="E90" s="43" t="s">
        <v>7</v>
      </c>
      <c r="F90" s="43" t="s">
        <v>7</v>
      </c>
      <c r="G90" s="43"/>
      <c r="H90" s="43"/>
      <c r="I90" s="43" t="s">
        <v>7</v>
      </c>
      <c r="J90" s="43" t="s">
        <v>7</v>
      </c>
      <c r="K90" s="43" t="s">
        <v>7</v>
      </c>
      <c r="L90" s="43" t="s">
        <v>7</v>
      </c>
      <c r="M90" s="43" t="s">
        <v>7</v>
      </c>
      <c r="N90" s="43"/>
      <c r="O90" s="43"/>
      <c r="P90" s="43" t="s">
        <v>7</v>
      </c>
      <c r="Q90" s="43" t="s">
        <v>7</v>
      </c>
      <c r="R90" s="43" t="s">
        <v>7</v>
      </c>
      <c r="S90" s="43" t="s">
        <v>7</v>
      </c>
      <c r="T90" s="43" t="s">
        <v>7</v>
      </c>
      <c r="U90" s="43"/>
      <c r="V90" s="43"/>
      <c r="W90" s="43" t="s">
        <v>7</v>
      </c>
      <c r="X90" s="43" t="s">
        <v>7</v>
      </c>
      <c r="Y90" s="43" t="s">
        <v>7</v>
      </c>
      <c r="Z90" s="43" t="s">
        <v>7</v>
      </c>
      <c r="AA90" s="43" t="s">
        <v>7</v>
      </c>
      <c r="AB90" s="43"/>
      <c r="AC90" s="43"/>
      <c r="AD90" s="43" t="s">
        <v>7</v>
      </c>
      <c r="AE90" s="43" t="s">
        <v>7</v>
      </c>
      <c r="AF90" s="43" t="s">
        <v>7</v>
      </c>
      <c r="AG90" s="43" t="s">
        <v>7</v>
      </c>
      <c r="AH90" s="44">
        <f>COUNTA(Août!$C90:$AG90)</f>
        <v>23</v>
      </c>
      <c r="AI90" s="45">
        <f>(COUNTIFS(Août!$C90:$AG90,("cp")))/2+Juillet!AI90</f>
        <v>11.5</v>
      </c>
      <c r="AJ90" s="45">
        <f>COUNTIFS(Août!$C90:$AG90,"RTT")/2+Juillet!AJ90</f>
        <v>0</v>
      </c>
      <c r="AK90" s="45">
        <f>COUNTIFS(Août!$C90:$AG90,"m")/2+Juillet!AK90</f>
        <v>0</v>
      </c>
      <c r="AL90" s="45">
        <f>COUNTIFS(Août!$C90:$AG90,"a")/2+Juillet!AL90</f>
        <v>0</v>
      </c>
      <c r="AM90" s="46"/>
      <c r="AN90" s="47"/>
      <c r="AO90" s="47"/>
      <c r="AP90" s="46"/>
      <c r="AQ90" s="47"/>
      <c r="AR90" s="47"/>
      <c r="AS90" s="101"/>
    </row>
    <row r="91" spans="1:45" s="63" customFormat="1" ht="12.95" customHeight="1" x14ac:dyDescent="0.25">
      <c r="A91" s="41"/>
      <c r="B91" s="42"/>
      <c r="C91" s="49" t="str">
        <f t="shared" ref="C91:AG91" si="46">IF(C89&gt;0,C89,IF(C90&gt;0,C90,""))</f>
        <v>CP</v>
      </c>
      <c r="D91" s="49" t="str">
        <f t="shared" si="46"/>
        <v>CP</v>
      </c>
      <c r="E91" s="49" t="str">
        <f t="shared" si="46"/>
        <v>CP</v>
      </c>
      <c r="F91" s="49" t="str">
        <f t="shared" si="46"/>
        <v>CP</v>
      </c>
      <c r="G91" s="49" t="str">
        <f t="shared" si="46"/>
        <v/>
      </c>
      <c r="H91" s="49" t="str">
        <f t="shared" si="46"/>
        <v/>
      </c>
      <c r="I91" s="49" t="str">
        <f t="shared" si="46"/>
        <v>CP</v>
      </c>
      <c r="J91" s="49" t="str">
        <f t="shared" si="46"/>
        <v>CP</v>
      </c>
      <c r="K91" s="49" t="str">
        <f t="shared" si="46"/>
        <v>CP</v>
      </c>
      <c r="L91" s="49" t="str">
        <f t="shared" si="46"/>
        <v>CP</v>
      </c>
      <c r="M91" s="49" t="str">
        <f t="shared" si="46"/>
        <v>CP</v>
      </c>
      <c r="N91" s="49" t="str">
        <f t="shared" si="46"/>
        <v/>
      </c>
      <c r="O91" s="49" t="str">
        <f t="shared" si="46"/>
        <v/>
      </c>
      <c r="P91" s="49" t="str">
        <f t="shared" si="46"/>
        <v>CP</v>
      </c>
      <c r="Q91" s="49" t="str">
        <f t="shared" si="46"/>
        <v>CP</v>
      </c>
      <c r="R91" s="49" t="str">
        <f t="shared" si="46"/>
        <v>CP</v>
      </c>
      <c r="S91" s="49" t="str">
        <f t="shared" si="46"/>
        <v>CP</v>
      </c>
      <c r="T91" s="49" t="str">
        <f t="shared" si="46"/>
        <v>CP</v>
      </c>
      <c r="U91" s="49" t="str">
        <f t="shared" si="46"/>
        <v/>
      </c>
      <c r="V91" s="49" t="str">
        <f t="shared" si="46"/>
        <v/>
      </c>
      <c r="W91" s="49" t="str">
        <f t="shared" si="46"/>
        <v>CP</v>
      </c>
      <c r="X91" s="49" t="str">
        <f t="shared" si="46"/>
        <v>CP</v>
      </c>
      <c r="Y91" s="49" t="str">
        <f t="shared" si="46"/>
        <v>CP</v>
      </c>
      <c r="Z91" s="49" t="str">
        <f t="shared" si="46"/>
        <v>CP</v>
      </c>
      <c r="AA91" s="49" t="str">
        <f t="shared" si="46"/>
        <v>CP</v>
      </c>
      <c r="AB91" s="49" t="str">
        <f t="shared" si="46"/>
        <v/>
      </c>
      <c r="AC91" s="49" t="str">
        <f t="shared" si="46"/>
        <v/>
      </c>
      <c r="AD91" s="49" t="str">
        <f t="shared" si="46"/>
        <v>CP</v>
      </c>
      <c r="AE91" s="49" t="str">
        <f t="shared" si="46"/>
        <v>CP</v>
      </c>
      <c r="AF91" s="49" t="str">
        <f t="shared" si="46"/>
        <v>CP</v>
      </c>
      <c r="AG91" s="49" t="str">
        <f t="shared" si="46"/>
        <v>CP</v>
      </c>
      <c r="AH91" s="44">
        <f>SUM(AH89:AH90)</f>
        <v>46</v>
      </c>
      <c r="AI91" s="45">
        <f>SUM(AI89:AI90)</f>
        <v>23</v>
      </c>
      <c r="AJ91" s="45">
        <f>SUM(AJ89:AJ90)</f>
        <v>0</v>
      </c>
      <c r="AK91" s="45">
        <f t="shared" ref="AK91:AL91" si="47">SUM(AK89:AK90)</f>
        <v>0</v>
      </c>
      <c r="AL91" s="45">
        <f t="shared" si="47"/>
        <v>0</v>
      </c>
      <c r="AM91" s="50">
        <f>+Juin!AM91</f>
        <v>-0.82</v>
      </c>
      <c r="AN91" s="51">
        <f>IF(A90="","",IF(A90&gt;NomMois,0,IF(A90&lt;$A$3,2.5,(NETWORKDAYS(A90,$A$2)/21.66667)*2.5)))</f>
        <v>2.5</v>
      </c>
      <c r="AO91" s="51">
        <f>IF( AN91="",0,+AN91+Juillet!AO91)</f>
        <v>7.5</v>
      </c>
      <c r="AP91" s="50"/>
      <c r="AQ91" s="45">
        <f>+AM91-AI91</f>
        <v>-23.82</v>
      </c>
      <c r="AR91" s="45">
        <f>+AP91-AJ91</f>
        <v>0</v>
      </c>
      <c r="AS91" s="102">
        <f t="shared" si="17"/>
        <v>-16.32</v>
      </c>
    </row>
    <row r="92" spans="1:45" s="63" customFormat="1" ht="6.75" customHeight="1" x14ac:dyDescent="0.25">
      <c r="A92" s="64"/>
      <c r="B92" s="42"/>
      <c r="C92" s="64"/>
      <c r="D92" s="64"/>
      <c r="E92" s="64"/>
      <c r="F92" s="64"/>
      <c r="G92" s="64"/>
      <c r="H92" s="64"/>
      <c r="I92" s="64"/>
      <c r="J92" s="64"/>
      <c r="K92" s="64"/>
      <c r="L92" s="64"/>
      <c r="M92" s="64"/>
      <c r="N92" s="64"/>
      <c r="O92" s="64"/>
      <c r="P92" s="64"/>
      <c r="Q92" s="64"/>
      <c r="R92" s="64"/>
      <c r="S92" s="64"/>
      <c r="T92" s="64"/>
      <c r="U92" s="64"/>
      <c r="V92" s="64"/>
      <c r="W92" s="64"/>
      <c r="X92" s="64"/>
      <c r="Y92" s="64"/>
      <c r="Z92" s="64"/>
      <c r="AA92" s="64"/>
      <c r="AB92" s="64"/>
      <c r="AC92" s="64"/>
      <c r="AD92" s="64"/>
      <c r="AE92" s="64"/>
      <c r="AF92" s="64"/>
      <c r="AG92" s="64"/>
      <c r="AH92" s="65"/>
      <c r="AI92" s="65"/>
      <c r="AJ92" s="65"/>
      <c r="AK92" s="65"/>
      <c r="AL92" s="65"/>
      <c r="AM92" s="64"/>
      <c r="AN92" s="65"/>
      <c r="AO92" s="65"/>
      <c r="AP92" s="64"/>
      <c r="AQ92" s="69"/>
      <c r="AR92" s="69"/>
      <c r="AS92" s="65"/>
    </row>
    <row r="93" spans="1:45" ht="12.95" customHeight="1" x14ac:dyDescent="0.25">
      <c r="A93" s="41"/>
      <c r="B93" s="42" t="s">
        <v>15</v>
      </c>
      <c r="C93" s="67" t="s">
        <v>9</v>
      </c>
      <c r="D93" s="43" t="s">
        <v>9</v>
      </c>
      <c r="E93" s="43" t="s">
        <v>9</v>
      </c>
      <c r="F93" s="43" t="s">
        <v>9</v>
      </c>
      <c r="G93" s="43"/>
      <c r="H93" s="43"/>
      <c r="I93" s="43" t="s">
        <v>9</v>
      </c>
      <c r="J93" s="43" t="s">
        <v>9</v>
      </c>
      <c r="K93" s="43" t="s">
        <v>9</v>
      </c>
      <c r="L93" s="43"/>
      <c r="M93" s="43"/>
      <c r="N93" s="43"/>
      <c r="O93" s="43"/>
      <c r="P93" s="43"/>
      <c r="Q93" s="43"/>
      <c r="R93" s="43"/>
      <c r="S93" s="43"/>
      <c r="T93" s="43"/>
      <c r="U93" s="43"/>
      <c r="V93" s="43"/>
      <c r="W93" s="43"/>
      <c r="X93" s="43"/>
      <c r="Y93" s="43"/>
      <c r="Z93" s="43"/>
      <c r="AA93" s="43"/>
      <c r="AB93" s="43"/>
      <c r="AC93" s="43"/>
      <c r="AD93" s="43"/>
      <c r="AE93" s="43"/>
      <c r="AF93" s="43"/>
      <c r="AG93" s="43"/>
      <c r="AH93" s="44">
        <f>COUNTA(Août!$C93:$AG93)</f>
        <v>7</v>
      </c>
      <c r="AI93" s="45">
        <f>(COUNTIFS(Août!$C93:$AG93,("cp")))/2+Juillet!AI93</f>
        <v>0</v>
      </c>
      <c r="AJ93" s="45">
        <f>COUNTIFS(Août!$C93:$AG93,"RTT")/2+Juillet!AJ93</f>
        <v>0</v>
      </c>
      <c r="AK93" s="45">
        <f>COUNTIFS(Août!$C93:$AG93,"m")/2+Juillet!AK93</f>
        <v>5</v>
      </c>
      <c r="AL93" s="45">
        <f>COUNTIFS(Août!$C93:$AG93,"a")/2+Juillet!AL93</f>
        <v>0</v>
      </c>
      <c r="AM93" s="46"/>
      <c r="AN93" s="47"/>
      <c r="AO93" s="47"/>
      <c r="AP93" s="46"/>
      <c r="AQ93" s="47"/>
      <c r="AR93" s="47"/>
      <c r="AS93" s="47"/>
    </row>
    <row r="94" spans="1:45" s="79" customFormat="1" ht="12.95" customHeight="1" x14ac:dyDescent="0.25">
      <c r="A94" s="48">
        <v>42921</v>
      </c>
      <c r="B94" s="42" t="s">
        <v>16</v>
      </c>
      <c r="C94" s="67" t="s">
        <v>9</v>
      </c>
      <c r="D94" s="43" t="s">
        <v>9</v>
      </c>
      <c r="E94" s="43" t="s">
        <v>9</v>
      </c>
      <c r="F94" s="43" t="s">
        <v>9</v>
      </c>
      <c r="G94" s="43"/>
      <c r="H94" s="43"/>
      <c r="I94" s="43" t="s">
        <v>9</v>
      </c>
      <c r="J94" s="43" t="s">
        <v>9</v>
      </c>
      <c r="K94" s="43" t="s">
        <v>9</v>
      </c>
      <c r="L94" s="43"/>
      <c r="M94" s="43"/>
      <c r="N94" s="43"/>
      <c r="O94" s="43"/>
      <c r="P94" s="43"/>
      <c r="Q94" s="43"/>
      <c r="R94" s="43"/>
      <c r="S94" s="43"/>
      <c r="T94" s="43"/>
      <c r="U94" s="43"/>
      <c r="V94" s="43"/>
      <c r="W94" s="43"/>
      <c r="X94" s="43"/>
      <c r="Y94" s="43"/>
      <c r="Z94" s="43"/>
      <c r="AA94" s="43"/>
      <c r="AB94" s="43"/>
      <c r="AC94" s="43"/>
      <c r="AD94" s="43"/>
      <c r="AE94" s="43"/>
      <c r="AF94" s="43"/>
      <c r="AG94" s="43"/>
      <c r="AH94" s="44">
        <f>COUNTA(Août!$C94:$AG94)</f>
        <v>7</v>
      </c>
      <c r="AI94" s="45">
        <f>(COUNTIFS(Août!$C94:$AG94,("cp")))/2+Juillet!AI94</f>
        <v>0</v>
      </c>
      <c r="AJ94" s="45">
        <f>COUNTIFS(Août!$C94:$AG94,"RTT")/2+Juillet!AJ94</f>
        <v>0</v>
      </c>
      <c r="AK94" s="45">
        <f>COUNTIFS(Août!$C94:$AG94,"m")/2+Juillet!AK94</f>
        <v>5</v>
      </c>
      <c r="AL94" s="45">
        <f>COUNTIFS(Août!$C94:$AG94,"a")/2+Juillet!AL94</f>
        <v>0</v>
      </c>
      <c r="AM94" s="46"/>
      <c r="AN94" s="47"/>
      <c r="AO94" s="47"/>
      <c r="AP94" s="46"/>
      <c r="AQ94" s="47"/>
      <c r="AR94" s="47"/>
      <c r="AS94" s="101"/>
    </row>
    <row r="95" spans="1:45" s="79" customFormat="1" ht="12.95" customHeight="1" x14ac:dyDescent="0.25">
      <c r="A95" s="41"/>
      <c r="B95" s="42"/>
      <c r="C95" s="49" t="str">
        <f t="shared" ref="C95:AG95" si="48">IF(C93&gt;0,C93,IF(C94&gt;0,C94,""))</f>
        <v>M</v>
      </c>
      <c r="D95" s="49" t="str">
        <f t="shared" si="48"/>
        <v>M</v>
      </c>
      <c r="E95" s="49" t="str">
        <f t="shared" si="48"/>
        <v>M</v>
      </c>
      <c r="F95" s="49" t="str">
        <f t="shared" si="48"/>
        <v>M</v>
      </c>
      <c r="G95" s="49" t="str">
        <f t="shared" si="48"/>
        <v/>
      </c>
      <c r="H95" s="49" t="str">
        <f t="shared" si="48"/>
        <v/>
      </c>
      <c r="I95" s="49" t="str">
        <f t="shared" si="48"/>
        <v>M</v>
      </c>
      <c r="J95" s="49" t="str">
        <f t="shared" si="48"/>
        <v>M</v>
      </c>
      <c r="K95" s="49" t="str">
        <f t="shared" si="48"/>
        <v>M</v>
      </c>
      <c r="L95" s="49" t="str">
        <f t="shared" si="48"/>
        <v/>
      </c>
      <c r="M95" s="49" t="str">
        <f t="shared" si="48"/>
        <v/>
      </c>
      <c r="N95" s="49" t="str">
        <f t="shared" si="48"/>
        <v/>
      </c>
      <c r="O95" s="49" t="str">
        <f t="shared" si="48"/>
        <v/>
      </c>
      <c r="P95" s="49" t="str">
        <f t="shared" si="48"/>
        <v/>
      </c>
      <c r="Q95" s="49" t="str">
        <f t="shared" si="48"/>
        <v/>
      </c>
      <c r="R95" s="49" t="str">
        <f t="shared" si="48"/>
        <v/>
      </c>
      <c r="S95" s="49" t="str">
        <f t="shared" si="48"/>
        <v/>
      </c>
      <c r="T95" s="49" t="str">
        <f t="shared" si="48"/>
        <v/>
      </c>
      <c r="U95" s="49" t="str">
        <f t="shared" si="48"/>
        <v/>
      </c>
      <c r="V95" s="49" t="str">
        <f t="shared" si="48"/>
        <v/>
      </c>
      <c r="W95" s="49" t="str">
        <f t="shared" si="48"/>
        <v/>
      </c>
      <c r="X95" s="49" t="str">
        <f t="shared" si="48"/>
        <v/>
      </c>
      <c r="Y95" s="49" t="str">
        <f t="shared" si="48"/>
        <v/>
      </c>
      <c r="Z95" s="49" t="str">
        <f t="shared" si="48"/>
        <v/>
      </c>
      <c r="AA95" s="49" t="str">
        <f t="shared" si="48"/>
        <v/>
      </c>
      <c r="AB95" s="49" t="str">
        <f t="shared" si="48"/>
        <v/>
      </c>
      <c r="AC95" s="49" t="str">
        <f t="shared" si="48"/>
        <v/>
      </c>
      <c r="AD95" s="49" t="str">
        <f t="shared" si="48"/>
        <v/>
      </c>
      <c r="AE95" s="49" t="str">
        <f t="shared" si="48"/>
        <v/>
      </c>
      <c r="AF95" s="49" t="str">
        <f t="shared" si="48"/>
        <v/>
      </c>
      <c r="AG95" s="49" t="str">
        <f t="shared" si="48"/>
        <v/>
      </c>
      <c r="AH95" s="44">
        <f>SUM(AH93:AH94)</f>
        <v>14</v>
      </c>
      <c r="AI95" s="45">
        <f>SUM(AI93:AI94)</f>
        <v>0</v>
      </c>
      <c r="AJ95" s="45">
        <f>SUM(AJ93:AJ94)</f>
        <v>0</v>
      </c>
      <c r="AK95" s="45">
        <f t="shared" ref="AK95:AL95" si="49">SUM(AK93:AK94)</f>
        <v>10</v>
      </c>
      <c r="AL95" s="45">
        <f t="shared" si="49"/>
        <v>0</v>
      </c>
      <c r="AM95" s="50">
        <f>+Juin!AM95</f>
        <v>0</v>
      </c>
      <c r="AN95" s="51">
        <f>IF(A94="","",IF(A94&gt;NomMois,0,IF(A94&lt;$A$3,2.08,(NETWORKDAYS(A94,$A$2)/21.66667)*2.08)))</f>
        <v>2.08</v>
      </c>
      <c r="AO95" s="51">
        <f>IF( AN95="",0,+AN95+Juillet!AO95)</f>
        <v>3.9039997193846587</v>
      </c>
      <c r="AP95" s="50"/>
      <c r="AQ95" s="45">
        <f>+AM95-AI95</f>
        <v>0</v>
      </c>
      <c r="AR95" s="45">
        <f>+AP95-AJ95</f>
        <v>0</v>
      </c>
      <c r="AS95" s="102">
        <f t="shared" ref="AS95:AS123" si="50">+AO95+AQ95</f>
        <v>3.9039997193846587</v>
      </c>
    </row>
    <row r="96" spans="1:45" s="63" customFormat="1" ht="6.75" customHeight="1" x14ac:dyDescent="0.25">
      <c r="A96" s="64"/>
      <c r="B96" s="42"/>
      <c r="C96" s="64"/>
      <c r="D96" s="64"/>
      <c r="E96" s="64"/>
      <c r="F96" s="64"/>
      <c r="G96" s="64"/>
      <c r="H96" s="64"/>
      <c r="I96" s="64"/>
      <c r="J96" s="64"/>
      <c r="K96" s="64"/>
      <c r="L96" s="64"/>
      <c r="M96" s="64"/>
      <c r="N96" s="64"/>
      <c r="O96" s="64"/>
      <c r="P96" s="64"/>
      <c r="Q96" s="64"/>
      <c r="R96" s="64"/>
      <c r="S96" s="64"/>
      <c r="T96" s="64"/>
      <c r="U96" s="64"/>
      <c r="V96" s="64"/>
      <c r="W96" s="64"/>
      <c r="X96" s="64"/>
      <c r="Y96" s="64"/>
      <c r="Z96" s="64"/>
      <c r="AA96" s="64"/>
      <c r="AB96" s="64"/>
      <c r="AC96" s="64"/>
      <c r="AD96" s="64"/>
      <c r="AE96" s="64"/>
      <c r="AF96" s="64"/>
      <c r="AG96" s="64"/>
      <c r="AH96" s="65"/>
      <c r="AI96" s="65"/>
      <c r="AJ96" s="65"/>
      <c r="AK96" s="65"/>
      <c r="AL96" s="65"/>
      <c r="AM96" s="64"/>
      <c r="AN96" s="65"/>
      <c r="AO96" s="65"/>
      <c r="AP96" s="64"/>
      <c r="AQ96" s="69"/>
      <c r="AR96" s="69"/>
      <c r="AS96" s="65"/>
    </row>
    <row r="97" spans="1:45" s="79" customFormat="1" ht="12.95" customHeight="1" x14ac:dyDescent="0.25">
      <c r="A97" s="70"/>
      <c r="B97" s="42" t="s">
        <v>15</v>
      </c>
      <c r="C97" s="71" t="s">
        <v>7</v>
      </c>
      <c r="D97" s="71" t="s">
        <v>7</v>
      </c>
      <c r="E97" s="71" t="s">
        <v>7</v>
      </c>
      <c r="F97" s="71" t="s">
        <v>7</v>
      </c>
      <c r="G97" s="71"/>
      <c r="H97" s="71"/>
      <c r="I97" s="71" t="s">
        <v>7</v>
      </c>
      <c r="J97" s="71" t="s">
        <v>7</v>
      </c>
      <c r="K97" s="71" t="s">
        <v>7</v>
      </c>
      <c r="L97" s="71" t="s">
        <v>7</v>
      </c>
      <c r="M97" s="71" t="s">
        <v>7</v>
      </c>
      <c r="N97" s="71"/>
      <c r="O97" s="71"/>
      <c r="P97" s="71"/>
      <c r="Q97" s="71"/>
      <c r="R97" s="71"/>
      <c r="S97" s="71"/>
      <c r="T97" s="71"/>
      <c r="U97" s="71"/>
      <c r="V97" s="71"/>
      <c r="W97" s="71"/>
      <c r="X97" s="71"/>
      <c r="Y97" s="71"/>
      <c r="Z97" s="71"/>
      <c r="AA97" s="71"/>
      <c r="AB97" s="71"/>
      <c r="AC97" s="71"/>
      <c r="AD97" s="71"/>
      <c r="AE97" s="71"/>
      <c r="AF97" s="71"/>
      <c r="AG97" s="71"/>
      <c r="AH97" s="72">
        <f>COUNTA(Août!$C97:$AG97)</f>
        <v>9</v>
      </c>
      <c r="AI97" s="45">
        <f>(COUNTIFS(Août!$C97:$AG97,("cp")))/2+Juillet!AI97</f>
        <v>11.5</v>
      </c>
      <c r="AJ97" s="45">
        <f>COUNTIFS(Août!$C97:$AG97,"RTT")/2+Juillet!AJ97</f>
        <v>0</v>
      </c>
      <c r="AK97" s="45">
        <f>COUNTIFS(Août!$C97:$AG97,"m")/2+Juillet!AK97</f>
        <v>0</v>
      </c>
      <c r="AL97" s="45">
        <f>COUNTIFS(Août!$C97:$AG97,"a")/2+Juillet!AL97</f>
        <v>0</v>
      </c>
      <c r="AM97" s="46"/>
      <c r="AN97" s="47"/>
      <c r="AO97" s="47"/>
      <c r="AP97" s="46"/>
      <c r="AQ97" s="47"/>
      <c r="AR97" s="47"/>
      <c r="AS97" s="47"/>
    </row>
    <row r="98" spans="1:45" s="79" customFormat="1" ht="12.95" customHeight="1" x14ac:dyDescent="0.25">
      <c r="A98" s="73">
        <v>42736</v>
      </c>
      <c r="B98" s="42" t="s">
        <v>16</v>
      </c>
      <c r="C98" s="71" t="s">
        <v>7</v>
      </c>
      <c r="D98" s="71" t="s">
        <v>7</v>
      </c>
      <c r="E98" s="71" t="s">
        <v>7</v>
      </c>
      <c r="F98" s="71" t="s">
        <v>7</v>
      </c>
      <c r="G98" s="71"/>
      <c r="H98" s="71"/>
      <c r="I98" s="71" t="s">
        <v>7</v>
      </c>
      <c r="J98" s="71" t="s">
        <v>7</v>
      </c>
      <c r="K98" s="71" t="s">
        <v>7</v>
      </c>
      <c r="L98" s="71" t="s">
        <v>7</v>
      </c>
      <c r="M98" s="71" t="s">
        <v>7</v>
      </c>
      <c r="N98" s="71"/>
      <c r="O98" s="71"/>
      <c r="P98" s="71"/>
      <c r="Q98" s="71"/>
      <c r="R98" s="71"/>
      <c r="S98" s="71"/>
      <c r="T98" s="71"/>
      <c r="U98" s="71"/>
      <c r="V98" s="71"/>
      <c r="W98" s="71"/>
      <c r="X98" s="71"/>
      <c r="Y98" s="71"/>
      <c r="Z98" s="71"/>
      <c r="AA98" s="71"/>
      <c r="AB98" s="71"/>
      <c r="AC98" s="71"/>
      <c r="AD98" s="71"/>
      <c r="AE98" s="71"/>
      <c r="AF98" s="71"/>
      <c r="AG98" s="71"/>
      <c r="AH98" s="72">
        <f>COUNTA(Août!$C98:$AG98)</f>
        <v>9</v>
      </c>
      <c r="AI98" s="45">
        <f>(COUNTIFS(Août!$C98:$AG98,("cp")))/2+Juillet!AI98</f>
        <v>11.5</v>
      </c>
      <c r="AJ98" s="45">
        <f>COUNTIFS(Août!$C98:$AG98,"RTT")/2+Juillet!AJ98</f>
        <v>0</v>
      </c>
      <c r="AK98" s="45">
        <f>COUNTIFS(Août!$C98:$AG98,"m")/2+Juillet!AK98</f>
        <v>0</v>
      </c>
      <c r="AL98" s="45">
        <f>COUNTIFS(Août!$C98:$AG98,"a")/2+Juillet!AL98</f>
        <v>0</v>
      </c>
      <c r="AM98" s="46"/>
      <c r="AN98" s="47"/>
      <c r="AO98" s="47"/>
      <c r="AP98" s="46"/>
      <c r="AQ98" s="47"/>
      <c r="AR98" s="47"/>
      <c r="AS98" s="101"/>
    </row>
    <row r="99" spans="1:45" s="79" customFormat="1" ht="12.95" customHeight="1" x14ac:dyDescent="0.25">
      <c r="A99" s="70"/>
      <c r="B99" s="42"/>
      <c r="C99" s="71" t="str">
        <f t="shared" ref="C99:W99" si="51">IF(C97&gt;0,C97,IF(C98&gt;0,C98,""))</f>
        <v>CP</v>
      </c>
      <c r="D99" s="71" t="str">
        <f t="shared" si="51"/>
        <v>CP</v>
      </c>
      <c r="E99" s="71" t="str">
        <f t="shared" si="51"/>
        <v>CP</v>
      </c>
      <c r="F99" s="71" t="str">
        <f t="shared" si="51"/>
        <v>CP</v>
      </c>
      <c r="G99" s="71" t="str">
        <f t="shared" si="51"/>
        <v/>
      </c>
      <c r="H99" s="71" t="str">
        <f t="shared" si="51"/>
        <v/>
      </c>
      <c r="I99" s="71" t="str">
        <f t="shared" si="51"/>
        <v>CP</v>
      </c>
      <c r="J99" s="71" t="str">
        <f t="shared" si="51"/>
        <v>CP</v>
      </c>
      <c r="K99" s="71" t="str">
        <f t="shared" si="51"/>
        <v>CP</v>
      </c>
      <c r="L99" s="71" t="str">
        <f t="shared" si="51"/>
        <v>CP</v>
      </c>
      <c r="M99" s="71" t="str">
        <f t="shared" si="51"/>
        <v>CP</v>
      </c>
      <c r="N99" s="71" t="str">
        <f t="shared" si="51"/>
        <v/>
      </c>
      <c r="O99" s="71" t="str">
        <f t="shared" si="51"/>
        <v/>
      </c>
      <c r="P99" s="71" t="str">
        <f t="shared" si="51"/>
        <v/>
      </c>
      <c r="Q99" s="71" t="str">
        <f t="shared" si="51"/>
        <v/>
      </c>
      <c r="R99" s="71" t="str">
        <f t="shared" si="51"/>
        <v/>
      </c>
      <c r="S99" s="71" t="str">
        <f t="shared" si="51"/>
        <v/>
      </c>
      <c r="T99" s="71" t="str">
        <f t="shared" si="51"/>
        <v/>
      </c>
      <c r="U99" s="71" t="str">
        <f t="shared" si="51"/>
        <v/>
      </c>
      <c r="V99" s="71" t="str">
        <f t="shared" si="51"/>
        <v/>
      </c>
      <c r="W99" s="71" t="str">
        <f t="shared" si="51"/>
        <v/>
      </c>
      <c r="X99" s="71"/>
      <c r="Y99" s="71"/>
      <c r="Z99" s="71" t="str">
        <f t="shared" ref="Z99:AE99" si="52">IF(Z97&gt;0,Z97,IF(Z98&gt;0,Z98,""))</f>
        <v/>
      </c>
      <c r="AA99" s="71" t="str">
        <f t="shared" si="52"/>
        <v/>
      </c>
      <c r="AB99" s="71" t="str">
        <f t="shared" si="52"/>
        <v/>
      </c>
      <c r="AC99" s="71" t="str">
        <f t="shared" si="52"/>
        <v/>
      </c>
      <c r="AD99" s="71" t="str">
        <f t="shared" si="52"/>
        <v/>
      </c>
      <c r="AE99" s="71" t="str">
        <f t="shared" si="52"/>
        <v/>
      </c>
      <c r="AF99" s="71"/>
      <c r="AG99" s="71" t="str">
        <f t="shared" ref="AG99" si="53">IF(AG97&gt;0,AG97,IF(AG98&gt;0,AG98,""))</f>
        <v/>
      </c>
      <c r="AH99" s="72">
        <f>SUM(AH97:AH98)</f>
        <v>18</v>
      </c>
      <c r="AI99" s="45">
        <f>SUM(AI97:AI98)</f>
        <v>23</v>
      </c>
      <c r="AJ99" s="45">
        <f>SUM(AJ97:AJ98)</f>
        <v>0</v>
      </c>
      <c r="AK99" s="45">
        <f t="shared" ref="AK99:AL99" si="54">SUM(AK97:AK98)</f>
        <v>0</v>
      </c>
      <c r="AL99" s="45">
        <f t="shared" si="54"/>
        <v>0</v>
      </c>
      <c r="AM99" s="50">
        <f>+Juin!AM99</f>
        <v>5.41</v>
      </c>
      <c r="AN99" s="51">
        <f>IF(A98="","",IF(A98&gt;NomMois,0,IF(A98&lt;$A$3,2.08,(NETWORKDAYS(A98,$A$2)/21.66667)*2.08)))</f>
        <v>2.08</v>
      </c>
      <c r="AO99" s="51">
        <f>IF( AN99="",0,+AN99+Juillet!AO99)</f>
        <v>6.24</v>
      </c>
      <c r="AP99" s="50"/>
      <c r="AQ99" s="45">
        <f>+AM99-AI99</f>
        <v>-17.59</v>
      </c>
      <c r="AR99" s="45">
        <f>+AP99-AJ99</f>
        <v>0</v>
      </c>
      <c r="AS99" s="102">
        <f t="shared" si="50"/>
        <v>-11.35</v>
      </c>
    </row>
    <row r="100" spans="1:45" s="63" customFormat="1" ht="6.75" customHeight="1" x14ac:dyDescent="0.25">
      <c r="A100" s="64"/>
      <c r="B100" s="42"/>
      <c r="C100" s="64"/>
      <c r="D100" s="64"/>
      <c r="E100" s="64"/>
      <c r="F100" s="64"/>
      <c r="G100" s="64"/>
      <c r="H100" s="64"/>
      <c r="I100" s="64"/>
      <c r="J100" s="64"/>
      <c r="K100" s="64"/>
      <c r="L100" s="64"/>
      <c r="M100" s="64"/>
      <c r="N100" s="64"/>
      <c r="O100" s="64"/>
      <c r="P100" s="64"/>
      <c r="Q100" s="64"/>
      <c r="R100" s="64"/>
      <c r="S100" s="64"/>
      <c r="T100" s="64"/>
      <c r="U100" s="64"/>
      <c r="V100" s="64"/>
      <c r="W100" s="64"/>
      <c r="X100" s="64"/>
      <c r="Y100" s="64"/>
      <c r="Z100" s="64"/>
      <c r="AA100" s="64"/>
      <c r="AB100" s="64"/>
      <c r="AC100" s="64"/>
      <c r="AD100" s="64"/>
      <c r="AE100" s="64"/>
      <c r="AF100" s="64"/>
      <c r="AG100" s="64"/>
      <c r="AH100" s="65"/>
      <c r="AI100" s="65"/>
      <c r="AJ100" s="65"/>
      <c r="AK100" s="65"/>
      <c r="AL100" s="65"/>
      <c r="AM100" s="64"/>
      <c r="AN100" s="65"/>
      <c r="AO100" s="65"/>
      <c r="AP100" s="64"/>
      <c r="AQ100" s="69"/>
      <c r="AR100" s="69"/>
      <c r="AS100" s="65"/>
    </row>
    <row r="101" spans="1:45" s="79" customFormat="1" ht="12.95" customHeight="1" x14ac:dyDescent="0.25">
      <c r="A101" s="70"/>
      <c r="B101" s="42" t="s">
        <v>15</v>
      </c>
      <c r="C101" s="71" t="s">
        <v>7</v>
      </c>
      <c r="D101" s="71" t="s">
        <v>7</v>
      </c>
      <c r="E101" s="71" t="s">
        <v>7</v>
      </c>
      <c r="F101" s="71" t="s">
        <v>7</v>
      </c>
      <c r="G101" s="71"/>
      <c r="H101" s="71"/>
      <c r="I101" s="71"/>
      <c r="J101" s="71"/>
      <c r="K101" s="71"/>
      <c r="L101" s="71"/>
      <c r="M101" s="71"/>
      <c r="N101" s="71"/>
      <c r="O101" s="71"/>
      <c r="P101" s="71"/>
      <c r="Q101" s="71"/>
      <c r="R101" s="71"/>
      <c r="S101" s="71"/>
      <c r="T101" s="71"/>
      <c r="U101" s="71"/>
      <c r="V101" s="71"/>
      <c r="W101" s="71"/>
      <c r="X101" s="71"/>
      <c r="Y101" s="71"/>
      <c r="Z101" s="71"/>
      <c r="AA101" s="71"/>
      <c r="AB101" s="71"/>
      <c r="AC101" s="71"/>
      <c r="AD101" s="71"/>
      <c r="AE101" s="71"/>
      <c r="AF101" s="71"/>
      <c r="AG101" s="71"/>
      <c r="AH101" s="72">
        <f>COUNTA(Août!$C101:$AG101)</f>
        <v>4</v>
      </c>
      <c r="AI101" s="45">
        <f>(COUNTIFS(Août!$C101:$AG101,("cp")))/2+Juillet!AI101</f>
        <v>2</v>
      </c>
      <c r="AJ101" s="45">
        <f>COUNTIFS(Août!$C101:$AG101,"RTT")/2+Juillet!AJ101</f>
        <v>0</v>
      </c>
      <c r="AK101" s="45">
        <f>COUNTIFS(Août!$C101:$AG101,"m")/2+Juillet!AK101</f>
        <v>0</v>
      </c>
      <c r="AL101" s="45">
        <f>COUNTIFS(Août!$C101:$AG101,"a")/2+Juillet!AL101</f>
        <v>0</v>
      </c>
      <c r="AM101" s="46"/>
      <c r="AN101" s="47"/>
      <c r="AO101" s="47"/>
      <c r="AP101" s="46"/>
      <c r="AQ101" s="47"/>
      <c r="AR101" s="47"/>
      <c r="AS101" s="47"/>
    </row>
    <row r="102" spans="1:45" s="79" customFormat="1" ht="12.95" customHeight="1" x14ac:dyDescent="0.25">
      <c r="A102" s="73">
        <v>42814</v>
      </c>
      <c r="B102" s="42" t="s">
        <v>16</v>
      </c>
      <c r="C102" s="71" t="s">
        <v>7</v>
      </c>
      <c r="D102" s="71" t="s">
        <v>7</v>
      </c>
      <c r="E102" s="71" t="s">
        <v>7</v>
      </c>
      <c r="F102" s="71" t="s">
        <v>7</v>
      </c>
      <c r="G102" s="71"/>
      <c r="H102" s="71"/>
      <c r="I102" s="71"/>
      <c r="J102" s="71"/>
      <c r="K102" s="71"/>
      <c r="L102" s="71"/>
      <c r="M102" s="71"/>
      <c r="N102" s="71"/>
      <c r="O102" s="71"/>
      <c r="P102" s="71"/>
      <c r="Q102" s="71"/>
      <c r="R102" s="71"/>
      <c r="S102" s="71"/>
      <c r="T102" s="71"/>
      <c r="U102" s="71"/>
      <c r="V102" s="71"/>
      <c r="W102" s="71"/>
      <c r="X102" s="71"/>
      <c r="Y102" s="71"/>
      <c r="Z102" s="71"/>
      <c r="AA102" s="71"/>
      <c r="AB102" s="71"/>
      <c r="AC102" s="71"/>
      <c r="AD102" s="71"/>
      <c r="AE102" s="71"/>
      <c r="AF102" s="71"/>
      <c r="AG102" s="71"/>
      <c r="AH102" s="72">
        <f>COUNTA(Août!$C102:$AG102)</f>
        <v>4</v>
      </c>
      <c r="AI102" s="45">
        <f>(COUNTIFS(Août!$C102:$AG102,("cp")))/2+Juillet!AI102</f>
        <v>2</v>
      </c>
      <c r="AJ102" s="45">
        <f>COUNTIFS(Août!$C102:$AG102,"RTT")/2+Juillet!AJ102</f>
        <v>0</v>
      </c>
      <c r="AK102" s="45">
        <f>COUNTIFS(Août!$C102:$AG102,"m")/2+Juillet!AK102</f>
        <v>0</v>
      </c>
      <c r="AL102" s="45">
        <f>COUNTIFS(Août!$C102:$AG102,"a")/2+Juillet!AL102</f>
        <v>0</v>
      </c>
      <c r="AM102" s="46"/>
      <c r="AN102" s="47"/>
      <c r="AO102" s="47"/>
      <c r="AP102" s="46"/>
      <c r="AQ102" s="47"/>
      <c r="AR102" s="47"/>
      <c r="AS102" s="101"/>
    </row>
    <row r="103" spans="1:45" s="79" customFormat="1" ht="12.95" customHeight="1" x14ac:dyDescent="0.25">
      <c r="A103" s="70"/>
      <c r="B103" s="42"/>
      <c r="C103" s="71" t="str">
        <f t="shared" ref="C103:AG103" si="55">IF(C101&gt;0,C101,IF(C102&gt;0,C102,""))</f>
        <v>CP</v>
      </c>
      <c r="D103" s="71" t="str">
        <f t="shared" si="55"/>
        <v>CP</v>
      </c>
      <c r="E103" s="71" t="str">
        <f t="shared" si="55"/>
        <v>CP</v>
      </c>
      <c r="F103" s="71" t="str">
        <f t="shared" si="55"/>
        <v>CP</v>
      </c>
      <c r="G103" s="71" t="str">
        <f t="shared" si="55"/>
        <v/>
      </c>
      <c r="H103" s="71" t="str">
        <f t="shared" si="55"/>
        <v/>
      </c>
      <c r="I103" s="71" t="str">
        <f t="shared" si="55"/>
        <v/>
      </c>
      <c r="J103" s="71" t="str">
        <f t="shared" si="55"/>
        <v/>
      </c>
      <c r="K103" s="71" t="str">
        <f t="shared" si="55"/>
        <v/>
      </c>
      <c r="L103" s="71" t="str">
        <f t="shared" si="55"/>
        <v/>
      </c>
      <c r="M103" s="71" t="str">
        <f t="shared" si="55"/>
        <v/>
      </c>
      <c r="N103" s="71" t="str">
        <f t="shared" si="55"/>
        <v/>
      </c>
      <c r="O103" s="71" t="str">
        <f t="shared" si="55"/>
        <v/>
      </c>
      <c r="P103" s="71" t="str">
        <f t="shared" si="55"/>
        <v/>
      </c>
      <c r="Q103" s="71" t="str">
        <f t="shared" si="55"/>
        <v/>
      </c>
      <c r="R103" s="71" t="str">
        <f t="shared" si="55"/>
        <v/>
      </c>
      <c r="S103" s="71" t="str">
        <f t="shared" si="55"/>
        <v/>
      </c>
      <c r="T103" s="71" t="str">
        <f t="shared" si="55"/>
        <v/>
      </c>
      <c r="U103" s="71" t="str">
        <f t="shared" si="55"/>
        <v/>
      </c>
      <c r="V103" s="71" t="str">
        <f t="shared" si="55"/>
        <v/>
      </c>
      <c r="W103" s="71" t="str">
        <f t="shared" si="55"/>
        <v/>
      </c>
      <c r="X103" s="71" t="str">
        <f t="shared" si="55"/>
        <v/>
      </c>
      <c r="Y103" s="71" t="str">
        <f t="shared" si="55"/>
        <v/>
      </c>
      <c r="Z103" s="71" t="str">
        <f t="shared" si="55"/>
        <v/>
      </c>
      <c r="AA103" s="71" t="str">
        <f t="shared" si="55"/>
        <v/>
      </c>
      <c r="AB103" s="71" t="str">
        <f t="shared" si="55"/>
        <v/>
      </c>
      <c r="AC103" s="71" t="str">
        <f t="shared" si="55"/>
        <v/>
      </c>
      <c r="AD103" s="71" t="str">
        <f t="shared" si="55"/>
        <v/>
      </c>
      <c r="AE103" s="71" t="str">
        <f t="shared" si="55"/>
        <v/>
      </c>
      <c r="AF103" s="71" t="str">
        <f t="shared" si="55"/>
        <v/>
      </c>
      <c r="AG103" s="71" t="str">
        <f t="shared" si="55"/>
        <v/>
      </c>
      <c r="AH103" s="72">
        <f>SUM(AH101:AH102)</f>
        <v>8</v>
      </c>
      <c r="AI103" s="45">
        <f>SUM(AI101:AI102)</f>
        <v>4</v>
      </c>
      <c r="AJ103" s="45">
        <f>SUM(AJ101:AJ102)</f>
        <v>0</v>
      </c>
      <c r="AK103" s="45">
        <f t="shared" ref="AK103:AL103" si="56">SUM(AK101:AK102)</f>
        <v>0</v>
      </c>
      <c r="AL103" s="45">
        <f t="shared" si="56"/>
        <v>0</v>
      </c>
      <c r="AM103" s="50">
        <f>+Juin!AM103</f>
        <v>2.65</v>
      </c>
      <c r="AN103" s="51">
        <f>IF(A102="","",IF(A102&gt;NomMois,0,IF(A102&lt;$A$3,2.08,(NETWORKDAYS(A102,$A$2)/21.66667)*2.08)))</f>
        <v>2.08</v>
      </c>
      <c r="AO103" s="51">
        <f>IF( AN103="",0,+AN103+Juillet!AO103)</f>
        <v>6.24</v>
      </c>
      <c r="AP103" s="50"/>
      <c r="AQ103" s="45">
        <f>+AM103-AI103</f>
        <v>-1.35</v>
      </c>
      <c r="AR103" s="45">
        <f>+AP103-AJ103</f>
        <v>0</v>
      </c>
      <c r="AS103" s="102">
        <f t="shared" si="50"/>
        <v>4.8900000000000006</v>
      </c>
    </row>
    <row r="104" spans="1:45" s="79" customFormat="1" ht="8.25" customHeight="1" x14ac:dyDescent="0.25">
      <c r="A104" s="64"/>
      <c r="B104" s="42"/>
      <c r="C104" s="64"/>
      <c r="D104" s="64"/>
      <c r="E104" s="64"/>
      <c r="F104" s="64"/>
      <c r="G104" s="64"/>
      <c r="H104" s="64"/>
      <c r="I104" s="64"/>
      <c r="J104" s="64"/>
      <c r="K104" s="64"/>
      <c r="L104" s="64"/>
      <c r="M104" s="64"/>
      <c r="N104" s="64"/>
      <c r="O104" s="64"/>
      <c r="P104" s="64"/>
      <c r="Q104" s="64"/>
      <c r="R104" s="64"/>
      <c r="S104" s="64"/>
      <c r="T104" s="64"/>
      <c r="U104" s="64"/>
      <c r="V104" s="64"/>
      <c r="W104" s="64"/>
      <c r="X104" s="64"/>
      <c r="Y104" s="64"/>
      <c r="Z104" s="64"/>
      <c r="AA104" s="64"/>
      <c r="AB104" s="64"/>
      <c r="AC104" s="64"/>
      <c r="AD104" s="64"/>
      <c r="AE104" s="64"/>
      <c r="AF104" s="64"/>
      <c r="AG104" s="64"/>
      <c r="AH104" s="65"/>
      <c r="AI104" s="65"/>
      <c r="AJ104" s="65"/>
      <c r="AK104" s="65"/>
      <c r="AL104" s="65"/>
      <c r="AM104" s="64"/>
      <c r="AN104" s="65"/>
      <c r="AO104" s="65"/>
      <c r="AP104" s="64"/>
      <c r="AQ104" s="69"/>
      <c r="AR104" s="69"/>
      <c r="AS104" s="65"/>
    </row>
    <row r="105" spans="1:45" s="79" customFormat="1" ht="12.95" customHeight="1" x14ac:dyDescent="0.25">
      <c r="A105" s="41"/>
      <c r="B105" s="42" t="s">
        <v>15</v>
      </c>
      <c r="C105" s="67"/>
      <c r="D105" s="43"/>
      <c r="E105" s="43"/>
      <c r="F105" s="43"/>
      <c r="G105" s="43"/>
      <c r="H105" s="43"/>
      <c r="I105" s="43"/>
      <c r="J105" s="43"/>
      <c r="K105" s="43"/>
      <c r="L105" s="43"/>
      <c r="M105" s="43"/>
      <c r="N105" s="43"/>
      <c r="O105" s="43"/>
      <c r="P105" s="43"/>
      <c r="Q105" s="43"/>
      <c r="R105" s="43"/>
      <c r="S105" s="43"/>
      <c r="T105" s="43"/>
      <c r="U105" s="43"/>
      <c r="V105" s="43"/>
      <c r="W105" s="43"/>
      <c r="X105" s="43"/>
      <c r="Y105" s="43"/>
      <c r="Z105" s="43"/>
      <c r="AA105" s="43"/>
      <c r="AB105" s="43"/>
      <c r="AC105" s="43"/>
      <c r="AD105" s="43"/>
      <c r="AE105" s="43"/>
      <c r="AF105" s="43"/>
      <c r="AG105" s="43"/>
      <c r="AH105" s="44">
        <f>COUNTA(Août!$C105:$AG105)</f>
        <v>0</v>
      </c>
      <c r="AI105" s="45">
        <f>(COUNTIFS(Août!$C105:$AG105,("cp")))/2+Juillet!AI105</f>
        <v>0</v>
      </c>
      <c r="AJ105" s="45">
        <f>COUNTIFS(Août!$C105:$AG105,"RTT")/2+Juillet!AJ105</f>
        <v>0</v>
      </c>
      <c r="AK105" s="45">
        <f>COUNTIFS(Août!$C105:$AG105,"m")/2+Juillet!AK105</f>
        <v>0</v>
      </c>
      <c r="AL105" s="45">
        <f>COUNTIFS(Août!$C105:$AG105,"a")/2+Juillet!AL105</f>
        <v>0</v>
      </c>
      <c r="AM105" s="46"/>
      <c r="AN105" s="47"/>
      <c r="AO105" s="47"/>
      <c r="AP105" s="46"/>
      <c r="AQ105" s="47"/>
      <c r="AR105" s="47"/>
      <c r="AS105" s="47"/>
    </row>
    <row r="106" spans="1:45" s="79" customFormat="1" ht="12.95" customHeight="1" x14ac:dyDescent="0.25">
      <c r="A106" s="48">
        <v>43037</v>
      </c>
      <c r="B106" s="42" t="s">
        <v>16</v>
      </c>
      <c r="C106" s="67"/>
      <c r="D106" s="43"/>
      <c r="E106" s="43"/>
      <c r="F106" s="43"/>
      <c r="G106" s="43"/>
      <c r="H106" s="43"/>
      <c r="I106" s="43"/>
      <c r="J106" s="43"/>
      <c r="K106" s="43"/>
      <c r="L106" s="43"/>
      <c r="M106" s="43"/>
      <c r="N106" s="43"/>
      <c r="O106" s="43"/>
      <c r="P106" s="43"/>
      <c r="Q106" s="43"/>
      <c r="R106" s="43"/>
      <c r="S106" s="43"/>
      <c r="T106" s="43"/>
      <c r="U106" s="43"/>
      <c r="V106" s="43"/>
      <c r="W106" s="43"/>
      <c r="X106" s="43"/>
      <c r="Y106" s="43"/>
      <c r="Z106" s="43"/>
      <c r="AA106" s="43"/>
      <c r="AB106" s="43"/>
      <c r="AC106" s="43"/>
      <c r="AD106" s="43"/>
      <c r="AE106" s="43"/>
      <c r="AF106" s="43"/>
      <c r="AG106" s="43"/>
      <c r="AH106" s="44">
        <f>COUNTA(Août!$C106:$AG106)</f>
        <v>0</v>
      </c>
      <c r="AI106" s="45">
        <f>(COUNTIFS(Août!$C106:$AG106,("cp")))/2+Juillet!AI106</f>
        <v>0</v>
      </c>
      <c r="AJ106" s="45">
        <f>COUNTIFS(Août!$C106:$AG106,"RTT")/2+Juillet!AJ106</f>
        <v>0</v>
      </c>
      <c r="AK106" s="45">
        <f>COUNTIFS(Août!$C106:$AG106,"m")/2+Juillet!AK106</f>
        <v>0</v>
      </c>
      <c r="AL106" s="45">
        <f>COUNTIFS(Août!$C106:$AG106,"a")/2+Juillet!AL106</f>
        <v>0</v>
      </c>
      <c r="AM106" s="46"/>
      <c r="AN106" s="47"/>
      <c r="AO106" s="47"/>
      <c r="AP106" s="46"/>
      <c r="AQ106" s="47"/>
      <c r="AR106" s="47"/>
      <c r="AS106" s="101"/>
    </row>
    <row r="107" spans="1:45" s="79" customFormat="1" ht="12.95" customHeight="1" x14ac:dyDescent="0.25">
      <c r="A107" s="41"/>
      <c r="B107" s="42"/>
      <c r="C107" s="49" t="str">
        <f t="shared" ref="C107:AG107" si="57">IF(C105&gt;0,C105,IF(C106&gt;0,C106,""))</f>
        <v/>
      </c>
      <c r="D107" s="49" t="str">
        <f t="shared" si="57"/>
        <v/>
      </c>
      <c r="E107" s="49" t="str">
        <f t="shared" si="57"/>
        <v/>
      </c>
      <c r="F107" s="49" t="str">
        <f t="shared" si="57"/>
        <v/>
      </c>
      <c r="G107" s="49" t="str">
        <f t="shared" si="57"/>
        <v/>
      </c>
      <c r="H107" s="49" t="str">
        <f t="shared" si="57"/>
        <v/>
      </c>
      <c r="I107" s="49" t="str">
        <f t="shared" si="57"/>
        <v/>
      </c>
      <c r="J107" s="49" t="str">
        <f t="shared" si="57"/>
        <v/>
      </c>
      <c r="K107" s="49" t="str">
        <f t="shared" si="57"/>
        <v/>
      </c>
      <c r="L107" s="49" t="str">
        <f t="shared" si="57"/>
        <v/>
      </c>
      <c r="M107" s="49" t="str">
        <f t="shared" si="57"/>
        <v/>
      </c>
      <c r="N107" s="49" t="str">
        <f t="shared" si="57"/>
        <v/>
      </c>
      <c r="O107" s="49" t="str">
        <f t="shared" si="57"/>
        <v/>
      </c>
      <c r="P107" s="49" t="str">
        <f t="shared" si="57"/>
        <v/>
      </c>
      <c r="Q107" s="49" t="str">
        <f t="shared" si="57"/>
        <v/>
      </c>
      <c r="R107" s="49" t="str">
        <f t="shared" si="57"/>
        <v/>
      </c>
      <c r="S107" s="49" t="str">
        <f t="shared" si="57"/>
        <v/>
      </c>
      <c r="T107" s="49" t="str">
        <f t="shared" si="57"/>
        <v/>
      </c>
      <c r="U107" s="49" t="str">
        <f t="shared" si="57"/>
        <v/>
      </c>
      <c r="V107" s="49" t="str">
        <f t="shared" si="57"/>
        <v/>
      </c>
      <c r="W107" s="49" t="str">
        <f t="shared" si="57"/>
        <v/>
      </c>
      <c r="X107" s="49" t="str">
        <f t="shared" si="57"/>
        <v/>
      </c>
      <c r="Y107" s="49" t="str">
        <f t="shared" si="57"/>
        <v/>
      </c>
      <c r="Z107" s="49" t="str">
        <f t="shared" si="57"/>
        <v/>
      </c>
      <c r="AA107" s="49" t="str">
        <f t="shared" si="57"/>
        <v/>
      </c>
      <c r="AB107" s="49" t="str">
        <f t="shared" si="57"/>
        <v/>
      </c>
      <c r="AC107" s="49" t="str">
        <f t="shared" si="57"/>
        <v/>
      </c>
      <c r="AD107" s="49" t="str">
        <f t="shared" si="57"/>
        <v/>
      </c>
      <c r="AE107" s="49" t="str">
        <f t="shared" si="57"/>
        <v/>
      </c>
      <c r="AF107" s="49" t="str">
        <f t="shared" si="57"/>
        <v/>
      </c>
      <c r="AG107" s="49" t="str">
        <f t="shared" si="57"/>
        <v/>
      </c>
      <c r="AH107" s="44">
        <f>SUM(AH105:AH106)</f>
        <v>0</v>
      </c>
      <c r="AI107" s="45">
        <f>SUM(AI105:AI106)</f>
        <v>0</v>
      </c>
      <c r="AJ107" s="45">
        <f>SUM(AJ105:AJ106)</f>
        <v>0</v>
      </c>
      <c r="AK107" s="45">
        <f t="shared" ref="AK107:AL107" si="58">SUM(AK105:AK106)</f>
        <v>0</v>
      </c>
      <c r="AL107" s="45">
        <f t="shared" si="58"/>
        <v>0</v>
      </c>
      <c r="AM107" s="50">
        <v>0</v>
      </c>
      <c r="AN107" s="51">
        <f>IF(A106="","",IF(A106&gt;NomMois,0,IF(A106&lt;$A$3,2.08,(NETWORKDAYS(A106,$A$2)/21.66667)*2.08)))</f>
        <v>0</v>
      </c>
      <c r="AO107" s="51">
        <f>IF( AN107="",0,+AN107+Juillet!AO107)</f>
        <v>0</v>
      </c>
      <c r="AP107" s="50"/>
      <c r="AQ107" s="45">
        <f>+AM107-AI107</f>
        <v>0</v>
      </c>
      <c r="AR107" s="45">
        <f>+AP107-AJ107</f>
        <v>0</v>
      </c>
      <c r="AS107" s="102">
        <f t="shared" si="50"/>
        <v>0</v>
      </c>
    </row>
    <row r="108" spans="1:45" s="79" customFormat="1" ht="6.75" customHeight="1" x14ac:dyDescent="0.25">
      <c r="A108" s="64"/>
      <c r="B108" s="42"/>
      <c r="C108" s="64"/>
      <c r="D108" s="64"/>
      <c r="E108" s="64"/>
      <c r="F108" s="64"/>
      <c r="G108" s="64"/>
      <c r="H108" s="64"/>
      <c r="I108" s="64"/>
      <c r="J108" s="64"/>
      <c r="K108" s="64"/>
      <c r="L108" s="64"/>
      <c r="M108" s="64"/>
      <c r="N108" s="64"/>
      <c r="O108" s="64"/>
      <c r="P108" s="64"/>
      <c r="Q108" s="64"/>
      <c r="R108" s="64"/>
      <c r="S108" s="64"/>
      <c r="T108" s="64"/>
      <c r="U108" s="64"/>
      <c r="V108" s="64"/>
      <c r="W108" s="64"/>
      <c r="X108" s="64"/>
      <c r="Y108" s="64"/>
      <c r="Z108" s="64"/>
      <c r="AA108" s="64"/>
      <c r="AB108" s="64"/>
      <c r="AC108" s="64"/>
      <c r="AD108" s="64"/>
      <c r="AE108" s="64"/>
      <c r="AF108" s="64"/>
      <c r="AG108" s="64"/>
      <c r="AH108" s="65"/>
      <c r="AI108" s="65"/>
      <c r="AJ108" s="65"/>
      <c r="AK108" s="65"/>
      <c r="AL108" s="65"/>
      <c r="AM108" s="64"/>
      <c r="AN108" s="65"/>
      <c r="AO108" s="65"/>
      <c r="AP108" s="64"/>
      <c r="AQ108" s="69"/>
      <c r="AR108" s="69"/>
      <c r="AS108" s="65"/>
    </row>
    <row r="109" spans="1:45" s="79" customFormat="1" ht="12.95" customHeight="1" x14ac:dyDescent="0.25">
      <c r="A109" s="41"/>
      <c r="B109" s="42" t="s">
        <v>15</v>
      </c>
      <c r="C109" s="67"/>
      <c r="D109" s="43"/>
      <c r="E109" s="43"/>
      <c r="F109" s="43"/>
      <c r="G109" s="43"/>
      <c r="H109" s="43"/>
      <c r="I109" s="43"/>
      <c r="J109" s="43"/>
      <c r="K109" s="43"/>
      <c r="L109" s="43"/>
      <c r="M109" s="43"/>
      <c r="N109" s="43"/>
      <c r="O109" s="43"/>
      <c r="P109" s="43"/>
      <c r="Q109" s="43"/>
      <c r="R109" s="43"/>
      <c r="S109" s="43"/>
      <c r="T109" s="43"/>
      <c r="U109" s="43"/>
      <c r="V109" s="43"/>
      <c r="W109" s="43"/>
      <c r="X109" s="43"/>
      <c r="Y109" s="43"/>
      <c r="Z109" s="43"/>
      <c r="AA109" s="43"/>
      <c r="AB109" s="43"/>
      <c r="AC109" s="43"/>
      <c r="AD109" s="43"/>
      <c r="AE109" s="43"/>
      <c r="AF109" s="43"/>
      <c r="AG109" s="43"/>
      <c r="AH109" s="44">
        <f>COUNTA(Août!$C109:$AG109)</f>
        <v>0</v>
      </c>
      <c r="AI109" s="45">
        <f>(COUNTIFS(Août!$C109:$AG109,("cp")))/2+Juillet!AI109</f>
        <v>0</v>
      </c>
      <c r="AJ109" s="45">
        <f>COUNTIFS(Août!$C109:$AG109,"RTT")/2+Juillet!AJ109</f>
        <v>0</v>
      </c>
      <c r="AK109" s="45">
        <f>COUNTIFS(Août!$C109:$AG109,"m")/2+Juillet!AK109</f>
        <v>0</v>
      </c>
      <c r="AL109" s="45">
        <f>COUNTIFS(Août!$C109:$AG109,"a")/2+Juillet!AL109</f>
        <v>0</v>
      </c>
      <c r="AM109" s="46"/>
      <c r="AN109" s="47"/>
      <c r="AO109" s="47"/>
      <c r="AP109" s="46"/>
      <c r="AQ109" s="47"/>
      <c r="AR109" s="47"/>
      <c r="AS109" s="47"/>
    </row>
    <row r="110" spans="1:45" s="79" customFormat="1" ht="12.95" customHeight="1" x14ac:dyDescent="0.25">
      <c r="A110" s="48">
        <v>42991</v>
      </c>
      <c r="B110" s="42" t="s">
        <v>16</v>
      </c>
      <c r="C110" s="67"/>
      <c r="D110" s="43"/>
      <c r="E110" s="43"/>
      <c r="F110" s="43"/>
      <c r="G110" s="43"/>
      <c r="H110" s="43"/>
      <c r="I110" s="43"/>
      <c r="J110" s="43"/>
      <c r="K110" s="43"/>
      <c r="L110" s="43"/>
      <c r="M110" s="43"/>
      <c r="N110" s="43"/>
      <c r="O110" s="43"/>
      <c r="P110" s="43"/>
      <c r="Q110" s="43"/>
      <c r="R110" s="43"/>
      <c r="S110" s="43"/>
      <c r="T110" s="43"/>
      <c r="U110" s="43"/>
      <c r="V110" s="43"/>
      <c r="W110" s="43"/>
      <c r="X110" s="43"/>
      <c r="Y110" s="43"/>
      <c r="Z110" s="43"/>
      <c r="AA110" s="43"/>
      <c r="AB110" s="43"/>
      <c r="AC110" s="43"/>
      <c r="AD110" s="43"/>
      <c r="AE110" s="43"/>
      <c r="AF110" s="43"/>
      <c r="AG110" s="43"/>
      <c r="AH110" s="44">
        <f>COUNTA(Août!$C110:$AG110)</f>
        <v>0</v>
      </c>
      <c r="AI110" s="45">
        <f>(COUNTIFS(Août!$C110:$AG110,("cp")))/2+Juillet!AI110</f>
        <v>0</v>
      </c>
      <c r="AJ110" s="45">
        <f>COUNTIFS(Août!$C110:$AG110,"RTT")/2+Juillet!AJ110</f>
        <v>0</v>
      </c>
      <c r="AK110" s="45">
        <f>COUNTIFS(Août!$C110:$AG110,"m")/2+Juillet!AK110</f>
        <v>0</v>
      </c>
      <c r="AL110" s="45">
        <f>COUNTIFS(Août!$C110:$AG110,"a")/2+Juillet!AL110</f>
        <v>0</v>
      </c>
      <c r="AM110" s="46"/>
      <c r="AN110" s="47"/>
      <c r="AO110" s="47"/>
      <c r="AP110" s="46"/>
      <c r="AQ110" s="47"/>
      <c r="AR110" s="47"/>
      <c r="AS110" s="101"/>
    </row>
    <row r="111" spans="1:45" s="79" customFormat="1" ht="12.95" customHeight="1" x14ac:dyDescent="0.25">
      <c r="A111" s="41"/>
      <c r="B111" s="42"/>
      <c r="C111" s="49" t="str">
        <f t="shared" ref="C111:AG111" si="59">IF(C109&gt;0,C109,IF(C110&gt;0,C110,""))</f>
        <v/>
      </c>
      <c r="D111" s="49" t="str">
        <f t="shared" si="59"/>
        <v/>
      </c>
      <c r="E111" s="49" t="str">
        <f t="shared" si="59"/>
        <v/>
      </c>
      <c r="F111" s="49" t="str">
        <f t="shared" si="59"/>
        <v/>
      </c>
      <c r="G111" s="49" t="str">
        <f t="shared" si="59"/>
        <v/>
      </c>
      <c r="H111" s="49" t="str">
        <f t="shared" si="59"/>
        <v/>
      </c>
      <c r="I111" s="49" t="str">
        <f t="shared" si="59"/>
        <v/>
      </c>
      <c r="J111" s="49" t="str">
        <f t="shared" si="59"/>
        <v/>
      </c>
      <c r="K111" s="49" t="str">
        <f t="shared" si="59"/>
        <v/>
      </c>
      <c r="L111" s="49" t="str">
        <f t="shared" si="59"/>
        <v/>
      </c>
      <c r="M111" s="49" t="str">
        <f t="shared" si="59"/>
        <v/>
      </c>
      <c r="N111" s="49" t="str">
        <f t="shared" si="59"/>
        <v/>
      </c>
      <c r="O111" s="49" t="str">
        <f t="shared" si="59"/>
        <v/>
      </c>
      <c r="P111" s="49" t="str">
        <f t="shared" si="59"/>
        <v/>
      </c>
      <c r="Q111" s="49" t="str">
        <f t="shared" si="59"/>
        <v/>
      </c>
      <c r="R111" s="49" t="str">
        <f t="shared" si="59"/>
        <v/>
      </c>
      <c r="S111" s="49" t="str">
        <f t="shared" si="59"/>
        <v/>
      </c>
      <c r="T111" s="49" t="str">
        <f t="shared" si="59"/>
        <v/>
      </c>
      <c r="U111" s="49" t="str">
        <f t="shared" si="59"/>
        <v/>
      </c>
      <c r="V111" s="49" t="str">
        <f t="shared" si="59"/>
        <v/>
      </c>
      <c r="W111" s="49" t="str">
        <f t="shared" si="59"/>
        <v/>
      </c>
      <c r="X111" s="49" t="str">
        <f t="shared" si="59"/>
        <v/>
      </c>
      <c r="Y111" s="49" t="str">
        <f t="shared" si="59"/>
        <v/>
      </c>
      <c r="Z111" s="49" t="str">
        <f t="shared" si="59"/>
        <v/>
      </c>
      <c r="AA111" s="49" t="str">
        <f t="shared" si="59"/>
        <v/>
      </c>
      <c r="AB111" s="49" t="str">
        <f t="shared" si="59"/>
        <v/>
      </c>
      <c r="AC111" s="49" t="str">
        <f t="shared" si="59"/>
        <v/>
      </c>
      <c r="AD111" s="49" t="str">
        <f t="shared" si="59"/>
        <v/>
      </c>
      <c r="AE111" s="49" t="str">
        <f t="shared" si="59"/>
        <v/>
      </c>
      <c r="AF111" s="49" t="str">
        <f t="shared" si="59"/>
        <v/>
      </c>
      <c r="AG111" s="49" t="str">
        <f t="shared" si="59"/>
        <v/>
      </c>
      <c r="AH111" s="44">
        <f>SUM(AH109:AH110)</f>
        <v>0</v>
      </c>
      <c r="AI111" s="45">
        <f>SUM(AI109:AI110)</f>
        <v>0</v>
      </c>
      <c r="AJ111" s="45">
        <f>SUM(AJ109:AJ110)</f>
        <v>0</v>
      </c>
      <c r="AK111" s="45">
        <f t="shared" ref="AK111:AL111" si="60">SUM(AK109:AK110)</f>
        <v>0</v>
      </c>
      <c r="AL111" s="45">
        <f t="shared" si="60"/>
        <v>0</v>
      </c>
      <c r="AM111" s="50">
        <v>0</v>
      </c>
      <c r="AN111" s="51">
        <f>IF(A110="","",IF(A110&gt;NomMois,0,IF(A110&lt;$A$3,2.08,(NETWORKDAYS(A110,$A$2)/21.66667)*2.08)))</f>
        <v>0</v>
      </c>
      <c r="AO111" s="51">
        <f>IF( AN111="",0,+AN111+Juillet!AO111)</f>
        <v>0</v>
      </c>
      <c r="AP111" s="50"/>
      <c r="AQ111" s="45">
        <f>+AM111-AI111</f>
        <v>0</v>
      </c>
      <c r="AR111" s="45">
        <f>+AP111-AJ111</f>
        <v>0</v>
      </c>
      <c r="AS111" s="102">
        <f t="shared" si="50"/>
        <v>0</v>
      </c>
    </row>
    <row r="112" spans="1:45" s="79" customFormat="1" ht="6.75" customHeight="1" x14ac:dyDescent="0.25">
      <c r="A112" s="64"/>
      <c r="B112" s="42"/>
      <c r="C112" s="64"/>
      <c r="D112" s="64"/>
      <c r="E112" s="64"/>
      <c r="F112" s="64"/>
      <c r="G112" s="64"/>
      <c r="H112" s="64"/>
      <c r="I112" s="64"/>
      <c r="J112" s="64"/>
      <c r="K112" s="64"/>
      <c r="L112" s="64"/>
      <c r="M112" s="64"/>
      <c r="N112" s="64"/>
      <c r="O112" s="64"/>
      <c r="P112" s="64"/>
      <c r="Q112" s="64"/>
      <c r="R112" s="64"/>
      <c r="S112" s="64"/>
      <c r="T112" s="64"/>
      <c r="U112" s="64"/>
      <c r="V112" s="64"/>
      <c r="W112" s="64"/>
      <c r="X112" s="64"/>
      <c r="Y112" s="64"/>
      <c r="Z112" s="64"/>
      <c r="AA112" s="64"/>
      <c r="AB112" s="64"/>
      <c r="AC112" s="64"/>
      <c r="AD112" s="64"/>
      <c r="AE112" s="64"/>
      <c r="AF112" s="64"/>
      <c r="AG112" s="64"/>
      <c r="AH112" s="65"/>
      <c r="AI112" s="65"/>
      <c r="AJ112" s="65"/>
      <c r="AK112" s="65"/>
      <c r="AL112" s="65"/>
      <c r="AM112" s="64"/>
      <c r="AN112" s="65"/>
      <c r="AO112" s="65"/>
      <c r="AP112" s="64"/>
      <c r="AQ112" s="69"/>
      <c r="AR112" s="69"/>
      <c r="AS112" s="65"/>
    </row>
    <row r="113" spans="1:45" s="79" customFormat="1" ht="12.95" customHeight="1" x14ac:dyDescent="0.25">
      <c r="A113" s="41"/>
      <c r="B113" s="42" t="s">
        <v>15</v>
      </c>
      <c r="C113" s="67"/>
      <c r="D113" s="43"/>
      <c r="E113" s="43"/>
      <c r="F113" s="43"/>
      <c r="G113" s="43"/>
      <c r="H113" s="43"/>
      <c r="I113" s="43"/>
      <c r="J113" s="43"/>
      <c r="K113" s="43"/>
      <c r="L113" s="43"/>
      <c r="M113" s="43"/>
      <c r="N113" s="43"/>
      <c r="O113" s="43"/>
      <c r="P113" s="43"/>
      <c r="Q113" s="43"/>
      <c r="R113" s="43"/>
      <c r="S113" s="43"/>
      <c r="T113" s="43"/>
      <c r="U113" s="43"/>
      <c r="V113" s="43"/>
      <c r="W113" s="43"/>
      <c r="X113" s="43"/>
      <c r="Y113" s="43"/>
      <c r="Z113" s="43"/>
      <c r="AA113" s="43"/>
      <c r="AB113" s="43"/>
      <c r="AC113" s="43"/>
      <c r="AD113" s="43"/>
      <c r="AE113" s="43"/>
      <c r="AF113" s="43"/>
      <c r="AG113" s="43"/>
      <c r="AH113" s="44">
        <f>COUNTA(Août!$C113:$AG113)</f>
        <v>0</v>
      </c>
      <c r="AI113" s="45">
        <f>(COUNTIFS(Août!$C113:$AG113,("cp")))/2+Juillet!AI113</f>
        <v>0</v>
      </c>
      <c r="AJ113" s="45">
        <f>COUNTIFS(Août!$C113:$AG113,"RTT")/2+Juillet!AJ113</f>
        <v>0</v>
      </c>
      <c r="AK113" s="45">
        <f>COUNTIFS(Août!$C113:$AG113,"m")/2+Juillet!AK113</f>
        <v>0</v>
      </c>
      <c r="AL113" s="45">
        <f>COUNTIFS(Août!$C113:$AG113,"a")/2+Juillet!AL113</f>
        <v>0</v>
      </c>
      <c r="AM113" s="46"/>
      <c r="AN113" s="47"/>
      <c r="AO113" s="47"/>
      <c r="AP113" s="46"/>
      <c r="AQ113" s="47"/>
      <c r="AR113" s="47"/>
      <c r="AS113" s="47"/>
    </row>
    <row r="114" spans="1:45" s="79" customFormat="1" ht="12.95" customHeight="1" x14ac:dyDescent="0.25">
      <c r="A114" s="48">
        <v>43052</v>
      </c>
      <c r="B114" s="42" t="s">
        <v>16</v>
      </c>
      <c r="C114" s="67"/>
      <c r="D114" s="43"/>
      <c r="E114" s="43"/>
      <c r="F114" s="43"/>
      <c r="G114" s="43"/>
      <c r="H114" s="43"/>
      <c r="I114" s="43"/>
      <c r="J114" s="43"/>
      <c r="K114" s="43"/>
      <c r="L114" s="43"/>
      <c r="M114" s="43"/>
      <c r="N114" s="43"/>
      <c r="O114" s="43"/>
      <c r="P114" s="43"/>
      <c r="Q114" s="43"/>
      <c r="R114" s="43"/>
      <c r="S114" s="43"/>
      <c r="T114" s="43"/>
      <c r="U114" s="43"/>
      <c r="V114" s="43"/>
      <c r="W114" s="43"/>
      <c r="X114" s="43"/>
      <c r="Y114" s="43"/>
      <c r="Z114" s="43"/>
      <c r="AA114" s="43"/>
      <c r="AB114" s="43"/>
      <c r="AC114" s="43"/>
      <c r="AD114" s="43"/>
      <c r="AE114" s="43"/>
      <c r="AF114" s="43"/>
      <c r="AG114" s="43"/>
      <c r="AH114" s="44">
        <f>COUNTA(Août!$C114:$AG114)</f>
        <v>0</v>
      </c>
      <c r="AI114" s="45">
        <f>(COUNTIFS(Août!$C114:$AG114,("cp")))/2+Juillet!AI114</f>
        <v>0</v>
      </c>
      <c r="AJ114" s="45">
        <f>COUNTIFS(Août!$C114:$AG114,"RTT")/2+Juillet!AJ114</f>
        <v>0</v>
      </c>
      <c r="AK114" s="45">
        <f>COUNTIFS(Août!$C114:$AG114,"m")/2+Juillet!AK114</f>
        <v>0</v>
      </c>
      <c r="AL114" s="45">
        <f>COUNTIFS(Août!$C114:$AG114,"a")/2+Juillet!AL114</f>
        <v>0</v>
      </c>
      <c r="AM114" s="46"/>
      <c r="AN114" s="47"/>
      <c r="AO114" s="47"/>
      <c r="AP114" s="46"/>
      <c r="AQ114" s="47"/>
      <c r="AR114" s="47"/>
      <c r="AS114" s="101"/>
    </row>
    <row r="115" spans="1:45" s="79" customFormat="1" ht="12.95" customHeight="1" x14ac:dyDescent="0.25">
      <c r="A115" s="41"/>
      <c r="B115" s="42"/>
      <c r="C115" s="49" t="str">
        <f t="shared" ref="C115:AG115" si="61">IF(C113&gt;0,C113,IF(C114&gt;0,C114,""))</f>
        <v/>
      </c>
      <c r="D115" s="49" t="str">
        <f t="shared" si="61"/>
        <v/>
      </c>
      <c r="E115" s="49" t="str">
        <f t="shared" si="61"/>
        <v/>
      </c>
      <c r="F115" s="49" t="str">
        <f t="shared" si="61"/>
        <v/>
      </c>
      <c r="G115" s="49" t="str">
        <f t="shared" si="61"/>
        <v/>
      </c>
      <c r="H115" s="49" t="str">
        <f t="shared" si="61"/>
        <v/>
      </c>
      <c r="I115" s="49" t="str">
        <f t="shared" si="61"/>
        <v/>
      </c>
      <c r="J115" s="49" t="str">
        <f t="shared" si="61"/>
        <v/>
      </c>
      <c r="K115" s="49" t="str">
        <f t="shared" si="61"/>
        <v/>
      </c>
      <c r="L115" s="49" t="str">
        <f t="shared" si="61"/>
        <v/>
      </c>
      <c r="M115" s="49" t="str">
        <f t="shared" si="61"/>
        <v/>
      </c>
      <c r="N115" s="49" t="str">
        <f t="shared" si="61"/>
        <v/>
      </c>
      <c r="O115" s="49" t="str">
        <f t="shared" si="61"/>
        <v/>
      </c>
      <c r="P115" s="49" t="str">
        <f t="shared" si="61"/>
        <v/>
      </c>
      <c r="Q115" s="49" t="str">
        <f t="shared" si="61"/>
        <v/>
      </c>
      <c r="R115" s="49" t="str">
        <f t="shared" si="61"/>
        <v/>
      </c>
      <c r="S115" s="49" t="str">
        <f t="shared" si="61"/>
        <v/>
      </c>
      <c r="T115" s="49" t="str">
        <f t="shared" si="61"/>
        <v/>
      </c>
      <c r="U115" s="49" t="str">
        <f t="shared" si="61"/>
        <v/>
      </c>
      <c r="V115" s="49" t="str">
        <f t="shared" si="61"/>
        <v/>
      </c>
      <c r="W115" s="49" t="str">
        <f t="shared" si="61"/>
        <v/>
      </c>
      <c r="X115" s="49"/>
      <c r="Y115" s="49"/>
      <c r="Z115" s="49" t="str">
        <f t="shared" si="61"/>
        <v/>
      </c>
      <c r="AA115" s="49" t="str">
        <f t="shared" si="61"/>
        <v/>
      </c>
      <c r="AB115" s="49" t="str">
        <f t="shared" si="61"/>
        <v/>
      </c>
      <c r="AC115" s="49" t="str">
        <f t="shared" si="61"/>
        <v/>
      </c>
      <c r="AD115" s="49" t="str">
        <f t="shared" si="61"/>
        <v/>
      </c>
      <c r="AE115" s="49" t="str">
        <f t="shared" si="61"/>
        <v/>
      </c>
      <c r="AF115" s="49"/>
      <c r="AG115" s="49" t="str">
        <f t="shared" si="61"/>
        <v/>
      </c>
      <c r="AH115" s="44">
        <f>SUM(AH113:AH114)</f>
        <v>0</v>
      </c>
      <c r="AI115" s="45">
        <f>SUM(AI113:AI114)</f>
        <v>0</v>
      </c>
      <c r="AJ115" s="45">
        <f>SUM(AJ113:AJ114)</f>
        <v>0</v>
      </c>
      <c r="AK115" s="45">
        <f t="shared" ref="AK115:AL115" si="62">SUM(AK113:AK114)</f>
        <v>0</v>
      </c>
      <c r="AL115" s="45">
        <f t="shared" si="62"/>
        <v>0</v>
      </c>
      <c r="AM115" s="50">
        <v>0</v>
      </c>
      <c r="AN115" s="51">
        <f>IF(A114="","",IF(A114&gt;NomMois,0,IF(A114&lt;$A$3,2.08,(NETWORKDAYS(A114,$A$2)/21.66667)*2.08)))</f>
        <v>0</v>
      </c>
      <c r="AO115" s="51">
        <f>IF( AN115="",0,+AN115+Juillet!AO115)</f>
        <v>0</v>
      </c>
      <c r="AP115" s="50"/>
      <c r="AQ115" s="45">
        <f>+AM115-AI115</f>
        <v>0</v>
      </c>
      <c r="AR115" s="45">
        <f>+AP115-AJ115</f>
        <v>0</v>
      </c>
      <c r="AS115" s="102">
        <f t="shared" si="50"/>
        <v>0</v>
      </c>
    </row>
    <row r="116" spans="1:45" s="79" customFormat="1" ht="6.75" customHeight="1" x14ac:dyDescent="0.25">
      <c r="A116" s="64"/>
      <c r="B116" s="42"/>
      <c r="C116" s="64"/>
      <c r="D116" s="64"/>
      <c r="E116" s="64"/>
      <c r="F116" s="64"/>
      <c r="G116" s="64"/>
      <c r="H116" s="64"/>
      <c r="I116" s="64"/>
      <c r="J116" s="64"/>
      <c r="K116" s="64"/>
      <c r="L116" s="64"/>
      <c r="M116" s="64"/>
      <c r="N116" s="64"/>
      <c r="O116" s="64"/>
      <c r="P116" s="64"/>
      <c r="Q116" s="64"/>
      <c r="R116" s="64"/>
      <c r="S116" s="64"/>
      <c r="T116" s="64"/>
      <c r="U116" s="64"/>
      <c r="V116" s="64"/>
      <c r="W116" s="64"/>
      <c r="X116" s="64"/>
      <c r="Y116" s="64"/>
      <c r="Z116" s="64"/>
      <c r="AA116" s="64"/>
      <c r="AB116" s="64"/>
      <c r="AC116" s="64"/>
      <c r="AD116" s="64"/>
      <c r="AE116" s="64"/>
      <c r="AF116" s="64"/>
      <c r="AG116" s="64"/>
      <c r="AH116" s="65"/>
      <c r="AI116" s="65"/>
      <c r="AJ116" s="65"/>
      <c r="AK116" s="65"/>
      <c r="AL116" s="65"/>
      <c r="AM116" s="64"/>
      <c r="AN116" s="65"/>
      <c r="AO116" s="65"/>
      <c r="AP116" s="64"/>
      <c r="AQ116" s="69"/>
      <c r="AR116" s="69"/>
      <c r="AS116" s="65"/>
    </row>
    <row r="117" spans="1:45" s="79" customFormat="1" ht="12.95" customHeight="1" x14ac:dyDescent="0.25">
      <c r="A117" s="41"/>
      <c r="B117" s="42" t="s">
        <v>15</v>
      </c>
      <c r="C117" s="67"/>
      <c r="D117" s="43"/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  <c r="S117" s="43"/>
      <c r="T117" s="43"/>
      <c r="U117" s="43"/>
      <c r="V117" s="43"/>
      <c r="W117" s="43"/>
      <c r="X117" s="43"/>
      <c r="Y117" s="43"/>
      <c r="Z117" s="43"/>
      <c r="AA117" s="43"/>
      <c r="AB117" s="43"/>
      <c r="AC117" s="43"/>
      <c r="AD117" s="43"/>
      <c r="AE117" s="43"/>
      <c r="AF117" s="43"/>
      <c r="AG117" s="43"/>
      <c r="AH117" s="44">
        <f>COUNTA(Août!$C117:$AG117)</f>
        <v>0</v>
      </c>
      <c r="AI117" s="45">
        <f>(COUNTIFS(Août!$C117:$AG117,("cp")))/2+Juillet!AI117</f>
        <v>0</v>
      </c>
      <c r="AJ117" s="45">
        <f>COUNTIFS(Août!$C117:$AG117,"RTT")/2+Juillet!AJ117</f>
        <v>0</v>
      </c>
      <c r="AK117" s="45">
        <f>COUNTIFS(Août!$C117:$AG117,"m")/2+Juillet!AK117</f>
        <v>0</v>
      </c>
      <c r="AL117" s="45">
        <f>COUNTIFS(Août!$C117:$AG117,"a")/2+Juillet!AL117</f>
        <v>0</v>
      </c>
      <c r="AM117" s="46"/>
      <c r="AN117" s="47"/>
      <c r="AO117" s="47"/>
      <c r="AP117" s="46"/>
      <c r="AQ117" s="47"/>
      <c r="AR117" s="47"/>
      <c r="AS117" s="47"/>
    </row>
    <row r="118" spans="1:45" s="79" customFormat="1" ht="12.95" customHeight="1" x14ac:dyDescent="0.25">
      <c r="A118" s="48"/>
      <c r="B118" s="42" t="s">
        <v>16</v>
      </c>
      <c r="C118" s="67"/>
      <c r="D118" s="43"/>
      <c r="E118" s="43"/>
      <c r="F118" s="43"/>
      <c r="G118" s="43"/>
      <c r="H118" s="43"/>
      <c r="I118" s="43"/>
      <c r="J118" s="43"/>
      <c r="K118" s="43"/>
      <c r="L118" s="43"/>
      <c r="M118" s="43"/>
      <c r="N118" s="43"/>
      <c r="O118" s="43"/>
      <c r="P118" s="43"/>
      <c r="Q118" s="43"/>
      <c r="R118" s="43"/>
      <c r="S118" s="43"/>
      <c r="T118" s="43"/>
      <c r="U118" s="43"/>
      <c r="V118" s="43"/>
      <c r="W118" s="43"/>
      <c r="X118" s="43"/>
      <c r="Y118" s="43"/>
      <c r="Z118" s="43"/>
      <c r="AA118" s="43"/>
      <c r="AB118" s="43"/>
      <c r="AC118" s="43"/>
      <c r="AD118" s="43"/>
      <c r="AE118" s="43"/>
      <c r="AF118" s="43"/>
      <c r="AG118" s="43"/>
      <c r="AH118" s="44">
        <f>COUNTA(Août!$C118:$AG118)</f>
        <v>0</v>
      </c>
      <c r="AI118" s="45">
        <f>(COUNTIFS(Août!$C118:$AG118,("cp")))/2+Juillet!AI118</f>
        <v>0</v>
      </c>
      <c r="AJ118" s="45">
        <f>COUNTIFS(Août!$C118:$AG118,"RTT")/2+Juillet!AJ118</f>
        <v>0</v>
      </c>
      <c r="AK118" s="45">
        <f>COUNTIFS(Août!$C118:$AG118,"m")/2+Juillet!AK118</f>
        <v>0</v>
      </c>
      <c r="AL118" s="45">
        <f>COUNTIFS(Août!$C118:$AG118,"a")/2+Juillet!AL118</f>
        <v>0</v>
      </c>
      <c r="AM118" s="46"/>
      <c r="AN118" s="47"/>
      <c r="AO118" s="47"/>
      <c r="AP118" s="46"/>
      <c r="AQ118" s="47"/>
      <c r="AR118" s="47"/>
      <c r="AS118" s="101"/>
    </row>
    <row r="119" spans="1:45" s="79" customFormat="1" ht="12.95" customHeight="1" x14ac:dyDescent="0.25">
      <c r="A119" s="41"/>
      <c r="B119" s="42"/>
      <c r="C119" s="49" t="str">
        <f t="shared" ref="C119:W119" si="63">IF(C117&gt;0,C117,IF(C118&gt;0,C118,""))</f>
        <v/>
      </c>
      <c r="D119" s="49" t="str">
        <f t="shared" si="63"/>
        <v/>
      </c>
      <c r="E119" s="49" t="str">
        <f t="shared" si="63"/>
        <v/>
      </c>
      <c r="F119" s="49" t="str">
        <f t="shared" si="63"/>
        <v/>
      </c>
      <c r="G119" s="49" t="str">
        <f t="shared" si="63"/>
        <v/>
      </c>
      <c r="H119" s="49" t="str">
        <f t="shared" si="63"/>
        <v/>
      </c>
      <c r="I119" s="49" t="str">
        <f t="shared" si="63"/>
        <v/>
      </c>
      <c r="J119" s="49" t="str">
        <f t="shared" si="63"/>
        <v/>
      </c>
      <c r="K119" s="49" t="str">
        <f t="shared" si="63"/>
        <v/>
      </c>
      <c r="L119" s="49" t="str">
        <f t="shared" si="63"/>
        <v/>
      </c>
      <c r="M119" s="49" t="str">
        <f t="shared" si="63"/>
        <v/>
      </c>
      <c r="N119" s="49" t="str">
        <f t="shared" si="63"/>
        <v/>
      </c>
      <c r="O119" s="49" t="str">
        <f t="shared" si="63"/>
        <v/>
      </c>
      <c r="P119" s="49" t="str">
        <f t="shared" si="63"/>
        <v/>
      </c>
      <c r="Q119" s="49" t="str">
        <f t="shared" si="63"/>
        <v/>
      </c>
      <c r="R119" s="49" t="str">
        <f t="shared" si="63"/>
        <v/>
      </c>
      <c r="S119" s="49" t="str">
        <f t="shared" si="63"/>
        <v/>
      </c>
      <c r="T119" s="49" t="str">
        <f t="shared" si="63"/>
        <v/>
      </c>
      <c r="U119" s="49" t="str">
        <f t="shared" si="63"/>
        <v/>
      </c>
      <c r="V119" s="49" t="str">
        <f t="shared" si="63"/>
        <v/>
      </c>
      <c r="W119" s="49" t="str">
        <f t="shared" si="63"/>
        <v/>
      </c>
      <c r="X119" s="49"/>
      <c r="Y119" s="49"/>
      <c r="Z119" s="49" t="str">
        <f t="shared" ref="Z119:AE119" si="64">IF(Z117&gt;0,Z117,IF(Z118&gt;0,Z118,""))</f>
        <v/>
      </c>
      <c r="AA119" s="49" t="str">
        <f t="shared" si="64"/>
        <v/>
      </c>
      <c r="AB119" s="49" t="str">
        <f t="shared" si="64"/>
        <v/>
      </c>
      <c r="AC119" s="49" t="str">
        <f t="shared" si="64"/>
        <v/>
      </c>
      <c r="AD119" s="49" t="str">
        <f t="shared" si="64"/>
        <v/>
      </c>
      <c r="AE119" s="49" t="str">
        <f t="shared" si="64"/>
        <v/>
      </c>
      <c r="AF119" s="49"/>
      <c r="AG119" s="49" t="str">
        <f t="shared" ref="AG119" si="65">IF(AG117&gt;0,AG117,IF(AG118&gt;0,AG118,""))</f>
        <v/>
      </c>
      <c r="AH119" s="44">
        <f>SUM(AH117:AH118)</f>
        <v>0</v>
      </c>
      <c r="AI119" s="45">
        <f>SUM(AI117:AI118)</f>
        <v>0</v>
      </c>
      <c r="AJ119" s="45">
        <f>SUM(AJ117:AJ118)</f>
        <v>0</v>
      </c>
      <c r="AK119" s="45">
        <f t="shared" ref="AK119:AL119" si="66">SUM(AK117:AK118)</f>
        <v>0</v>
      </c>
      <c r="AL119" s="45">
        <f t="shared" si="66"/>
        <v>0</v>
      </c>
      <c r="AM119" s="50">
        <v>0</v>
      </c>
      <c r="AN119" s="51" t="str">
        <f>IF(A118="","",IF(A118&gt;NomMois,0,IF(A118&lt;$A$3,2.08,(NETWORKDAYS(A118,$A$2)/21.66667)*2.08)))</f>
        <v/>
      </c>
      <c r="AO119" s="51">
        <f>IF( AN119="",0,+AN119+Juillet!AO119)</f>
        <v>0</v>
      </c>
      <c r="AP119" s="50"/>
      <c r="AQ119" s="45">
        <f>+AM119-AI119</f>
        <v>0</v>
      </c>
      <c r="AR119" s="45">
        <f>+AP119-AJ119</f>
        <v>0</v>
      </c>
      <c r="AS119" s="102">
        <f t="shared" si="50"/>
        <v>0</v>
      </c>
    </row>
    <row r="120" spans="1:45" s="79" customFormat="1" ht="6.75" customHeight="1" x14ac:dyDescent="0.25">
      <c r="A120" s="64"/>
      <c r="B120" s="42"/>
      <c r="C120" s="64"/>
      <c r="D120" s="64"/>
      <c r="E120" s="64"/>
      <c r="F120" s="64"/>
      <c r="G120" s="64"/>
      <c r="H120" s="64"/>
      <c r="I120" s="64"/>
      <c r="J120" s="64"/>
      <c r="K120" s="64"/>
      <c r="L120" s="64"/>
      <c r="M120" s="64"/>
      <c r="N120" s="64"/>
      <c r="O120" s="64"/>
      <c r="P120" s="64"/>
      <c r="Q120" s="64"/>
      <c r="R120" s="64"/>
      <c r="S120" s="64"/>
      <c r="T120" s="64"/>
      <c r="U120" s="64"/>
      <c r="V120" s="64"/>
      <c r="W120" s="64"/>
      <c r="X120" s="64"/>
      <c r="Y120" s="64"/>
      <c r="Z120" s="64"/>
      <c r="AA120" s="64"/>
      <c r="AB120" s="64"/>
      <c r="AC120" s="64"/>
      <c r="AD120" s="64"/>
      <c r="AE120" s="64"/>
      <c r="AF120" s="64"/>
      <c r="AG120" s="64"/>
      <c r="AH120" s="65"/>
      <c r="AI120" s="65"/>
      <c r="AJ120" s="65"/>
      <c r="AK120" s="65"/>
      <c r="AL120" s="65"/>
      <c r="AM120" s="64"/>
      <c r="AN120" s="65"/>
      <c r="AO120" s="65"/>
      <c r="AP120" s="64"/>
      <c r="AQ120" s="69"/>
      <c r="AR120" s="69"/>
      <c r="AS120" s="65"/>
    </row>
    <row r="121" spans="1:45" s="79" customFormat="1" ht="12.95" customHeight="1" x14ac:dyDescent="0.25">
      <c r="A121" s="41"/>
      <c r="B121" s="42" t="s">
        <v>15</v>
      </c>
      <c r="C121" s="67"/>
      <c r="D121" s="43"/>
      <c r="E121" s="43"/>
      <c r="F121" s="43"/>
      <c r="G121" s="43"/>
      <c r="H121" s="43"/>
      <c r="I121" s="43"/>
      <c r="J121" s="43"/>
      <c r="K121" s="43"/>
      <c r="L121" s="43"/>
      <c r="M121" s="43"/>
      <c r="N121" s="43"/>
      <c r="O121" s="43"/>
      <c r="P121" s="43"/>
      <c r="Q121" s="43"/>
      <c r="R121" s="43"/>
      <c r="S121" s="43"/>
      <c r="T121" s="43"/>
      <c r="U121" s="43"/>
      <c r="V121" s="43"/>
      <c r="W121" s="43"/>
      <c r="X121" s="43"/>
      <c r="Y121" s="43"/>
      <c r="Z121" s="43"/>
      <c r="AA121" s="43"/>
      <c r="AB121" s="43"/>
      <c r="AC121" s="43"/>
      <c r="AD121" s="43"/>
      <c r="AE121" s="43"/>
      <c r="AF121" s="43"/>
      <c r="AG121" s="43"/>
      <c r="AH121" s="44">
        <f>COUNTA(Août!$C121:$AG121)</f>
        <v>0</v>
      </c>
      <c r="AI121" s="45">
        <f>(COUNTIFS(Août!$C121:$AG121,("cp")))/2+Juillet!AI121</f>
        <v>0</v>
      </c>
      <c r="AJ121" s="45">
        <f>COUNTIFS(Août!$C121:$AG121,"RTT")/2+Juillet!AJ121</f>
        <v>0</v>
      </c>
      <c r="AK121" s="45">
        <f>COUNTIFS(Août!$C121:$AG121,"m")/2+Juillet!AK121</f>
        <v>0</v>
      </c>
      <c r="AL121" s="45">
        <f>COUNTIFS(Août!$C121:$AG121,"a")/2+Juillet!AL121</f>
        <v>0</v>
      </c>
      <c r="AM121" s="46"/>
      <c r="AN121" s="47"/>
      <c r="AO121" s="47"/>
      <c r="AP121" s="46"/>
      <c r="AQ121" s="47"/>
      <c r="AR121" s="47"/>
      <c r="AS121" s="47"/>
    </row>
    <row r="122" spans="1:45" s="79" customFormat="1" ht="12.95" customHeight="1" x14ac:dyDescent="0.25">
      <c r="A122" s="48"/>
      <c r="B122" s="42" t="s">
        <v>16</v>
      </c>
      <c r="C122" s="67"/>
      <c r="D122" s="43"/>
      <c r="E122" s="43"/>
      <c r="F122" s="43"/>
      <c r="G122" s="43"/>
      <c r="H122" s="43"/>
      <c r="I122" s="43"/>
      <c r="J122" s="43"/>
      <c r="K122" s="43"/>
      <c r="L122" s="43"/>
      <c r="M122" s="43"/>
      <c r="N122" s="43"/>
      <c r="O122" s="43"/>
      <c r="P122" s="43"/>
      <c r="Q122" s="43"/>
      <c r="R122" s="43"/>
      <c r="S122" s="43"/>
      <c r="T122" s="43"/>
      <c r="U122" s="43"/>
      <c r="V122" s="43"/>
      <c r="W122" s="43"/>
      <c r="X122" s="43"/>
      <c r="Y122" s="43"/>
      <c r="Z122" s="43"/>
      <c r="AA122" s="43"/>
      <c r="AB122" s="43"/>
      <c r="AC122" s="43"/>
      <c r="AD122" s="43"/>
      <c r="AE122" s="43"/>
      <c r="AF122" s="43"/>
      <c r="AG122" s="43"/>
      <c r="AH122" s="44">
        <f>COUNTA(Août!$C122:$AG122)</f>
        <v>0</v>
      </c>
      <c r="AI122" s="45">
        <f>(COUNTIFS(Août!$C122:$AG122,("cp")))/2+Juillet!AI122</f>
        <v>0</v>
      </c>
      <c r="AJ122" s="45">
        <f>COUNTIFS(Août!$C122:$AG122,"RTT")/2+Juillet!AJ122</f>
        <v>0</v>
      </c>
      <c r="AK122" s="45">
        <f>COUNTIFS(Août!$C122:$AG122,"m")/2+Juillet!AK122</f>
        <v>0</v>
      </c>
      <c r="AL122" s="45">
        <f>COUNTIFS(Août!$C122:$AG122,"a")/2+Juillet!AL122</f>
        <v>0</v>
      </c>
      <c r="AM122" s="46"/>
      <c r="AN122" s="47"/>
      <c r="AO122" s="47"/>
      <c r="AP122" s="46"/>
      <c r="AQ122" s="47"/>
      <c r="AR122" s="47"/>
      <c r="AS122" s="101"/>
    </row>
    <row r="123" spans="1:45" s="79" customFormat="1" ht="12.95" customHeight="1" x14ac:dyDescent="0.25">
      <c r="A123" s="41"/>
      <c r="B123" s="42"/>
      <c r="C123" s="49" t="str">
        <f t="shared" ref="C123:AG123" si="67">IF(C121&gt;0,C121,IF(C122&gt;0,C122,""))</f>
        <v/>
      </c>
      <c r="D123" s="49" t="str">
        <f t="shared" si="67"/>
        <v/>
      </c>
      <c r="E123" s="49" t="str">
        <f t="shared" si="67"/>
        <v/>
      </c>
      <c r="F123" s="49" t="str">
        <f t="shared" si="67"/>
        <v/>
      </c>
      <c r="G123" s="49" t="str">
        <f t="shared" si="67"/>
        <v/>
      </c>
      <c r="H123" s="49" t="str">
        <f t="shared" si="67"/>
        <v/>
      </c>
      <c r="I123" s="49" t="str">
        <f t="shared" si="67"/>
        <v/>
      </c>
      <c r="J123" s="49" t="str">
        <f t="shared" si="67"/>
        <v/>
      </c>
      <c r="K123" s="49" t="str">
        <f t="shared" si="67"/>
        <v/>
      </c>
      <c r="L123" s="49" t="str">
        <f t="shared" si="67"/>
        <v/>
      </c>
      <c r="M123" s="49" t="str">
        <f t="shared" si="67"/>
        <v/>
      </c>
      <c r="N123" s="49" t="str">
        <f t="shared" si="67"/>
        <v/>
      </c>
      <c r="O123" s="49" t="str">
        <f t="shared" si="67"/>
        <v/>
      </c>
      <c r="P123" s="49" t="str">
        <f t="shared" si="67"/>
        <v/>
      </c>
      <c r="Q123" s="49" t="str">
        <f t="shared" si="67"/>
        <v/>
      </c>
      <c r="R123" s="49" t="str">
        <f t="shared" si="67"/>
        <v/>
      </c>
      <c r="S123" s="49" t="str">
        <f t="shared" si="67"/>
        <v/>
      </c>
      <c r="T123" s="49" t="str">
        <f t="shared" si="67"/>
        <v/>
      </c>
      <c r="U123" s="49" t="str">
        <f t="shared" si="67"/>
        <v/>
      </c>
      <c r="V123" s="49" t="str">
        <f t="shared" si="67"/>
        <v/>
      </c>
      <c r="W123" s="49" t="str">
        <f t="shared" si="67"/>
        <v/>
      </c>
      <c r="X123" s="49" t="str">
        <f t="shared" si="67"/>
        <v/>
      </c>
      <c r="Y123" s="49" t="str">
        <f t="shared" si="67"/>
        <v/>
      </c>
      <c r="Z123" s="49" t="str">
        <f t="shared" si="67"/>
        <v/>
      </c>
      <c r="AA123" s="49" t="str">
        <f t="shared" si="67"/>
        <v/>
      </c>
      <c r="AB123" s="49" t="str">
        <f t="shared" si="67"/>
        <v/>
      </c>
      <c r="AC123" s="49" t="str">
        <f t="shared" si="67"/>
        <v/>
      </c>
      <c r="AD123" s="49" t="str">
        <f t="shared" si="67"/>
        <v/>
      </c>
      <c r="AE123" s="49" t="str">
        <f t="shared" si="67"/>
        <v/>
      </c>
      <c r="AF123" s="49" t="str">
        <f t="shared" si="67"/>
        <v/>
      </c>
      <c r="AG123" s="49" t="str">
        <f t="shared" si="67"/>
        <v/>
      </c>
      <c r="AH123" s="44">
        <f>SUM(AH121:AH122)</f>
        <v>0</v>
      </c>
      <c r="AI123" s="45">
        <f>SUM(AI121:AI122)</f>
        <v>0</v>
      </c>
      <c r="AJ123" s="45">
        <f>SUM(AJ121:AJ122)</f>
        <v>0</v>
      </c>
      <c r="AK123" s="45">
        <f t="shared" ref="AK123:AL123" si="68">SUM(AK121:AK122)</f>
        <v>0</v>
      </c>
      <c r="AL123" s="45">
        <f t="shared" si="68"/>
        <v>0</v>
      </c>
      <c r="AM123" s="50">
        <v>0</v>
      </c>
      <c r="AN123" s="51" t="str">
        <f>IF(A122="","",IF(A122&gt;NomMois,0,IF(A122&lt;$A$3,2.08,(NETWORKDAYS(A122,$A$2)/21.66667)*2.08)))</f>
        <v/>
      </c>
      <c r="AO123" s="51">
        <f>IF( AN123="",0,+AN123+Juillet!AO123)</f>
        <v>0</v>
      </c>
      <c r="AP123" s="50"/>
      <c r="AQ123" s="45">
        <f>+AM123-AI123</f>
        <v>0</v>
      </c>
      <c r="AR123" s="45">
        <f>+AP123-AJ123</f>
        <v>0</v>
      </c>
      <c r="AS123" s="102">
        <f t="shared" si="50"/>
        <v>0</v>
      </c>
    </row>
    <row r="124" spans="1:45" s="79" customFormat="1" ht="6.75" customHeight="1" x14ac:dyDescent="0.25">
      <c r="A124" s="64"/>
      <c r="B124" s="64"/>
      <c r="C124" s="64"/>
      <c r="D124" s="64"/>
      <c r="E124" s="64"/>
      <c r="F124" s="64"/>
      <c r="G124" s="64"/>
      <c r="H124" s="64"/>
      <c r="I124" s="64"/>
      <c r="J124" s="64"/>
      <c r="K124" s="64"/>
      <c r="L124" s="64"/>
      <c r="M124" s="64"/>
      <c r="N124" s="64"/>
      <c r="O124" s="64"/>
      <c r="P124" s="64"/>
      <c r="Q124" s="64"/>
      <c r="R124" s="64"/>
      <c r="S124" s="64"/>
      <c r="T124" s="64"/>
      <c r="U124" s="64"/>
      <c r="V124" s="64"/>
      <c r="W124" s="64"/>
      <c r="X124" s="64"/>
      <c r="Y124" s="64"/>
      <c r="Z124" s="64"/>
      <c r="AA124" s="64"/>
      <c r="AB124" s="64"/>
      <c r="AC124" s="64"/>
      <c r="AD124" s="64"/>
      <c r="AE124" s="64"/>
      <c r="AF124" s="64"/>
      <c r="AG124" s="64"/>
      <c r="AH124" s="64"/>
      <c r="AI124" s="64"/>
      <c r="AJ124" s="64"/>
      <c r="AK124" s="64"/>
      <c r="AL124" s="64"/>
      <c r="AM124" s="64"/>
      <c r="AN124" s="65"/>
      <c r="AO124" s="65"/>
      <c r="AP124" s="64"/>
      <c r="AQ124" s="69"/>
      <c r="AR124" s="69"/>
      <c r="AS124" s="65"/>
    </row>
    <row r="125" spans="1:45" s="79" customFormat="1" x14ac:dyDescent="0.25">
      <c r="A125" s="100"/>
      <c r="B125" s="100"/>
      <c r="C125" s="100"/>
      <c r="D125" s="100"/>
      <c r="E125" s="100"/>
      <c r="F125" s="100"/>
      <c r="G125" s="100"/>
      <c r="H125" s="100"/>
      <c r="I125" s="100"/>
      <c r="J125" s="100"/>
      <c r="K125" s="100"/>
      <c r="L125" s="100"/>
      <c r="M125" s="100"/>
      <c r="N125" s="100"/>
      <c r="O125" s="100"/>
      <c r="P125" s="100"/>
      <c r="Q125" s="100"/>
      <c r="R125" s="100"/>
      <c r="S125" s="100"/>
      <c r="T125" s="100"/>
      <c r="U125" s="100"/>
      <c r="V125" s="100"/>
      <c r="W125" s="100"/>
      <c r="X125" s="100"/>
      <c r="Y125" s="100"/>
      <c r="Z125" s="100"/>
      <c r="AA125" s="100"/>
      <c r="AB125" s="100"/>
      <c r="AC125" s="100"/>
      <c r="AD125" s="100"/>
      <c r="AE125" s="100"/>
      <c r="AF125" s="100"/>
      <c r="AG125" s="100"/>
      <c r="AH125" s="100"/>
      <c r="AM125" s="8"/>
      <c r="AN125" s="8"/>
      <c r="AO125" s="8"/>
    </row>
    <row r="126" spans="1:45" s="79" customFormat="1" x14ac:dyDescent="0.25">
      <c r="A126" s="100"/>
      <c r="B126" s="100"/>
      <c r="C126" s="100"/>
      <c r="D126" s="100"/>
      <c r="E126" s="100"/>
      <c r="F126" s="100"/>
      <c r="G126" s="100"/>
      <c r="H126" s="100"/>
      <c r="I126" s="100"/>
      <c r="J126" s="100"/>
      <c r="K126" s="100"/>
      <c r="L126" s="100"/>
      <c r="M126" s="100"/>
      <c r="N126" s="100"/>
      <c r="O126" s="100"/>
      <c r="P126" s="100"/>
      <c r="Q126" s="100"/>
      <c r="R126" s="100"/>
      <c r="S126" s="100"/>
      <c r="T126" s="100"/>
      <c r="U126" s="100"/>
      <c r="V126" s="100"/>
      <c r="W126" s="100"/>
      <c r="X126" s="100"/>
      <c r="Y126" s="100"/>
      <c r="Z126" s="100"/>
      <c r="AA126" s="100"/>
      <c r="AB126" s="100"/>
      <c r="AC126" s="100"/>
      <c r="AD126" s="100"/>
      <c r="AE126" s="100"/>
      <c r="AF126" s="100"/>
      <c r="AG126" s="100"/>
      <c r="AH126" s="100"/>
      <c r="AM126" s="8"/>
      <c r="AN126" s="8"/>
      <c r="AO126" s="8"/>
    </row>
    <row r="127" spans="1:45" s="79" customFormat="1" x14ac:dyDescent="0.25">
      <c r="A127" s="80" t="s">
        <v>23</v>
      </c>
      <c r="B127" s="80"/>
      <c r="C127" s="82" t="s">
        <v>17</v>
      </c>
      <c r="D127" s="82"/>
      <c r="E127" s="82"/>
      <c r="F127" s="82"/>
      <c r="G127" s="83"/>
      <c r="H127" s="84" t="s">
        <v>7</v>
      </c>
      <c r="I127" s="85" t="s">
        <v>18</v>
      </c>
      <c r="J127" s="86"/>
      <c r="K127" s="86"/>
      <c r="L127" s="87" t="s">
        <v>8</v>
      </c>
      <c r="M127" s="85" t="s">
        <v>8</v>
      </c>
      <c r="N127" s="86"/>
      <c r="O127" s="86"/>
      <c r="P127" s="88" t="s">
        <v>9</v>
      </c>
      <c r="Q127" s="85" t="s">
        <v>19</v>
      </c>
      <c r="R127" s="86"/>
      <c r="S127" s="86"/>
      <c r="T127" s="89" t="s">
        <v>10</v>
      </c>
      <c r="U127" s="90" t="s">
        <v>20</v>
      </c>
      <c r="V127" s="91"/>
      <c r="W127" s="86"/>
      <c r="X127" s="93"/>
      <c r="Y127" s="92"/>
      <c r="Z127" s="90" t="s">
        <v>21</v>
      </c>
      <c r="AA127" s="86"/>
      <c r="AB127" s="91"/>
      <c r="AC127" s="93"/>
      <c r="AD127" s="93"/>
      <c r="AE127" s="93"/>
      <c r="AF127" s="93"/>
      <c r="AG127" s="93"/>
      <c r="AH127" s="94"/>
      <c r="AM127" s="8"/>
      <c r="AN127" s="8"/>
      <c r="AO127" s="8"/>
    </row>
    <row r="128" spans="1:45" s="79" customFormat="1" x14ac:dyDescent="0.25"/>
    <row r="129" s="79" customFormat="1" x14ac:dyDescent="0.25"/>
    <row r="130" s="79" customFormat="1" x14ac:dyDescent="0.25"/>
    <row r="131" s="79" customFormat="1" ht="15" customHeight="1" x14ac:dyDescent="0.25"/>
    <row r="132" s="79" customFormat="1" ht="15" customHeight="1" x14ac:dyDescent="0.25"/>
    <row r="133" s="79" customFormat="1" ht="15" customHeight="1" x14ac:dyDescent="0.25"/>
    <row r="134" s="79" customFormat="1" ht="15" customHeight="1" x14ac:dyDescent="0.25"/>
    <row r="135" s="79" customFormat="1" ht="15" customHeight="1" x14ac:dyDescent="0.25"/>
    <row r="136" s="79" customFormat="1" ht="15" customHeight="1" x14ac:dyDescent="0.25"/>
    <row r="137" s="79" customFormat="1" ht="15" customHeight="1" x14ac:dyDescent="0.25"/>
    <row r="138" s="79" customFormat="1" ht="15" customHeight="1" x14ac:dyDescent="0.25"/>
    <row r="139" s="79" customFormat="1" ht="15" customHeight="1" x14ac:dyDescent="0.25"/>
    <row r="140" s="79" customFormat="1" ht="15" customHeight="1" x14ac:dyDescent="0.25"/>
    <row r="141" s="79" customFormat="1" ht="15" customHeight="1" x14ac:dyDescent="0.25"/>
    <row r="142" s="79" customFormat="1" ht="15" customHeight="1" x14ac:dyDescent="0.25"/>
    <row r="143" s="79" customFormat="1" ht="15" customHeight="1" x14ac:dyDescent="0.25"/>
    <row r="144" s="79" customFormat="1" ht="15" customHeight="1" x14ac:dyDescent="0.25"/>
    <row r="145" s="79" customFormat="1" ht="15" customHeight="1" x14ac:dyDescent="0.25"/>
    <row r="146" s="79" customFormat="1" ht="15" customHeight="1" x14ac:dyDescent="0.25"/>
    <row r="147" s="79" customFormat="1" ht="15" customHeight="1" x14ac:dyDescent="0.25"/>
    <row r="148" s="79" customFormat="1" ht="15" customHeight="1" x14ac:dyDescent="0.25"/>
    <row r="149" s="79" customFormat="1" ht="15" customHeight="1" x14ac:dyDescent="0.25"/>
    <row r="150" s="79" customFormat="1" ht="15" customHeight="1" x14ac:dyDescent="0.25"/>
    <row r="151" s="79" customFormat="1" ht="15" customHeight="1" x14ac:dyDescent="0.25"/>
    <row r="152" s="79" customFormat="1" ht="15" customHeight="1" x14ac:dyDescent="0.25"/>
    <row r="153" s="79" customFormat="1" ht="15" customHeight="1" x14ac:dyDescent="0.25"/>
    <row r="154" s="79" customFormat="1" ht="15" customHeight="1" x14ac:dyDescent="0.25"/>
    <row r="155" s="79" customFormat="1" ht="15" customHeight="1" x14ac:dyDescent="0.25"/>
    <row r="156" s="79" customFormat="1" ht="15" customHeight="1" x14ac:dyDescent="0.25"/>
    <row r="157" s="79" customFormat="1" ht="15" customHeight="1" x14ac:dyDescent="0.25"/>
    <row r="158" s="79" customFormat="1" ht="15" customHeight="1" x14ac:dyDescent="0.25"/>
    <row r="159" s="79" customFormat="1" ht="15" customHeight="1" x14ac:dyDescent="0.25"/>
    <row r="160" s="79" customFormat="1" ht="15" customHeight="1" x14ac:dyDescent="0.25"/>
    <row r="161" s="79" customFormat="1" ht="15" customHeight="1" x14ac:dyDescent="0.25"/>
    <row r="162" s="79" customFormat="1" ht="15" customHeight="1" x14ac:dyDescent="0.25"/>
    <row r="163" s="79" customFormat="1" ht="15" customHeight="1" x14ac:dyDescent="0.25"/>
    <row r="164" s="79" customFormat="1" ht="15" customHeight="1" x14ac:dyDescent="0.25"/>
    <row r="165" s="79" customFormat="1" ht="15" customHeight="1" x14ac:dyDescent="0.25"/>
    <row r="166" s="79" customFormat="1" ht="15" customHeight="1" x14ac:dyDescent="0.25"/>
    <row r="167" s="79" customFormat="1" ht="15" customHeight="1" x14ac:dyDescent="0.25"/>
    <row r="168" s="79" customFormat="1" ht="15" customHeight="1" x14ac:dyDescent="0.25"/>
    <row r="169" s="79" customFormat="1" ht="15" customHeight="1" x14ac:dyDescent="0.25"/>
    <row r="170" s="79" customFormat="1" ht="15" customHeight="1" x14ac:dyDescent="0.25"/>
    <row r="171" s="79" customFormat="1" ht="15" customHeight="1" x14ac:dyDescent="0.25"/>
    <row r="172" s="79" customFormat="1" ht="15" customHeight="1" x14ac:dyDescent="0.25"/>
    <row r="173" s="79" customFormat="1" ht="15" customHeight="1" x14ac:dyDescent="0.25"/>
    <row r="174" s="79" customFormat="1" ht="15" customHeight="1" x14ac:dyDescent="0.25"/>
    <row r="175" s="79" customFormat="1" ht="15" customHeight="1" x14ac:dyDescent="0.25"/>
    <row r="176" s="79" customFormat="1" ht="15" customHeight="1" x14ac:dyDescent="0.25"/>
    <row r="177" s="79" customFormat="1" ht="15" customHeight="1" x14ac:dyDescent="0.25"/>
    <row r="178" s="79" customFormat="1" ht="15" customHeight="1" x14ac:dyDescent="0.25"/>
    <row r="179" s="79" customFormat="1" ht="15" customHeight="1" x14ac:dyDescent="0.25"/>
    <row r="180" s="79" customFormat="1" ht="15" customHeight="1" x14ac:dyDescent="0.25"/>
    <row r="181" s="79" customFormat="1" ht="15" customHeight="1" x14ac:dyDescent="0.25"/>
    <row r="182" s="79" customFormat="1" ht="15" customHeight="1" x14ac:dyDescent="0.25"/>
    <row r="183" s="79" customFormat="1" ht="15" customHeight="1" x14ac:dyDescent="0.25"/>
    <row r="184" s="79" customFormat="1" ht="15" customHeight="1" x14ac:dyDescent="0.25"/>
    <row r="185" s="79" customFormat="1" ht="15" customHeight="1" x14ac:dyDescent="0.25"/>
    <row r="186" s="79" customFormat="1" ht="15" customHeight="1" x14ac:dyDescent="0.25"/>
    <row r="187" s="79" customFormat="1" ht="15" customHeight="1" x14ac:dyDescent="0.25"/>
    <row r="188" s="79" customFormat="1" ht="15" customHeight="1" x14ac:dyDescent="0.25"/>
    <row r="189" s="79" customFormat="1" ht="15" customHeight="1" x14ac:dyDescent="0.25"/>
    <row r="190" s="79" customFormat="1" ht="15" customHeight="1" x14ac:dyDescent="0.25"/>
    <row r="191" s="79" customFormat="1" ht="15" customHeight="1" x14ac:dyDescent="0.25"/>
    <row r="192" s="79" customFormat="1" ht="15" customHeight="1" x14ac:dyDescent="0.25"/>
    <row r="193" s="79" customFormat="1" ht="15" customHeight="1" x14ac:dyDescent="0.25"/>
    <row r="194" s="79" customFormat="1" ht="15" customHeight="1" x14ac:dyDescent="0.25"/>
    <row r="195" s="79" customFormat="1" ht="15" customHeight="1" x14ac:dyDescent="0.25"/>
    <row r="196" s="79" customFormat="1" ht="15" customHeight="1" x14ac:dyDescent="0.25"/>
    <row r="197" s="79" customFormat="1" ht="15" customHeight="1" x14ac:dyDescent="0.25"/>
    <row r="198" s="79" customFormat="1" ht="15" customHeight="1" x14ac:dyDescent="0.25"/>
    <row r="199" s="79" customFormat="1" ht="15" customHeight="1" x14ac:dyDescent="0.25"/>
    <row r="200" s="79" customFormat="1" ht="15" customHeight="1" x14ac:dyDescent="0.25"/>
    <row r="201" s="79" customFormat="1" ht="15" customHeight="1" x14ac:dyDescent="0.25"/>
    <row r="202" s="79" customFormat="1" ht="15" customHeight="1" x14ac:dyDescent="0.25"/>
    <row r="203" s="79" customFormat="1" ht="15" customHeight="1" x14ac:dyDescent="0.25"/>
    <row r="204" s="79" customFormat="1" ht="15" customHeight="1" x14ac:dyDescent="0.25"/>
    <row r="205" s="79" customFormat="1" ht="15" customHeight="1" x14ac:dyDescent="0.25"/>
    <row r="206" s="79" customFormat="1" ht="15" customHeight="1" x14ac:dyDescent="0.25"/>
    <row r="207" s="79" customFormat="1" ht="15" customHeight="1" x14ac:dyDescent="0.25"/>
    <row r="208" s="79" customFormat="1" ht="15" customHeight="1" x14ac:dyDescent="0.25"/>
    <row r="209" s="79" customFormat="1" ht="15" customHeight="1" x14ac:dyDescent="0.25"/>
    <row r="210" s="79" customFormat="1" ht="15" customHeight="1" x14ac:dyDescent="0.25"/>
    <row r="211" s="79" customFormat="1" ht="15" customHeight="1" x14ac:dyDescent="0.25"/>
    <row r="212" s="79" customFormat="1" ht="15" customHeight="1" x14ac:dyDescent="0.25"/>
    <row r="213" s="79" customFormat="1" ht="15" customHeight="1" x14ac:dyDescent="0.25"/>
    <row r="214" s="79" customFormat="1" ht="15" customHeight="1" x14ac:dyDescent="0.25"/>
    <row r="215" s="79" customFormat="1" ht="15" customHeight="1" x14ac:dyDescent="0.25"/>
    <row r="216" s="79" customFormat="1" ht="15" customHeight="1" x14ac:dyDescent="0.25"/>
    <row r="217" s="79" customFormat="1" ht="15" customHeight="1" x14ac:dyDescent="0.25"/>
    <row r="218" s="79" customFormat="1" ht="15" customHeight="1" x14ac:dyDescent="0.25"/>
    <row r="219" s="79" customFormat="1" ht="15" customHeight="1" x14ac:dyDescent="0.25"/>
    <row r="220" s="79" customFormat="1" ht="15" customHeight="1" x14ac:dyDescent="0.25"/>
    <row r="221" s="79" customFormat="1" ht="15" customHeight="1" x14ac:dyDescent="0.25"/>
    <row r="222" s="79" customFormat="1" ht="15" customHeight="1" x14ac:dyDescent="0.25"/>
    <row r="223" s="79" customFormat="1" ht="15" customHeight="1" x14ac:dyDescent="0.25"/>
    <row r="224" s="79" customFormat="1" ht="15" customHeight="1" x14ac:dyDescent="0.25"/>
    <row r="225" s="79" customFormat="1" ht="15" customHeight="1" x14ac:dyDescent="0.25"/>
    <row r="226" s="79" customFormat="1" ht="15" customHeight="1" x14ac:dyDescent="0.25"/>
    <row r="227" s="79" customFormat="1" ht="15" customHeight="1" x14ac:dyDescent="0.25"/>
    <row r="228" s="79" customFormat="1" ht="15" customHeight="1" x14ac:dyDescent="0.25"/>
    <row r="229" s="79" customFormat="1" ht="15" customHeight="1" x14ac:dyDescent="0.25"/>
    <row r="230" s="79" customFormat="1" ht="15" customHeight="1" x14ac:dyDescent="0.25"/>
    <row r="231" s="79" customFormat="1" ht="15" customHeight="1" x14ac:dyDescent="0.25"/>
    <row r="232" s="79" customFormat="1" ht="15" customHeight="1" x14ac:dyDescent="0.25"/>
    <row r="233" s="79" customFormat="1" ht="15" customHeight="1" x14ac:dyDescent="0.25"/>
    <row r="234" s="79" customFormat="1" ht="15" customHeight="1" x14ac:dyDescent="0.25"/>
    <row r="235" s="79" customFormat="1" ht="15" customHeight="1" x14ac:dyDescent="0.25"/>
    <row r="236" s="79" customFormat="1" ht="15" customHeight="1" x14ac:dyDescent="0.25"/>
    <row r="237" s="79" customFormat="1" ht="15" customHeight="1" x14ac:dyDescent="0.25"/>
    <row r="238" s="79" customFormat="1" ht="15" customHeight="1" x14ac:dyDescent="0.25"/>
    <row r="239" s="79" customFormat="1" ht="15" customHeight="1" x14ac:dyDescent="0.25"/>
    <row r="240" s="79" customFormat="1" ht="15" customHeight="1" x14ac:dyDescent="0.25"/>
    <row r="241" s="79" customFormat="1" ht="15" customHeight="1" x14ac:dyDescent="0.25"/>
    <row r="242" s="79" customFormat="1" ht="15" customHeight="1" x14ac:dyDescent="0.25"/>
    <row r="243" s="79" customFormat="1" ht="15" customHeight="1" x14ac:dyDescent="0.25"/>
    <row r="244" s="79" customFormat="1" ht="15" customHeight="1" x14ac:dyDescent="0.25"/>
    <row r="245" s="79" customFormat="1" ht="15" customHeight="1" x14ac:dyDescent="0.25"/>
    <row r="246" s="79" customFormat="1" ht="15" customHeight="1" x14ac:dyDescent="0.25"/>
    <row r="247" s="79" customFormat="1" ht="15" customHeight="1" x14ac:dyDescent="0.25"/>
    <row r="248" s="79" customFormat="1" ht="15" customHeight="1" x14ac:dyDescent="0.25"/>
    <row r="249" s="79" customFormat="1" ht="15" customHeight="1" x14ac:dyDescent="0.25"/>
    <row r="250" s="79" customFormat="1" ht="15" customHeight="1" x14ac:dyDescent="0.25"/>
    <row r="251" s="79" customFormat="1" ht="15" customHeight="1" x14ac:dyDescent="0.25"/>
    <row r="252" s="79" customFormat="1" ht="15" customHeight="1" x14ac:dyDescent="0.25"/>
    <row r="253" s="79" customFormat="1" ht="15" customHeight="1" x14ac:dyDescent="0.25"/>
    <row r="254" s="79" customFormat="1" ht="15" customHeight="1" x14ac:dyDescent="0.25"/>
    <row r="255" s="79" customFormat="1" ht="15" customHeight="1" x14ac:dyDescent="0.25"/>
    <row r="256" s="79" customFormat="1" ht="15" customHeight="1" x14ac:dyDescent="0.25"/>
    <row r="257" s="79" customFormat="1" ht="15" customHeight="1" x14ac:dyDescent="0.25"/>
    <row r="258" s="79" customFormat="1" ht="15" customHeight="1" x14ac:dyDescent="0.25"/>
    <row r="259" s="79" customFormat="1" ht="15" customHeight="1" x14ac:dyDescent="0.25"/>
    <row r="260" s="79" customFormat="1" ht="15" customHeight="1" x14ac:dyDescent="0.25"/>
    <row r="261" s="79" customFormat="1" ht="15" customHeight="1" x14ac:dyDescent="0.25"/>
    <row r="262" s="79" customFormat="1" ht="15" customHeight="1" x14ac:dyDescent="0.25"/>
    <row r="263" s="79" customFormat="1" ht="15" customHeight="1" x14ac:dyDescent="0.25"/>
    <row r="264" s="79" customFormat="1" ht="15" customHeight="1" x14ac:dyDescent="0.25"/>
    <row r="265" s="79" customFormat="1" ht="15" customHeight="1" x14ac:dyDescent="0.25"/>
    <row r="266" s="79" customFormat="1" ht="15" customHeight="1" x14ac:dyDescent="0.25"/>
    <row r="267" s="79" customFormat="1" ht="15" customHeight="1" x14ac:dyDescent="0.25"/>
    <row r="268" s="79" customFormat="1" ht="15" customHeight="1" x14ac:dyDescent="0.25"/>
    <row r="269" s="79" customFormat="1" ht="15" customHeight="1" x14ac:dyDescent="0.25"/>
    <row r="270" s="79" customFormat="1" ht="15" customHeight="1" x14ac:dyDescent="0.25"/>
    <row r="271" s="79" customFormat="1" ht="15" customHeight="1" x14ac:dyDescent="0.25"/>
    <row r="272" s="79" customFormat="1" ht="15" customHeight="1" x14ac:dyDescent="0.25"/>
    <row r="273" s="79" customFormat="1" ht="15" customHeight="1" x14ac:dyDescent="0.25"/>
    <row r="274" s="79" customFormat="1" ht="15" customHeight="1" x14ac:dyDescent="0.25"/>
    <row r="275" s="79" customFormat="1" ht="15" customHeight="1" x14ac:dyDescent="0.25"/>
    <row r="276" s="79" customFormat="1" ht="15" customHeight="1" x14ac:dyDescent="0.25"/>
    <row r="277" s="79" customFormat="1" ht="15" customHeight="1" x14ac:dyDescent="0.25"/>
    <row r="278" s="79" customFormat="1" ht="15" customHeight="1" x14ac:dyDescent="0.25"/>
    <row r="279" s="79" customFormat="1" ht="15" customHeight="1" x14ac:dyDescent="0.25"/>
    <row r="280" s="79" customFormat="1" ht="15" customHeight="1" x14ac:dyDescent="0.25"/>
    <row r="281" s="79" customFormat="1" ht="15" customHeight="1" x14ac:dyDescent="0.25"/>
    <row r="282" s="79" customFormat="1" ht="15" customHeight="1" x14ac:dyDescent="0.25"/>
    <row r="283" s="79" customFormat="1" ht="15" customHeight="1" x14ac:dyDescent="0.25"/>
    <row r="284" s="79" customFormat="1" ht="15" customHeight="1" x14ac:dyDescent="0.25"/>
    <row r="285" s="79" customFormat="1" ht="15" customHeight="1" x14ac:dyDescent="0.25"/>
    <row r="286" s="79" customFormat="1" ht="15" customHeight="1" x14ac:dyDescent="0.25"/>
    <row r="287" s="79" customFormat="1" ht="15" customHeight="1" x14ac:dyDescent="0.25"/>
    <row r="288" s="79" customFormat="1" ht="15" customHeight="1" x14ac:dyDescent="0.25"/>
    <row r="289" s="79" customFormat="1" ht="15" customHeight="1" x14ac:dyDescent="0.25"/>
    <row r="290" s="79" customFormat="1" ht="15" customHeight="1" x14ac:dyDescent="0.25"/>
    <row r="291" s="79" customFormat="1" ht="15" customHeight="1" x14ac:dyDescent="0.25"/>
    <row r="292" s="79" customFormat="1" ht="15" customHeight="1" x14ac:dyDescent="0.25"/>
    <row r="293" s="79" customFormat="1" ht="15" customHeight="1" x14ac:dyDescent="0.25"/>
    <row r="294" s="79" customFormat="1" ht="15" customHeight="1" x14ac:dyDescent="0.25"/>
    <row r="295" s="79" customFormat="1" ht="15" customHeight="1" x14ac:dyDescent="0.25"/>
    <row r="296" s="79" customFormat="1" ht="15" customHeight="1" x14ac:dyDescent="0.25"/>
    <row r="297" s="79" customFormat="1" ht="15" customHeight="1" x14ac:dyDescent="0.25"/>
    <row r="298" s="79" customFormat="1" ht="15" customHeight="1" x14ac:dyDescent="0.25"/>
    <row r="299" s="79" customFormat="1" ht="15" customHeight="1" x14ac:dyDescent="0.25"/>
    <row r="300" s="79" customFormat="1" ht="15" customHeight="1" x14ac:dyDescent="0.25"/>
    <row r="301" s="79" customFormat="1" ht="15" customHeight="1" x14ac:dyDescent="0.25"/>
    <row r="302" s="79" customFormat="1" ht="15" customHeight="1" x14ac:dyDescent="0.25"/>
    <row r="303" s="79" customFormat="1" ht="15" customHeight="1" x14ac:dyDescent="0.25"/>
    <row r="304" s="79" customFormat="1" ht="15" customHeight="1" x14ac:dyDescent="0.25"/>
    <row r="305" s="79" customFormat="1" ht="15" customHeight="1" x14ac:dyDescent="0.25"/>
    <row r="306" s="79" customFormat="1" ht="15" customHeight="1" x14ac:dyDescent="0.25"/>
    <row r="307" s="79" customFormat="1" ht="15" customHeight="1" x14ac:dyDescent="0.25"/>
    <row r="308" s="79" customFormat="1" ht="15" customHeight="1" x14ac:dyDescent="0.25"/>
    <row r="309" s="79" customFormat="1" ht="15" customHeight="1" x14ac:dyDescent="0.25"/>
    <row r="310" s="79" customFormat="1" ht="15" customHeight="1" x14ac:dyDescent="0.25"/>
    <row r="311" s="79" customFormat="1" ht="15" customHeight="1" x14ac:dyDescent="0.25"/>
    <row r="312" s="79" customFormat="1" ht="15" customHeight="1" x14ac:dyDescent="0.25"/>
    <row r="313" s="79" customFormat="1" ht="15" customHeight="1" x14ac:dyDescent="0.25"/>
    <row r="314" s="79" customFormat="1" ht="15" customHeight="1" x14ac:dyDescent="0.25"/>
    <row r="315" s="79" customFormat="1" ht="15" customHeight="1" x14ac:dyDescent="0.25"/>
    <row r="316" s="79" customFormat="1" ht="15" customHeight="1" x14ac:dyDescent="0.25"/>
    <row r="317" s="79" customFormat="1" ht="15" customHeight="1" x14ac:dyDescent="0.25"/>
    <row r="318" s="79" customFormat="1" ht="15" customHeight="1" x14ac:dyDescent="0.25"/>
    <row r="319" s="79" customFormat="1" ht="15" customHeight="1" x14ac:dyDescent="0.25"/>
    <row r="320" s="79" customFormat="1" ht="15" customHeight="1" x14ac:dyDescent="0.25"/>
    <row r="321" s="79" customFormat="1" ht="15" customHeight="1" x14ac:dyDescent="0.25"/>
    <row r="322" s="79" customFormat="1" ht="15" customHeight="1" x14ac:dyDescent="0.25"/>
    <row r="323" s="79" customFormat="1" ht="15" customHeight="1" x14ac:dyDescent="0.25"/>
    <row r="324" s="79" customFormat="1" ht="15" customHeight="1" x14ac:dyDescent="0.25"/>
    <row r="325" s="79" customFormat="1" ht="15" customHeight="1" x14ac:dyDescent="0.25"/>
    <row r="326" s="79" customFormat="1" ht="15" customHeight="1" x14ac:dyDescent="0.25"/>
    <row r="327" s="79" customFormat="1" ht="15" customHeight="1" x14ac:dyDescent="0.25"/>
    <row r="328" s="79" customFormat="1" ht="15" customHeight="1" x14ac:dyDescent="0.25"/>
    <row r="329" s="79" customFormat="1" ht="15" customHeight="1" x14ac:dyDescent="0.25"/>
    <row r="330" s="79" customFormat="1" ht="15" customHeight="1" x14ac:dyDescent="0.25"/>
    <row r="331" s="79" customFormat="1" ht="15" customHeight="1" x14ac:dyDescent="0.25"/>
    <row r="332" s="79" customFormat="1" ht="15" customHeight="1" x14ac:dyDescent="0.25"/>
    <row r="333" s="79" customFormat="1" ht="15" customHeight="1" x14ac:dyDescent="0.25"/>
    <row r="334" s="79" customFormat="1" ht="15" customHeight="1" x14ac:dyDescent="0.25"/>
    <row r="335" s="79" customFormat="1" ht="15" customHeight="1" x14ac:dyDescent="0.25"/>
    <row r="336" s="79" customFormat="1" ht="15" customHeight="1" x14ac:dyDescent="0.25"/>
    <row r="337" s="79" customFormat="1" ht="15" customHeight="1" x14ac:dyDescent="0.25"/>
    <row r="338" s="79" customFormat="1" ht="15" customHeight="1" x14ac:dyDescent="0.25"/>
    <row r="339" s="79" customFormat="1" ht="15" customHeight="1" x14ac:dyDescent="0.25"/>
    <row r="340" s="79" customFormat="1" ht="15" customHeight="1" x14ac:dyDescent="0.25"/>
    <row r="341" s="79" customFormat="1" ht="15" customHeight="1" x14ac:dyDescent="0.25"/>
    <row r="342" s="79" customFormat="1" ht="15" customHeight="1" x14ac:dyDescent="0.25"/>
    <row r="343" s="79" customFormat="1" ht="15" customHeight="1" x14ac:dyDescent="0.25"/>
    <row r="344" s="79" customFormat="1" ht="15" customHeight="1" x14ac:dyDescent="0.25"/>
    <row r="345" s="79" customFormat="1" ht="15" customHeight="1" x14ac:dyDescent="0.25"/>
    <row r="346" s="79" customFormat="1" ht="15" customHeight="1" x14ac:dyDescent="0.25"/>
    <row r="347" s="79" customFormat="1" ht="15" customHeight="1" x14ac:dyDescent="0.25"/>
    <row r="348" s="79" customFormat="1" ht="15" customHeight="1" x14ac:dyDescent="0.25"/>
    <row r="349" s="79" customFormat="1" ht="15" customHeight="1" x14ac:dyDescent="0.25"/>
    <row r="350" s="79" customFormat="1" ht="15" customHeight="1" x14ac:dyDescent="0.25"/>
    <row r="351" s="79" customFormat="1" ht="15" customHeight="1" x14ac:dyDescent="0.25"/>
    <row r="352" s="79" customFormat="1" ht="15" customHeight="1" x14ac:dyDescent="0.25"/>
    <row r="353" s="79" customFormat="1" ht="15" customHeight="1" x14ac:dyDescent="0.25"/>
    <row r="354" s="79" customFormat="1" ht="15" customHeight="1" x14ac:dyDescent="0.25"/>
    <row r="355" s="79" customFormat="1" ht="15" customHeight="1" x14ac:dyDescent="0.25"/>
    <row r="356" s="79" customFormat="1" ht="15" customHeight="1" x14ac:dyDescent="0.25"/>
    <row r="357" s="79" customFormat="1" ht="15" customHeight="1" x14ac:dyDescent="0.25"/>
    <row r="358" s="79" customFormat="1" ht="15" customHeight="1" x14ac:dyDescent="0.25"/>
    <row r="359" s="79" customFormat="1" ht="15" customHeight="1" x14ac:dyDescent="0.25"/>
    <row r="360" s="79" customFormat="1" ht="15" customHeight="1" x14ac:dyDescent="0.25"/>
    <row r="361" s="79" customFormat="1" ht="15" customHeight="1" x14ac:dyDescent="0.25"/>
    <row r="362" s="79" customFormat="1" ht="15" customHeight="1" x14ac:dyDescent="0.25"/>
    <row r="363" s="79" customFormat="1" ht="15" customHeight="1" x14ac:dyDescent="0.25"/>
    <row r="364" s="79" customFormat="1" ht="15" customHeight="1" x14ac:dyDescent="0.25"/>
    <row r="365" s="79" customFormat="1" ht="15" customHeight="1" x14ac:dyDescent="0.25"/>
    <row r="366" s="79" customFormat="1" ht="15" customHeight="1" x14ac:dyDescent="0.25"/>
    <row r="367" s="79" customFormat="1" ht="15" customHeight="1" x14ac:dyDescent="0.25"/>
    <row r="368" s="79" customFormat="1" ht="15" customHeight="1" x14ac:dyDescent="0.25"/>
    <row r="369" s="79" customFormat="1" ht="15" customHeight="1" x14ac:dyDescent="0.25"/>
    <row r="370" s="79" customFormat="1" ht="15" customHeight="1" x14ac:dyDescent="0.25"/>
    <row r="371" s="79" customFormat="1" ht="15" customHeight="1" x14ac:dyDescent="0.25"/>
    <row r="372" s="79" customFormat="1" ht="15" customHeight="1" x14ac:dyDescent="0.25"/>
    <row r="373" s="79" customFormat="1" ht="15" customHeight="1" x14ac:dyDescent="0.25"/>
    <row r="374" s="79" customFormat="1" ht="15" customHeight="1" x14ac:dyDescent="0.25"/>
    <row r="375" s="79" customFormat="1" ht="15" customHeight="1" x14ac:dyDescent="0.25"/>
    <row r="376" s="79" customFormat="1" ht="15" customHeight="1" x14ac:dyDescent="0.25"/>
    <row r="377" s="79" customFormat="1" ht="15" customHeight="1" x14ac:dyDescent="0.25"/>
    <row r="378" s="79" customFormat="1" ht="15" customHeight="1" x14ac:dyDescent="0.25"/>
    <row r="379" s="79" customFormat="1" ht="15" customHeight="1" x14ac:dyDescent="0.25"/>
    <row r="380" s="79" customFormat="1" ht="15" customHeight="1" x14ac:dyDescent="0.25"/>
    <row r="381" s="79" customFormat="1" ht="15" customHeight="1" x14ac:dyDescent="0.25"/>
    <row r="382" s="79" customFormat="1" ht="15" customHeight="1" x14ac:dyDescent="0.25"/>
    <row r="383" s="79" customFormat="1" ht="15" customHeight="1" x14ac:dyDescent="0.25"/>
    <row r="384" s="79" customFormat="1" ht="15" customHeight="1" x14ac:dyDescent="0.25"/>
    <row r="385" s="79" customFormat="1" ht="15" customHeight="1" x14ac:dyDescent="0.25"/>
    <row r="386" s="79" customFormat="1" ht="15" customHeight="1" x14ac:dyDescent="0.25"/>
    <row r="387" s="79" customFormat="1" ht="15" customHeight="1" x14ac:dyDescent="0.25"/>
    <row r="388" s="79" customFormat="1" ht="15" customHeight="1" x14ac:dyDescent="0.25"/>
    <row r="389" s="79" customFormat="1" ht="15" customHeight="1" x14ac:dyDescent="0.25"/>
    <row r="390" s="79" customFormat="1" ht="15" customHeight="1" x14ac:dyDescent="0.25"/>
    <row r="391" s="79" customFormat="1" ht="15" customHeight="1" x14ac:dyDescent="0.25"/>
    <row r="392" s="79" customFormat="1" ht="15" customHeight="1" x14ac:dyDescent="0.25"/>
    <row r="393" s="79" customFormat="1" ht="15" customHeight="1" x14ac:dyDescent="0.25"/>
    <row r="394" s="79" customFormat="1" ht="15" customHeight="1" x14ac:dyDescent="0.25"/>
    <row r="395" s="79" customFormat="1" ht="15" customHeight="1" x14ac:dyDescent="0.25"/>
    <row r="396" s="79" customFormat="1" ht="15" customHeight="1" x14ac:dyDescent="0.25"/>
    <row r="397" s="79" customFormat="1" ht="15" customHeight="1" x14ac:dyDescent="0.25"/>
    <row r="398" s="79" customFormat="1" ht="15" customHeight="1" x14ac:dyDescent="0.25"/>
    <row r="399" s="79" customFormat="1" ht="15" customHeight="1" x14ac:dyDescent="0.25"/>
    <row r="400" s="79" customFormat="1" ht="15" customHeight="1" x14ac:dyDescent="0.25"/>
    <row r="401" s="79" customFormat="1" ht="15" customHeight="1" x14ac:dyDescent="0.25"/>
    <row r="402" s="79" customFormat="1" ht="15" customHeight="1" x14ac:dyDescent="0.25"/>
    <row r="403" s="79" customFormat="1" ht="15" customHeight="1" x14ac:dyDescent="0.25"/>
    <row r="404" s="79" customFormat="1" ht="15" customHeight="1" x14ac:dyDescent="0.25"/>
    <row r="405" s="79" customFormat="1" ht="15" customHeight="1" x14ac:dyDescent="0.25"/>
    <row r="406" s="79" customFormat="1" ht="15" customHeight="1" x14ac:dyDescent="0.25"/>
    <row r="407" s="79" customFormat="1" ht="15" customHeight="1" x14ac:dyDescent="0.25"/>
    <row r="408" s="79" customFormat="1" ht="15" customHeight="1" x14ac:dyDescent="0.25"/>
    <row r="409" s="79" customFormat="1" ht="15" customHeight="1" x14ac:dyDescent="0.25"/>
    <row r="410" s="79" customFormat="1" ht="15" customHeight="1" x14ac:dyDescent="0.25"/>
    <row r="411" s="79" customFormat="1" ht="15" customHeight="1" x14ac:dyDescent="0.25"/>
    <row r="412" s="79" customFormat="1" ht="15" customHeight="1" x14ac:dyDescent="0.25"/>
    <row r="413" s="79" customFormat="1" ht="15" customHeight="1" x14ac:dyDescent="0.25"/>
    <row r="414" s="79" customFormat="1" ht="15" customHeight="1" x14ac:dyDescent="0.25"/>
    <row r="415" s="79" customFormat="1" ht="15" customHeight="1" x14ac:dyDescent="0.25"/>
    <row r="416" s="79" customFormat="1" ht="15" customHeight="1" x14ac:dyDescent="0.25"/>
    <row r="417" s="79" customFormat="1" ht="15" customHeight="1" x14ac:dyDescent="0.25"/>
    <row r="418" s="79" customFormat="1" ht="15" customHeight="1" x14ac:dyDescent="0.25"/>
    <row r="419" s="79" customFormat="1" ht="15" customHeight="1" x14ac:dyDescent="0.25"/>
    <row r="420" s="79" customFormat="1" ht="15" customHeight="1" x14ac:dyDescent="0.25"/>
    <row r="421" s="79" customFormat="1" ht="15" customHeight="1" x14ac:dyDescent="0.25"/>
    <row r="422" s="79" customFormat="1" ht="15" customHeight="1" x14ac:dyDescent="0.25"/>
    <row r="423" s="79" customFormat="1" ht="15" customHeight="1" x14ac:dyDescent="0.25"/>
    <row r="424" s="79" customFormat="1" ht="15" customHeight="1" x14ac:dyDescent="0.25"/>
    <row r="425" s="79" customFormat="1" ht="15" customHeight="1" x14ac:dyDescent="0.25"/>
    <row r="426" s="79" customFormat="1" ht="15" customHeight="1" x14ac:dyDescent="0.25"/>
    <row r="427" s="79" customFormat="1" ht="15" customHeight="1" x14ac:dyDescent="0.25"/>
    <row r="428" s="79" customFormat="1" ht="15" customHeight="1" x14ac:dyDescent="0.25"/>
    <row r="429" s="79" customFormat="1" ht="15" customHeight="1" x14ac:dyDescent="0.25"/>
    <row r="430" s="79" customFormat="1" ht="15" customHeight="1" x14ac:dyDescent="0.25"/>
    <row r="431" s="79" customFormat="1" ht="15" customHeight="1" x14ac:dyDescent="0.25"/>
    <row r="432" s="79" customFormat="1" ht="15" customHeight="1" x14ac:dyDescent="0.25"/>
    <row r="433" s="79" customFormat="1" ht="15" customHeight="1" x14ac:dyDescent="0.25"/>
    <row r="434" s="79" customFormat="1" ht="15" customHeight="1" x14ac:dyDescent="0.25"/>
    <row r="435" s="79" customFormat="1" ht="15" customHeight="1" x14ac:dyDescent="0.25"/>
    <row r="436" s="79" customFormat="1" ht="15" customHeight="1" x14ac:dyDescent="0.25"/>
    <row r="437" s="79" customFormat="1" ht="15" customHeight="1" x14ac:dyDescent="0.25"/>
    <row r="438" s="79" customFormat="1" ht="15" customHeight="1" x14ac:dyDescent="0.25"/>
    <row r="439" s="79" customFormat="1" ht="15" customHeight="1" x14ac:dyDescent="0.25"/>
    <row r="440" s="79" customFormat="1" ht="15" customHeight="1" x14ac:dyDescent="0.25"/>
    <row r="441" s="79" customFormat="1" ht="15" customHeight="1" x14ac:dyDescent="0.25"/>
    <row r="442" s="79" customFormat="1" ht="15" customHeight="1" x14ac:dyDescent="0.25"/>
    <row r="443" s="79" customFormat="1" ht="15" customHeight="1" x14ac:dyDescent="0.25"/>
    <row r="444" s="79" customFormat="1" ht="15" customHeight="1" x14ac:dyDescent="0.25"/>
    <row r="445" s="79" customFormat="1" ht="15" customHeight="1" x14ac:dyDescent="0.25"/>
    <row r="446" s="79" customFormat="1" ht="15" customHeight="1" x14ac:dyDescent="0.25"/>
    <row r="447" s="79" customFormat="1" ht="15" customHeight="1" x14ac:dyDescent="0.25"/>
    <row r="448" s="79" customFormat="1" ht="15" customHeight="1" x14ac:dyDescent="0.25"/>
    <row r="449" s="79" customFormat="1" ht="15" customHeight="1" x14ac:dyDescent="0.25"/>
    <row r="450" s="79" customFormat="1" ht="15" customHeight="1" x14ac:dyDescent="0.25"/>
    <row r="451" s="79" customFormat="1" ht="15" customHeight="1" x14ac:dyDescent="0.25"/>
    <row r="452" s="79" customFormat="1" ht="15" customHeight="1" x14ac:dyDescent="0.25"/>
    <row r="453" s="79" customFormat="1" ht="15" customHeight="1" x14ac:dyDescent="0.25"/>
    <row r="454" s="79" customFormat="1" ht="15" customHeight="1" x14ac:dyDescent="0.25"/>
    <row r="455" s="79" customFormat="1" ht="15" customHeight="1" x14ac:dyDescent="0.25"/>
    <row r="456" s="79" customFormat="1" ht="15" customHeight="1" x14ac:dyDescent="0.25"/>
    <row r="457" s="79" customFormat="1" ht="15" customHeight="1" x14ac:dyDescent="0.25"/>
    <row r="458" s="79" customFormat="1" ht="15" customHeight="1" x14ac:dyDescent="0.25"/>
    <row r="459" s="79" customFormat="1" ht="15" customHeight="1" x14ac:dyDescent="0.25"/>
    <row r="460" s="79" customFormat="1" ht="15" customHeight="1" x14ac:dyDescent="0.25"/>
    <row r="461" s="79" customFormat="1" ht="15" customHeight="1" x14ac:dyDescent="0.25"/>
    <row r="462" s="79" customFormat="1" ht="15" customHeight="1" x14ac:dyDescent="0.25"/>
    <row r="463" s="79" customFormat="1" ht="15" customHeight="1" x14ac:dyDescent="0.25"/>
    <row r="464" s="79" customFormat="1" ht="15" customHeight="1" x14ac:dyDescent="0.25"/>
    <row r="465" s="79" customFormat="1" ht="15" customHeight="1" x14ac:dyDescent="0.25"/>
    <row r="466" s="79" customFormat="1" ht="15" customHeight="1" x14ac:dyDescent="0.25"/>
    <row r="467" s="79" customFormat="1" ht="15" customHeight="1" x14ac:dyDescent="0.25"/>
    <row r="468" s="79" customFormat="1" ht="15" customHeight="1" x14ac:dyDescent="0.25"/>
    <row r="469" s="79" customFormat="1" ht="15" customHeight="1" x14ac:dyDescent="0.25"/>
    <row r="470" s="79" customFormat="1" ht="15" customHeight="1" x14ac:dyDescent="0.25"/>
    <row r="471" s="79" customFormat="1" ht="15" customHeight="1" x14ac:dyDescent="0.25"/>
    <row r="472" s="79" customFormat="1" ht="15" customHeight="1" x14ac:dyDescent="0.25"/>
    <row r="473" s="79" customFormat="1" ht="15" customHeight="1" x14ac:dyDescent="0.25"/>
    <row r="474" s="79" customFormat="1" ht="15" customHeight="1" x14ac:dyDescent="0.25"/>
    <row r="475" s="79" customFormat="1" ht="15" customHeight="1" x14ac:dyDescent="0.25"/>
    <row r="476" s="79" customFormat="1" ht="15" customHeight="1" x14ac:dyDescent="0.25"/>
    <row r="477" s="79" customFormat="1" ht="15" customHeight="1" x14ac:dyDescent="0.25"/>
    <row r="478" s="79" customFormat="1" ht="15" customHeight="1" x14ac:dyDescent="0.25"/>
    <row r="479" s="79" customFormat="1" ht="15" customHeight="1" x14ac:dyDescent="0.25"/>
    <row r="480" s="79" customFormat="1" ht="15" customHeight="1" x14ac:dyDescent="0.25"/>
    <row r="481" s="79" customFormat="1" ht="15" customHeight="1" x14ac:dyDescent="0.25"/>
    <row r="482" s="79" customFormat="1" ht="15" customHeight="1" x14ac:dyDescent="0.25"/>
    <row r="483" s="79" customFormat="1" ht="15" customHeight="1" x14ac:dyDescent="0.25"/>
    <row r="484" s="79" customFormat="1" ht="15" customHeight="1" x14ac:dyDescent="0.25"/>
    <row r="485" s="79" customFormat="1" ht="15" customHeight="1" x14ac:dyDescent="0.25"/>
    <row r="486" s="79" customFormat="1" ht="15" customHeight="1" x14ac:dyDescent="0.25"/>
    <row r="487" s="79" customFormat="1" ht="15" customHeight="1" x14ac:dyDescent="0.25"/>
    <row r="488" s="79" customFormat="1" ht="15" customHeight="1" x14ac:dyDescent="0.25"/>
    <row r="489" s="79" customFormat="1" ht="15" customHeight="1" x14ac:dyDescent="0.25"/>
    <row r="490" s="79" customFormat="1" ht="15" customHeight="1" x14ac:dyDescent="0.25"/>
    <row r="491" s="79" customFormat="1" ht="15" customHeight="1" x14ac:dyDescent="0.25"/>
    <row r="492" s="79" customFormat="1" ht="15" customHeight="1" x14ac:dyDescent="0.25"/>
    <row r="493" s="79" customFormat="1" ht="15" customHeight="1" x14ac:dyDescent="0.25"/>
    <row r="494" s="79" customFormat="1" ht="15" customHeight="1" x14ac:dyDescent="0.25"/>
    <row r="495" s="79" customFormat="1" ht="15" customHeight="1" x14ac:dyDescent="0.25"/>
    <row r="496" s="79" customFormat="1" ht="15" customHeight="1" x14ac:dyDescent="0.25"/>
    <row r="497" s="79" customFormat="1" ht="15" customHeight="1" x14ac:dyDescent="0.25"/>
    <row r="498" s="79" customFormat="1" ht="15" customHeight="1" x14ac:dyDescent="0.25"/>
    <row r="499" s="79" customFormat="1" ht="15" customHeight="1" x14ac:dyDescent="0.25"/>
    <row r="500" s="79" customFormat="1" ht="15" customHeight="1" x14ac:dyDescent="0.25"/>
    <row r="501" s="79" customFormat="1" ht="15" customHeight="1" x14ac:dyDescent="0.25"/>
    <row r="502" s="79" customFormat="1" ht="15" customHeight="1" x14ac:dyDescent="0.25"/>
    <row r="503" s="79" customFormat="1" ht="15" customHeight="1" x14ac:dyDescent="0.25"/>
    <row r="504" s="79" customFormat="1" ht="15" customHeight="1" x14ac:dyDescent="0.25"/>
    <row r="505" s="79" customFormat="1" ht="15" customHeight="1" x14ac:dyDescent="0.25"/>
    <row r="506" s="79" customFormat="1" ht="15" customHeight="1" x14ac:dyDescent="0.25"/>
    <row r="507" s="79" customFormat="1" ht="15" customHeight="1" x14ac:dyDescent="0.25"/>
    <row r="508" s="79" customFormat="1" ht="15" customHeight="1" x14ac:dyDescent="0.25"/>
    <row r="509" s="79" customFormat="1" ht="15" customHeight="1" x14ac:dyDescent="0.25"/>
    <row r="510" s="79" customFormat="1" ht="15" customHeight="1" x14ac:dyDescent="0.25"/>
    <row r="511" s="79" customFormat="1" ht="15" customHeight="1" x14ac:dyDescent="0.25"/>
    <row r="512" s="79" customFormat="1" ht="15" customHeight="1" x14ac:dyDescent="0.25"/>
    <row r="513" s="79" customFormat="1" ht="15" customHeight="1" x14ac:dyDescent="0.25"/>
    <row r="514" s="79" customFormat="1" ht="15" customHeight="1" x14ac:dyDescent="0.25"/>
    <row r="515" s="79" customFormat="1" ht="15" customHeight="1" x14ac:dyDescent="0.25"/>
    <row r="516" s="79" customFormat="1" ht="15" customHeight="1" x14ac:dyDescent="0.25"/>
    <row r="517" s="79" customFormat="1" ht="15" customHeight="1" x14ac:dyDescent="0.25"/>
    <row r="518" s="79" customFormat="1" ht="15" customHeight="1" x14ac:dyDescent="0.25"/>
    <row r="519" s="79" customFormat="1" ht="15" customHeight="1" x14ac:dyDescent="0.25"/>
    <row r="520" s="79" customFormat="1" ht="15" customHeight="1" x14ac:dyDescent="0.25"/>
    <row r="521" s="79" customFormat="1" ht="15" customHeight="1" x14ac:dyDescent="0.25"/>
    <row r="522" s="79" customFormat="1" ht="15" customHeight="1" x14ac:dyDescent="0.25"/>
    <row r="523" s="79" customFormat="1" ht="15" customHeight="1" x14ac:dyDescent="0.25"/>
    <row r="524" s="79" customFormat="1" ht="15" customHeight="1" x14ac:dyDescent="0.25"/>
    <row r="525" s="79" customFormat="1" ht="15" customHeight="1" x14ac:dyDescent="0.25"/>
    <row r="526" s="79" customFormat="1" ht="15" customHeight="1" x14ac:dyDescent="0.25"/>
    <row r="527" s="79" customFormat="1" ht="15" customHeight="1" x14ac:dyDescent="0.25"/>
    <row r="528" s="79" customFormat="1" ht="15" customHeight="1" x14ac:dyDescent="0.25"/>
    <row r="529" s="79" customFormat="1" ht="15" customHeight="1" x14ac:dyDescent="0.25"/>
    <row r="530" s="79" customFormat="1" ht="15" customHeight="1" x14ac:dyDescent="0.25"/>
    <row r="531" s="79" customFormat="1" ht="15" customHeight="1" x14ac:dyDescent="0.25"/>
    <row r="532" s="79" customFormat="1" ht="15" customHeight="1" x14ac:dyDescent="0.25"/>
    <row r="533" s="79" customFormat="1" ht="15" customHeight="1" x14ac:dyDescent="0.25"/>
    <row r="534" s="79" customFormat="1" ht="15" customHeight="1" x14ac:dyDescent="0.25"/>
    <row r="535" s="79" customFormat="1" ht="15" customHeight="1" x14ac:dyDescent="0.25"/>
    <row r="536" s="79" customFormat="1" ht="15" customHeight="1" x14ac:dyDescent="0.25"/>
    <row r="537" s="79" customFormat="1" ht="15" customHeight="1" x14ac:dyDescent="0.25"/>
    <row r="538" s="79" customFormat="1" ht="15" customHeight="1" x14ac:dyDescent="0.25"/>
    <row r="539" s="79" customFormat="1" ht="15" customHeight="1" x14ac:dyDescent="0.25"/>
    <row r="540" s="79" customFormat="1" ht="15" customHeight="1" x14ac:dyDescent="0.25"/>
    <row r="541" s="79" customFormat="1" ht="15" customHeight="1" x14ac:dyDescent="0.25"/>
    <row r="542" s="79" customFormat="1" ht="15" customHeight="1" x14ac:dyDescent="0.25"/>
    <row r="543" s="79" customFormat="1" ht="15" customHeight="1" x14ac:dyDescent="0.25"/>
    <row r="544" s="79" customFormat="1" ht="15" customHeight="1" x14ac:dyDescent="0.25"/>
    <row r="545" s="79" customFormat="1" ht="15" customHeight="1" x14ac:dyDescent="0.25"/>
    <row r="546" s="79" customFormat="1" ht="15" customHeight="1" x14ac:dyDescent="0.25"/>
    <row r="547" s="79" customFormat="1" ht="15" customHeight="1" x14ac:dyDescent="0.25"/>
    <row r="548" s="79" customFormat="1" ht="15" customHeight="1" x14ac:dyDescent="0.25"/>
    <row r="549" s="79" customFormat="1" ht="15" customHeight="1" x14ac:dyDescent="0.25"/>
    <row r="550" s="79" customFormat="1" ht="15" customHeight="1" x14ac:dyDescent="0.25"/>
    <row r="551" s="79" customFormat="1" ht="15" customHeight="1" x14ac:dyDescent="0.25"/>
    <row r="552" s="79" customFormat="1" ht="15" customHeight="1" x14ac:dyDescent="0.25"/>
    <row r="553" s="79" customFormat="1" ht="15" customHeight="1" x14ac:dyDescent="0.25"/>
    <row r="554" s="79" customFormat="1" ht="15" customHeight="1" x14ac:dyDescent="0.25"/>
    <row r="555" s="79" customFormat="1" ht="15" customHeight="1" x14ac:dyDescent="0.25"/>
    <row r="556" s="79" customFormat="1" ht="15" customHeight="1" x14ac:dyDescent="0.25"/>
    <row r="557" s="79" customFormat="1" ht="15" customHeight="1" x14ac:dyDescent="0.25"/>
    <row r="558" s="79" customFormat="1" ht="15" customHeight="1" x14ac:dyDescent="0.25"/>
    <row r="559" s="79" customFormat="1" ht="15" customHeight="1" x14ac:dyDescent="0.25"/>
    <row r="560" s="79" customFormat="1" ht="15" customHeight="1" x14ac:dyDescent="0.25"/>
    <row r="561" s="79" customFormat="1" ht="15" customHeight="1" x14ac:dyDescent="0.25"/>
    <row r="562" s="79" customFormat="1" ht="15" customHeight="1" x14ac:dyDescent="0.25"/>
    <row r="563" s="79" customFormat="1" ht="15" customHeight="1" x14ac:dyDescent="0.25"/>
    <row r="564" s="79" customFormat="1" ht="15" customHeight="1" x14ac:dyDescent="0.25"/>
    <row r="565" s="79" customFormat="1" ht="15" customHeight="1" x14ac:dyDescent="0.25"/>
    <row r="566" s="79" customFormat="1" ht="15" customHeight="1" x14ac:dyDescent="0.25"/>
    <row r="567" s="79" customFormat="1" ht="15" customHeight="1" x14ac:dyDescent="0.25"/>
    <row r="568" s="79" customFormat="1" ht="15" customHeight="1" x14ac:dyDescent="0.25"/>
    <row r="569" s="79" customFormat="1" ht="15" customHeight="1" x14ac:dyDescent="0.25"/>
    <row r="570" s="79" customFormat="1" ht="15" customHeight="1" x14ac:dyDescent="0.25"/>
    <row r="571" s="79" customFormat="1" ht="15" customHeight="1" x14ac:dyDescent="0.25"/>
    <row r="572" s="79" customFormat="1" ht="15" customHeight="1" x14ac:dyDescent="0.25"/>
    <row r="573" s="79" customFormat="1" ht="15" customHeight="1" x14ac:dyDescent="0.25"/>
    <row r="574" s="79" customFormat="1" ht="15" customHeight="1" x14ac:dyDescent="0.25"/>
    <row r="575" s="79" customFormat="1" ht="15" customHeight="1" x14ac:dyDescent="0.25"/>
    <row r="576" s="79" customFormat="1" ht="15" customHeight="1" x14ac:dyDescent="0.25"/>
    <row r="577" s="79" customFormat="1" ht="15" customHeight="1" x14ac:dyDescent="0.25"/>
    <row r="578" s="79" customFormat="1" ht="15" customHeight="1" x14ac:dyDescent="0.25"/>
    <row r="579" s="79" customFormat="1" ht="15" customHeight="1" x14ac:dyDescent="0.25"/>
    <row r="580" s="79" customFormat="1" ht="15" customHeight="1" x14ac:dyDescent="0.25"/>
    <row r="581" s="79" customFormat="1" ht="15" customHeight="1" x14ac:dyDescent="0.25"/>
    <row r="582" s="79" customFormat="1" ht="15" customHeight="1" x14ac:dyDescent="0.25"/>
    <row r="583" s="79" customFormat="1" ht="15" customHeight="1" x14ac:dyDescent="0.25"/>
    <row r="584" s="79" customFormat="1" ht="15" customHeight="1" x14ac:dyDescent="0.25"/>
    <row r="585" s="79" customFormat="1" ht="15" customHeight="1" x14ac:dyDescent="0.25"/>
    <row r="586" s="79" customFormat="1" ht="15" customHeight="1" x14ac:dyDescent="0.25"/>
    <row r="587" s="79" customFormat="1" ht="15" customHeight="1" x14ac:dyDescent="0.25"/>
    <row r="588" s="79" customFormat="1" ht="15" customHeight="1" x14ac:dyDescent="0.25"/>
    <row r="589" s="79" customFormat="1" ht="15" customHeight="1" x14ac:dyDescent="0.25"/>
    <row r="590" s="79" customFormat="1" ht="15" customHeight="1" x14ac:dyDescent="0.25"/>
    <row r="591" s="79" customFormat="1" ht="15" customHeight="1" x14ac:dyDescent="0.25"/>
    <row r="592" s="79" customFormat="1" ht="15" customHeight="1" x14ac:dyDescent="0.25"/>
    <row r="593" s="79" customFormat="1" ht="15" customHeight="1" x14ac:dyDescent="0.25"/>
    <row r="594" s="79" customFormat="1" ht="15" customHeight="1" x14ac:dyDescent="0.25"/>
    <row r="595" s="79" customFormat="1" ht="15" customHeight="1" x14ac:dyDescent="0.25"/>
    <row r="596" s="79" customFormat="1" ht="15" customHeight="1" x14ac:dyDescent="0.25"/>
    <row r="597" s="79" customFormat="1" ht="15" customHeight="1" x14ac:dyDescent="0.25"/>
    <row r="598" s="79" customFormat="1" ht="15" customHeight="1" x14ac:dyDescent="0.25"/>
    <row r="599" s="79" customFormat="1" ht="15" customHeight="1" x14ac:dyDescent="0.25"/>
    <row r="600" s="79" customFormat="1" ht="15" customHeight="1" x14ac:dyDescent="0.25"/>
    <row r="601" s="79" customFormat="1" ht="15" customHeight="1" x14ac:dyDescent="0.25"/>
    <row r="602" s="79" customFormat="1" ht="15" customHeight="1" x14ac:dyDescent="0.25"/>
    <row r="603" s="79" customFormat="1" ht="15" customHeight="1" x14ac:dyDescent="0.25"/>
    <row r="604" s="79" customFormat="1" ht="15" customHeight="1" x14ac:dyDescent="0.25"/>
    <row r="605" s="79" customFormat="1" ht="15" customHeight="1" x14ac:dyDescent="0.25"/>
    <row r="606" s="79" customFormat="1" ht="15" customHeight="1" x14ac:dyDescent="0.25"/>
    <row r="607" s="79" customFormat="1" ht="15" customHeight="1" x14ac:dyDescent="0.25"/>
    <row r="608" s="79" customFormat="1" ht="15" customHeight="1" x14ac:dyDescent="0.25"/>
    <row r="609" s="79" customFormat="1" ht="15" customHeight="1" x14ac:dyDescent="0.25"/>
    <row r="610" s="79" customFormat="1" ht="15" customHeight="1" x14ac:dyDescent="0.25"/>
    <row r="611" s="79" customFormat="1" ht="15" customHeight="1" x14ac:dyDescent="0.25"/>
    <row r="612" s="79" customFormat="1" ht="15" customHeight="1" x14ac:dyDescent="0.25"/>
    <row r="613" s="79" customFormat="1" ht="15" customHeight="1" x14ac:dyDescent="0.25"/>
    <row r="614" s="79" customFormat="1" ht="15" customHeight="1" x14ac:dyDescent="0.25"/>
    <row r="615" s="79" customFormat="1" ht="15" customHeight="1" x14ac:dyDescent="0.25"/>
    <row r="616" s="79" customFormat="1" ht="15" customHeight="1" x14ac:dyDescent="0.25"/>
    <row r="617" s="79" customFormat="1" ht="15" customHeight="1" x14ac:dyDescent="0.25"/>
    <row r="618" s="79" customFormat="1" ht="15" customHeight="1" x14ac:dyDescent="0.25"/>
    <row r="619" s="79" customFormat="1" ht="15" customHeight="1" x14ac:dyDescent="0.25"/>
    <row r="620" s="79" customFormat="1" ht="15" customHeight="1" x14ac:dyDescent="0.25"/>
    <row r="621" s="79" customFormat="1" ht="15" customHeight="1" x14ac:dyDescent="0.25"/>
    <row r="622" s="79" customFormat="1" ht="15" customHeight="1" x14ac:dyDescent="0.25"/>
    <row r="623" s="79" customFormat="1" ht="15" customHeight="1" x14ac:dyDescent="0.25"/>
    <row r="624" s="79" customFormat="1" ht="15" customHeight="1" x14ac:dyDescent="0.25"/>
    <row r="625" s="79" customFormat="1" ht="15" customHeight="1" x14ac:dyDescent="0.25"/>
    <row r="626" s="79" customFormat="1" ht="15" customHeight="1" x14ac:dyDescent="0.25"/>
    <row r="627" s="79" customFormat="1" ht="15" customHeight="1" x14ac:dyDescent="0.25"/>
    <row r="628" s="79" customFormat="1" ht="15" customHeight="1" x14ac:dyDescent="0.25"/>
    <row r="629" s="79" customFormat="1" ht="15" customHeight="1" x14ac:dyDescent="0.25"/>
    <row r="630" s="79" customFormat="1" ht="15" customHeight="1" x14ac:dyDescent="0.25"/>
    <row r="631" s="79" customFormat="1" ht="15" customHeight="1" x14ac:dyDescent="0.25"/>
    <row r="632" s="79" customFormat="1" ht="15" customHeight="1" x14ac:dyDescent="0.25"/>
    <row r="633" s="79" customFormat="1" ht="15" customHeight="1" x14ac:dyDescent="0.25"/>
    <row r="634" s="79" customFormat="1" ht="15" customHeight="1" x14ac:dyDescent="0.25"/>
    <row r="635" s="79" customFormat="1" ht="15" customHeight="1" x14ac:dyDescent="0.25"/>
    <row r="636" s="79" customFormat="1" ht="15" customHeight="1" x14ac:dyDescent="0.25"/>
    <row r="637" s="79" customFormat="1" ht="15" customHeight="1" x14ac:dyDescent="0.25"/>
    <row r="638" s="79" customFormat="1" ht="15" customHeight="1" x14ac:dyDescent="0.25"/>
    <row r="639" s="79" customFormat="1" ht="15" customHeight="1" x14ac:dyDescent="0.25"/>
    <row r="640" s="79" customFormat="1" ht="15" customHeight="1" x14ac:dyDescent="0.25"/>
    <row r="641" s="79" customFormat="1" ht="15" customHeight="1" x14ac:dyDescent="0.25"/>
    <row r="642" s="79" customFormat="1" ht="15" customHeight="1" x14ac:dyDescent="0.25"/>
    <row r="643" s="79" customFormat="1" ht="15" customHeight="1" x14ac:dyDescent="0.25"/>
    <row r="644" s="79" customFormat="1" ht="15" customHeight="1" x14ac:dyDescent="0.25"/>
    <row r="645" s="79" customFormat="1" ht="15" customHeight="1" x14ac:dyDescent="0.25"/>
    <row r="646" s="79" customFormat="1" ht="15" customHeight="1" x14ac:dyDescent="0.25"/>
    <row r="647" s="79" customFormat="1" ht="15" customHeight="1" x14ac:dyDescent="0.25"/>
    <row r="648" s="79" customFormat="1" ht="15" customHeight="1" x14ac:dyDescent="0.25"/>
    <row r="649" s="79" customFormat="1" ht="15" customHeight="1" x14ac:dyDescent="0.25"/>
    <row r="650" s="79" customFormat="1" ht="15" customHeight="1" x14ac:dyDescent="0.25"/>
    <row r="651" s="79" customFormat="1" ht="15" customHeight="1" x14ac:dyDescent="0.25"/>
    <row r="652" s="79" customFormat="1" ht="15" customHeight="1" x14ac:dyDescent="0.25"/>
    <row r="653" s="79" customFormat="1" ht="15" customHeight="1" x14ac:dyDescent="0.25"/>
    <row r="654" s="79" customFormat="1" ht="15" customHeight="1" x14ac:dyDescent="0.25"/>
    <row r="655" s="79" customFormat="1" ht="15" customHeight="1" x14ac:dyDescent="0.25"/>
    <row r="656" s="79" customFormat="1" ht="15" customHeight="1" x14ac:dyDescent="0.25"/>
    <row r="657" s="79" customFormat="1" ht="15" customHeight="1" x14ac:dyDescent="0.25"/>
    <row r="658" s="79" customFormat="1" ht="15" customHeight="1" x14ac:dyDescent="0.25"/>
    <row r="659" s="79" customFormat="1" ht="15" customHeight="1" x14ac:dyDescent="0.25"/>
    <row r="660" s="79" customFormat="1" ht="15" customHeight="1" x14ac:dyDescent="0.25"/>
    <row r="661" s="79" customFormat="1" ht="15" customHeight="1" x14ac:dyDescent="0.25"/>
    <row r="662" s="79" customFormat="1" ht="15" customHeight="1" x14ac:dyDescent="0.25"/>
    <row r="663" s="79" customFormat="1" ht="15" customHeight="1" x14ac:dyDescent="0.25"/>
    <row r="664" s="79" customFormat="1" ht="15" customHeight="1" x14ac:dyDescent="0.25"/>
    <row r="665" s="79" customFormat="1" ht="15" customHeight="1" x14ac:dyDescent="0.25"/>
    <row r="666" s="79" customFormat="1" ht="15" customHeight="1" x14ac:dyDescent="0.25"/>
    <row r="667" s="79" customFormat="1" ht="15" customHeight="1" x14ac:dyDescent="0.25"/>
    <row r="668" s="79" customFormat="1" ht="15" customHeight="1" x14ac:dyDescent="0.25"/>
    <row r="669" s="79" customFormat="1" ht="15" customHeight="1" x14ac:dyDescent="0.25"/>
    <row r="670" s="79" customFormat="1" ht="15" customHeight="1" x14ac:dyDescent="0.25"/>
    <row r="671" s="79" customFormat="1" ht="15" customHeight="1" x14ac:dyDescent="0.25"/>
    <row r="672" s="79" customFormat="1" ht="15" customHeight="1" x14ac:dyDescent="0.25"/>
    <row r="673" s="79" customFormat="1" ht="15" customHeight="1" x14ac:dyDescent="0.25"/>
    <row r="674" s="79" customFormat="1" ht="15" customHeight="1" x14ac:dyDescent="0.25"/>
    <row r="675" s="79" customFormat="1" ht="15" customHeight="1" x14ac:dyDescent="0.25"/>
    <row r="676" s="79" customFormat="1" ht="15" customHeight="1" x14ac:dyDescent="0.25"/>
    <row r="677" s="79" customFormat="1" ht="15" customHeight="1" x14ac:dyDescent="0.25"/>
    <row r="678" s="79" customFormat="1" ht="15" customHeight="1" x14ac:dyDescent="0.25"/>
    <row r="679" s="79" customFormat="1" ht="15" customHeight="1" x14ac:dyDescent="0.25"/>
    <row r="680" s="79" customFormat="1" ht="15" customHeight="1" x14ac:dyDescent="0.25"/>
    <row r="681" s="79" customFormat="1" ht="15" customHeight="1" x14ac:dyDescent="0.25"/>
    <row r="682" s="79" customFormat="1" ht="15" customHeight="1" x14ac:dyDescent="0.25"/>
    <row r="683" s="79" customFormat="1" ht="15" customHeight="1" x14ac:dyDescent="0.25"/>
    <row r="684" s="79" customFormat="1" ht="15" customHeight="1" x14ac:dyDescent="0.25"/>
    <row r="685" s="79" customFormat="1" ht="15" customHeight="1" x14ac:dyDescent="0.25"/>
    <row r="686" s="79" customFormat="1" ht="15" customHeight="1" x14ac:dyDescent="0.25"/>
    <row r="687" s="79" customFormat="1" ht="15" customHeight="1" x14ac:dyDescent="0.25"/>
    <row r="688" s="79" customFormat="1" ht="15" customHeight="1" x14ac:dyDescent="0.25"/>
    <row r="689" s="79" customFormat="1" ht="15" customHeight="1" x14ac:dyDescent="0.25"/>
    <row r="690" s="79" customFormat="1" ht="15" customHeight="1" x14ac:dyDescent="0.25"/>
    <row r="691" s="79" customFormat="1" ht="15" customHeight="1" x14ac:dyDescent="0.25"/>
    <row r="692" s="79" customFormat="1" ht="15" customHeight="1" x14ac:dyDescent="0.25"/>
    <row r="693" s="79" customFormat="1" ht="15" customHeight="1" x14ac:dyDescent="0.25"/>
    <row r="694" s="79" customFormat="1" ht="15" customHeight="1" x14ac:dyDescent="0.25"/>
    <row r="695" s="79" customFormat="1" ht="15" customHeight="1" x14ac:dyDescent="0.25"/>
    <row r="696" s="79" customFormat="1" ht="15" customHeight="1" x14ac:dyDescent="0.25"/>
    <row r="697" s="79" customFormat="1" ht="15" customHeight="1" x14ac:dyDescent="0.25"/>
    <row r="698" s="79" customFormat="1" ht="15" customHeight="1" x14ac:dyDescent="0.25"/>
    <row r="699" s="79" customFormat="1" ht="15" customHeight="1" x14ac:dyDescent="0.25"/>
    <row r="700" s="79" customFormat="1" ht="15" customHeight="1" x14ac:dyDescent="0.25"/>
    <row r="701" s="79" customFormat="1" ht="15" customHeight="1" x14ac:dyDescent="0.25"/>
    <row r="702" s="79" customFormat="1" ht="15" customHeight="1" x14ac:dyDescent="0.25"/>
    <row r="703" s="79" customFormat="1" ht="15" customHeight="1" x14ac:dyDescent="0.25"/>
    <row r="704" s="79" customFormat="1" ht="15" customHeight="1" x14ac:dyDescent="0.25"/>
    <row r="705" s="79" customFormat="1" ht="15" customHeight="1" x14ac:dyDescent="0.25"/>
    <row r="706" s="79" customFormat="1" ht="15" customHeight="1" x14ac:dyDescent="0.25"/>
    <row r="707" s="79" customFormat="1" ht="15" customHeight="1" x14ac:dyDescent="0.25"/>
    <row r="708" s="79" customFormat="1" ht="15" customHeight="1" x14ac:dyDescent="0.25"/>
    <row r="709" s="79" customFormat="1" ht="15" customHeight="1" x14ac:dyDescent="0.25"/>
    <row r="710" s="79" customFormat="1" ht="15" customHeight="1" x14ac:dyDescent="0.25"/>
    <row r="711" s="79" customFormat="1" ht="15" customHeight="1" x14ac:dyDescent="0.25"/>
    <row r="712" s="79" customFormat="1" ht="15" customHeight="1" x14ac:dyDescent="0.25"/>
    <row r="713" s="79" customFormat="1" ht="15" customHeight="1" x14ac:dyDescent="0.25"/>
    <row r="714" s="79" customFormat="1" ht="15" customHeight="1" x14ac:dyDescent="0.25"/>
    <row r="715" s="79" customFormat="1" ht="15" customHeight="1" x14ac:dyDescent="0.25"/>
    <row r="716" s="79" customFormat="1" ht="15" customHeight="1" x14ac:dyDescent="0.25"/>
    <row r="717" s="79" customFormat="1" ht="15" customHeight="1" x14ac:dyDescent="0.25"/>
    <row r="718" s="79" customFormat="1" ht="15" customHeight="1" x14ac:dyDescent="0.25"/>
    <row r="719" s="79" customFormat="1" ht="15" customHeight="1" x14ac:dyDescent="0.25"/>
    <row r="720" s="79" customFormat="1" ht="15" customHeight="1" x14ac:dyDescent="0.25"/>
    <row r="721" s="79" customFormat="1" ht="15" customHeight="1" x14ac:dyDescent="0.25"/>
    <row r="722" s="79" customFormat="1" ht="15" customHeight="1" x14ac:dyDescent="0.25"/>
    <row r="723" s="79" customFormat="1" ht="15" customHeight="1" x14ac:dyDescent="0.25"/>
    <row r="724" s="79" customFormat="1" ht="15" customHeight="1" x14ac:dyDescent="0.25"/>
    <row r="725" s="79" customFormat="1" ht="15" customHeight="1" x14ac:dyDescent="0.25"/>
    <row r="726" s="79" customFormat="1" ht="15" customHeight="1" x14ac:dyDescent="0.25"/>
    <row r="727" s="79" customFormat="1" ht="15" customHeight="1" x14ac:dyDescent="0.25"/>
    <row r="728" s="79" customFormat="1" ht="15" customHeight="1" x14ac:dyDescent="0.25"/>
    <row r="729" s="79" customFormat="1" ht="15" customHeight="1" x14ac:dyDescent="0.25"/>
    <row r="730" s="79" customFormat="1" ht="15" customHeight="1" x14ac:dyDescent="0.25"/>
    <row r="731" s="79" customFormat="1" ht="15" customHeight="1" x14ac:dyDescent="0.25"/>
    <row r="732" s="79" customFormat="1" ht="15" customHeight="1" x14ac:dyDescent="0.25"/>
    <row r="733" s="79" customFormat="1" ht="15" customHeight="1" x14ac:dyDescent="0.25"/>
    <row r="734" s="79" customFormat="1" ht="15" customHeight="1" x14ac:dyDescent="0.25"/>
    <row r="735" s="79" customFormat="1" ht="15" customHeight="1" x14ac:dyDescent="0.25"/>
    <row r="736" s="79" customFormat="1" ht="15" customHeight="1" x14ac:dyDescent="0.25"/>
    <row r="737" s="79" customFormat="1" ht="15" customHeight="1" x14ac:dyDescent="0.25"/>
    <row r="738" s="79" customFormat="1" ht="15" customHeight="1" x14ac:dyDescent="0.25"/>
    <row r="739" s="79" customFormat="1" ht="15" customHeight="1" x14ac:dyDescent="0.25"/>
    <row r="740" s="79" customFormat="1" ht="15" customHeight="1" x14ac:dyDescent="0.25"/>
    <row r="741" s="79" customFormat="1" ht="15" customHeight="1" x14ac:dyDescent="0.25"/>
    <row r="742" s="79" customFormat="1" ht="15" customHeight="1" x14ac:dyDescent="0.25"/>
    <row r="743" s="79" customFormat="1" ht="15" customHeight="1" x14ac:dyDescent="0.25"/>
    <row r="744" s="79" customFormat="1" ht="15" customHeight="1" x14ac:dyDescent="0.25"/>
    <row r="745" s="79" customFormat="1" ht="15" customHeight="1" x14ac:dyDescent="0.25"/>
    <row r="746" s="79" customFormat="1" ht="15" customHeight="1" x14ac:dyDescent="0.25"/>
    <row r="747" s="79" customFormat="1" ht="15" customHeight="1" x14ac:dyDescent="0.25"/>
    <row r="748" s="79" customFormat="1" ht="15" customHeight="1" x14ac:dyDescent="0.25"/>
    <row r="749" s="79" customFormat="1" ht="15" customHeight="1" x14ac:dyDescent="0.25"/>
    <row r="750" s="79" customFormat="1" ht="15" customHeight="1" x14ac:dyDescent="0.25"/>
    <row r="751" s="79" customFormat="1" ht="15" customHeight="1" x14ac:dyDescent="0.25"/>
    <row r="752" s="79" customFormat="1" ht="15" customHeight="1" x14ac:dyDescent="0.25"/>
    <row r="753" s="79" customFormat="1" ht="15" customHeight="1" x14ac:dyDescent="0.25"/>
    <row r="754" s="79" customFormat="1" ht="15" customHeight="1" x14ac:dyDescent="0.25"/>
    <row r="755" s="79" customFormat="1" ht="15" customHeight="1" x14ac:dyDescent="0.25"/>
    <row r="756" s="79" customFormat="1" ht="15" customHeight="1" x14ac:dyDescent="0.25"/>
    <row r="757" s="79" customFormat="1" ht="15" customHeight="1" x14ac:dyDescent="0.25"/>
    <row r="758" s="79" customFormat="1" ht="15" customHeight="1" x14ac:dyDescent="0.25"/>
    <row r="759" s="79" customFormat="1" ht="15" customHeight="1" x14ac:dyDescent="0.25"/>
    <row r="760" s="79" customFormat="1" ht="15" customHeight="1" x14ac:dyDescent="0.25"/>
    <row r="761" s="79" customFormat="1" ht="15" customHeight="1" x14ac:dyDescent="0.25"/>
    <row r="762" s="79" customFormat="1" ht="15" customHeight="1" x14ac:dyDescent="0.25"/>
    <row r="763" s="79" customFormat="1" ht="15" customHeight="1" x14ac:dyDescent="0.25"/>
    <row r="764" s="79" customFormat="1" ht="15" customHeight="1" x14ac:dyDescent="0.25"/>
    <row r="765" s="79" customFormat="1" ht="15" customHeight="1" x14ac:dyDescent="0.25"/>
    <row r="766" s="79" customFormat="1" ht="15" customHeight="1" x14ac:dyDescent="0.25"/>
    <row r="767" s="79" customFormat="1" ht="15" customHeight="1" x14ac:dyDescent="0.25"/>
    <row r="768" s="79" customFormat="1" ht="15" customHeight="1" x14ac:dyDescent="0.25"/>
    <row r="769" s="79" customFormat="1" ht="15" customHeight="1" x14ac:dyDescent="0.25"/>
    <row r="770" s="79" customFormat="1" ht="15" customHeight="1" x14ac:dyDescent="0.25"/>
    <row r="771" s="79" customFormat="1" ht="15" customHeight="1" x14ac:dyDescent="0.25"/>
    <row r="772" s="79" customFormat="1" ht="15" customHeight="1" x14ac:dyDescent="0.25"/>
    <row r="773" s="79" customFormat="1" ht="15" customHeight="1" x14ac:dyDescent="0.25"/>
    <row r="774" s="79" customFormat="1" ht="15" customHeight="1" x14ac:dyDescent="0.25"/>
    <row r="775" s="79" customFormat="1" ht="15" customHeight="1" x14ac:dyDescent="0.25"/>
    <row r="776" s="79" customFormat="1" ht="15" customHeight="1" x14ac:dyDescent="0.25"/>
    <row r="777" s="79" customFormat="1" ht="15" customHeight="1" x14ac:dyDescent="0.25"/>
    <row r="778" s="79" customFormat="1" ht="15" customHeight="1" x14ac:dyDescent="0.25"/>
    <row r="779" s="79" customFormat="1" ht="15" customHeight="1" x14ac:dyDescent="0.25"/>
    <row r="780" s="79" customFormat="1" ht="15" customHeight="1" x14ac:dyDescent="0.25"/>
    <row r="781" s="79" customFormat="1" ht="15" customHeight="1" x14ac:dyDescent="0.25"/>
    <row r="782" s="79" customFormat="1" ht="15" customHeight="1" x14ac:dyDescent="0.25"/>
    <row r="783" s="79" customFormat="1" ht="15" customHeight="1" x14ac:dyDescent="0.25"/>
    <row r="784" s="79" customFormat="1" ht="15" customHeight="1" x14ac:dyDescent="0.25"/>
    <row r="785" s="79" customFormat="1" ht="15" customHeight="1" x14ac:dyDescent="0.25"/>
    <row r="786" s="79" customFormat="1" ht="15" customHeight="1" x14ac:dyDescent="0.25"/>
    <row r="787" s="79" customFormat="1" ht="15" customHeight="1" x14ac:dyDescent="0.25"/>
    <row r="788" s="79" customFormat="1" ht="15" customHeight="1" x14ac:dyDescent="0.25"/>
    <row r="789" s="79" customFormat="1" ht="15" customHeight="1" x14ac:dyDescent="0.25"/>
    <row r="790" s="79" customFormat="1" ht="15" customHeight="1" x14ac:dyDescent="0.25"/>
    <row r="791" s="79" customFormat="1" ht="15" customHeight="1" x14ac:dyDescent="0.25"/>
    <row r="792" s="79" customFormat="1" ht="15" customHeight="1" x14ac:dyDescent="0.25"/>
    <row r="793" s="79" customFormat="1" ht="15" customHeight="1" x14ac:dyDescent="0.25"/>
    <row r="794" s="79" customFormat="1" ht="15" customHeight="1" x14ac:dyDescent="0.25"/>
    <row r="795" s="79" customFormat="1" ht="15" customHeight="1" x14ac:dyDescent="0.25"/>
    <row r="796" s="79" customFormat="1" ht="15" customHeight="1" x14ac:dyDescent="0.25"/>
    <row r="797" s="79" customFormat="1" ht="15" customHeight="1" x14ac:dyDescent="0.25"/>
    <row r="798" s="79" customFormat="1" ht="15" customHeight="1" x14ac:dyDescent="0.25"/>
    <row r="799" s="79" customFormat="1" ht="15" customHeight="1" x14ac:dyDescent="0.25"/>
    <row r="800" s="79" customFormat="1" ht="15" customHeight="1" x14ac:dyDescent="0.25"/>
    <row r="801" s="79" customFormat="1" ht="15" customHeight="1" x14ac:dyDescent="0.25"/>
    <row r="802" s="79" customFormat="1" ht="15" customHeight="1" x14ac:dyDescent="0.25"/>
    <row r="803" s="79" customFormat="1" ht="15" customHeight="1" x14ac:dyDescent="0.25"/>
    <row r="804" s="79" customFormat="1" ht="15" customHeight="1" x14ac:dyDescent="0.25"/>
    <row r="805" s="79" customFormat="1" ht="15" customHeight="1" x14ac:dyDescent="0.25"/>
    <row r="806" s="79" customFormat="1" ht="15" customHeight="1" x14ac:dyDescent="0.25"/>
    <row r="807" s="79" customFormat="1" ht="15" customHeight="1" x14ac:dyDescent="0.25"/>
    <row r="808" s="79" customFormat="1" ht="15" customHeight="1" x14ac:dyDescent="0.25"/>
    <row r="809" s="79" customFormat="1" ht="15" customHeight="1" x14ac:dyDescent="0.25"/>
    <row r="810" s="79" customFormat="1" ht="15" customHeight="1" x14ac:dyDescent="0.25"/>
    <row r="811" s="79" customFormat="1" ht="15" customHeight="1" x14ac:dyDescent="0.25"/>
    <row r="812" s="79" customFormat="1" ht="15" customHeight="1" x14ac:dyDescent="0.25"/>
    <row r="813" s="79" customFormat="1" ht="15" customHeight="1" x14ac:dyDescent="0.25"/>
    <row r="814" s="79" customFormat="1" ht="15" customHeight="1" x14ac:dyDescent="0.25"/>
    <row r="815" s="79" customFormat="1" ht="15" customHeight="1" x14ac:dyDescent="0.25"/>
    <row r="816" s="79" customFormat="1" ht="15" customHeight="1" x14ac:dyDescent="0.25"/>
    <row r="817" s="79" customFormat="1" ht="15" customHeight="1" x14ac:dyDescent="0.25"/>
    <row r="818" s="79" customFormat="1" ht="15" customHeight="1" x14ac:dyDescent="0.25"/>
    <row r="819" s="79" customFormat="1" ht="15" customHeight="1" x14ac:dyDescent="0.25"/>
    <row r="820" s="79" customFormat="1" ht="15" customHeight="1" x14ac:dyDescent="0.25"/>
    <row r="821" s="79" customFormat="1" ht="15" customHeight="1" x14ac:dyDescent="0.25"/>
    <row r="822" s="79" customFormat="1" ht="15" customHeight="1" x14ac:dyDescent="0.25"/>
    <row r="823" s="79" customFormat="1" ht="15" customHeight="1" x14ac:dyDescent="0.25"/>
    <row r="824" s="79" customFormat="1" ht="15" customHeight="1" x14ac:dyDescent="0.25"/>
    <row r="825" s="79" customFormat="1" ht="15" customHeight="1" x14ac:dyDescent="0.25"/>
    <row r="826" s="79" customFormat="1" ht="15" customHeight="1" x14ac:dyDescent="0.25"/>
    <row r="827" s="79" customFormat="1" ht="15" customHeight="1" x14ac:dyDescent="0.25"/>
    <row r="828" s="79" customFormat="1" ht="15" customHeight="1" x14ac:dyDescent="0.25"/>
    <row r="829" s="79" customFormat="1" ht="15" customHeight="1" x14ac:dyDescent="0.25"/>
    <row r="830" s="79" customFormat="1" ht="15" customHeight="1" x14ac:dyDescent="0.25"/>
    <row r="831" s="79" customFormat="1" ht="15" customHeight="1" x14ac:dyDescent="0.25"/>
    <row r="832" s="79" customFormat="1" ht="15" customHeight="1" x14ac:dyDescent="0.25"/>
    <row r="833" s="79" customFormat="1" ht="15" customHeight="1" x14ac:dyDescent="0.25"/>
    <row r="834" s="79" customFormat="1" ht="15" customHeight="1" x14ac:dyDescent="0.25"/>
    <row r="835" s="79" customFormat="1" ht="15" customHeight="1" x14ac:dyDescent="0.25"/>
    <row r="836" s="79" customFormat="1" ht="15" customHeight="1" x14ac:dyDescent="0.25"/>
    <row r="837" s="79" customFormat="1" ht="15" customHeight="1" x14ac:dyDescent="0.25"/>
    <row r="838" s="79" customFormat="1" ht="15" customHeight="1" x14ac:dyDescent="0.25"/>
    <row r="839" s="79" customFormat="1" ht="15" customHeight="1" x14ac:dyDescent="0.25"/>
    <row r="840" s="79" customFormat="1" ht="15" customHeight="1" x14ac:dyDescent="0.25"/>
    <row r="841" s="79" customFormat="1" ht="15" customHeight="1" x14ac:dyDescent="0.25"/>
    <row r="842" s="79" customFormat="1" ht="15" customHeight="1" x14ac:dyDescent="0.25"/>
    <row r="843" s="79" customFormat="1" ht="15" customHeight="1" x14ac:dyDescent="0.25"/>
    <row r="844" s="79" customFormat="1" ht="15" customHeight="1" x14ac:dyDescent="0.25"/>
    <row r="845" s="79" customFormat="1" ht="15" customHeight="1" x14ac:dyDescent="0.25"/>
    <row r="846" s="79" customFormat="1" ht="15" customHeight="1" x14ac:dyDescent="0.25"/>
    <row r="847" s="79" customFormat="1" ht="15" customHeight="1" x14ac:dyDescent="0.25"/>
    <row r="848" s="79" customFormat="1" ht="15" customHeight="1" x14ac:dyDescent="0.25"/>
    <row r="849" s="79" customFormat="1" ht="15" customHeight="1" x14ac:dyDescent="0.25"/>
    <row r="850" s="79" customFormat="1" ht="15" customHeight="1" x14ac:dyDescent="0.25"/>
    <row r="851" s="79" customFormat="1" ht="15" customHeight="1" x14ac:dyDescent="0.25"/>
    <row r="852" s="79" customFormat="1" ht="15" customHeight="1" x14ac:dyDescent="0.25"/>
    <row r="853" s="79" customFormat="1" ht="15" customHeight="1" x14ac:dyDescent="0.25"/>
    <row r="854" s="79" customFormat="1" ht="15" customHeight="1" x14ac:dyDescent="0.25"/>
    <row r="855" s="79" customFormat="1" ht="15" customHeight="1" x14ac:dyDescent="0.25"/>
    <row r="856" s="79" customFormat="1" ht="15" customHeight="1" x14ac:dyDescent="0.25"/>
    <row r="857" s="79" customFormat="1" ht="15" customHeight="1" x14ac:dyDescent="0.25"/>
    <row r="858" s="79" customFormat="1" ht="15" customHeight="1" x14ac:dyDescent="0.25"/>
    <row r="859" s="79" customFormat="1" ht="15" customHeight="1" x14ac:dyDescent="0.25"/>
    <row r="860" s="79" customFormat="1" ht="15" customHeight="1" x14ac:dyDescent="0.25"/>
    <row r="861" s="79" customFormat="1" ht="15" customHeight="1" x14ac:dyDescent="0.25"/>
    <row r="862" s="79" customFormat="1" ht="15" customHeight="1" x14ac:dyDescent="0.25"/>
    <row r="863" s="79" customFormat="1" ht="15" customHeight="1" x14ac:dyDescent="0.25"/>
    <row r="864" s="79" customFormat="1" ht="15" customHeight="1" x14ac:dyDescent="0.25"/>
    <row r="865" s="79" customFormat="1" ht="15" customHeight="1" x14ac:dyDescent="0.25"/>
    <row r="866" s="79" customFormat="1" ht="15" customHeight="1" x14ac:dyDescent="0.25"/>
    <row r="867" s="79" customFormat="1" ht="15" customHeight="1" x14ac:dyDescent="0.25"/>
    <row r="868" s="79" customFormat="1" ht="15" customHeight="1" x14ac:dyDescent="0.25"/>
    <row r="869" s="79" customFormat="1" ht="15" customHeight="1" x14ac:dyDescent="0.25"/>
    <row r="870" s="79" customFormat="1" ht="15" customHeight="1" x14ac:dyDescent="0.25"/>
    <row r="871" s="79" customFormat="1" ht="15" customHeight="1" x14ac:dyDescent="0.25"/>
    <row r="872" s="79" customFormat="1" ht="15" customHeight="1" x14ac:dyDescent="0.25"/>
    <row r="873" s="79" customFormat="1" ht="15" customHeight="1" x14ac:dyDescent="0.25"/>
    <row r="874" s="79" customFormat="1" ht="15" customHeight="1" x14ac:dyDescent="0.25"/>
    <row r="875" s="79" customFormat="1" ht="15" customHeight="1" x14ac:dyDescent="0.25"/>
    <row r="876" s="79" customFormat="1" ht="15" customHeight="1" x14ac:dyDescent="0.25"/>
    <row r="877" s="79" customFormat="1" ht="15" customHeight="1" x14ac:dyDescent="0.25"/>
    <row r="878" s="79" customFormat="1" ht="15" customHeight="1" x14ac:dyDescent="0.25"/>
    <row r="879" s="79" customFormat="1" ht="15" customHeight="1" x14ac:dyDescent="0.25"/>
    <row r="880" s="79" customFormat="1" ht="15" customHeight="1" x14ac:dyDescent="0.25"/>
    <row r="881" s="79" customFormat="1" ht="15" customHeight="1" x14ac:dyDescent="0.25"/>
    <row r="882" s="79" customFormat="1" ht="15" customHeight="1" x14ac:dyDescent="0.25"/>
    <row r="883" s="79" customFormat="1" ht="15" customHeight="1" x14ac:dyDescent="0.25"/>
    <row r="884" s="79" customFormat="1" ht="15" customHeight="1" x14ac:dyDescent="0.25"/>
    <row r="885" s="79" customFormat="1" ht="15" customHeight="1" x14ac:dyDescent="0.25"/>
    <row r="886" s="79" customFormat="1" ht="15" customHeight="1" x14ac:dyDescent="0.25"/>
    <row r="887" s="79" customFormat="1" ht="15" customHeight="1" x14ac:dyDescent="0.25"/>
    <row r="888" s="79" customFormat="1" ht="15" customHeight="1" x14ac:dyDescent="0.25"/>
    <row r="889" s="79" customFormat="1" ht="15" customHeight="1" x14ac:dyDescent="0.25"/>
    <row r="890" s="79" customFormat="1" ht="15" customHeight="1" x14ac:dyDescent="0.25"/>
    <row r="891" s="79" customFormat="1" ht="15" customHeight="1" x14ac:dyDescent="0.25"/>
    <row r="892" s="79" customFormat="1" ht="15" customHeight="1" x14ac:dyDescent="0.25"/>
    <row r="893" s="79" customFormat="1" ht="15" customHeight="1" x14ac:dyDescent="0.25"/>
    <row r="894" s="79" customFormat="1" ht="15" customHeight="1" x14ac:dyDescent="0.25"/>
    <row r="895" s="79" customFormat="1" ht="15" customHeight="1" x14ac:dyDescent="0.25"/>
    <row r="896" s="79" customFormat="1" ht="15" customHeight="1" x14ac:dyDescent="0.25"/>
    <row r="897" s="79" customFormat="1" ht="15" customHeight="1" x14ac:dyDescent="0.25"/>
    <row r="898" s="79" customFormat="1" ht="15" customHeight="1" x14ac:dyDescent="0.25"/>
    <row r="899" s="79" customFormat="1" ht="15" customHeight="1" x14ac:dyDescent="0.25"/>
    <row r="900" s="79" customFormat="1" ht="15" customHeight="1" x14ac:dyDescent="0.25"/>
    <row r="901" s="79" customFormat="1" ht="15" customHeight="1" x14ac:dyDescent="0.25"/>
    <row r="902" s="79" customFormat="1" ht="15" customHeight="1" x14ac:dyDescent="0.25"/>
    <row r="903" s="79" customFormat="1" ht="15" customHeight="1" x14ac:dyDescent="0.25"/>
    <row r="904" s="79" customFormat="1" ht="15" customHeight="1" x14ac:dyDescent="0.25"/>
    <row r="905" s="79" customFormat="1" ht="15" customHeight="1" x14ac:dyDescent="0.25"/>
    <row r="906" s="79" customFormat="1" ht="15" customHeight="1" x14ac:dyDescent="0.25"/>
    <row r="907" s="79" customFormat="1" ht="15" customHeight="1" x14ac:dyDescent="0.25"/>
    <row r="908" s="79" customFormat="1" ht="15" customHeight="1" x14ac:dyDescent="0.25"/>
    <row r="909" s="79" customFormat="1" ht="15" customHeight="1" x14ac:dyDescent="0.25"/>
    <row r="910" s="79" customFormat="1" ht="15" customHeight="1" x14ac:dyDescent="0.25"/>
    <row r="911" s="79" customFormat="1" ht="15" customHeight="1" x14ac:dyDescent="0.25"/>
    <row r="912" s="79" customFormat="1" ht="15" customHeight="1" x14ac:dyDescent="0.25"/>
    <row r="913" s="79" customFormat="1" ht="15" customHeight="1" x14ac:dyDescent="0.25"/>
    <row r="914" s="79" customFormat="1" ht="15" customHeight="1" x14ac:dyDescent="0.25"/>
    <row r="915" s="79" customFormat="1" ht="15" customHeight="1" x14ac:dyDescent="0.25"/>
    <row r="916" s="79" customFormat="1" ht="15" customHeight="1" x14ac:dyDescent="0.25"/>
    <row r="917" s="79" customFormat="1" ht="15" customHeight="1" x14ac:dyDescent="0.25"/>
    <row r="918" s="79" customFormat="1" ht="15" customHeight="1" x14ac:dyDescent="0.25"/>
    <row r="919" s="79" customFormat="1" ht="15" customHeight="1" x14ac:dyDescent="0.25"/>
    <row r="920" s="79" customFormat="1" ht="15" customHeight="1" x14ac:dyDescent="0.25"/>
    <row r="921" s="79" customFormat="1" ht="15" customHeight="1" x14ac:dyDescent="0.25"/>
    <row r="922" s="79" customFormat="1" ht="15" customHeight="1" x14ac:dyDescent="0.25"/>
    <row r="923" s="79" customFormat="1" ht="15" customHeight="1" x14ac:dyDescent="0.25"/>
    <row r="924" s="79" customFormat="1" ht="15" customHeight="1" x14ac:dyDescent="0.25"/>
    <row r="925" s="79" customFormat="1" ht="15" customHeight="1" x14ac:dyDescent="0.25"/>
    <row r="926" s="79" customFormat="1" ht="15" customHeight="1" x14ac:dyDescent="0.25"/>
    <row r="927" s="79" customFormat="1" ht="15" customHeight="1" x14ac:dyDescent="0.25"/>
    <row r="928" s="79" customFormat="1" ht="15" customHeight="1" x14ac:dyDescent="0.25"/>
    <row r="929" s="79" customFormat="1" ht="15" customHeight="1" x14ac:dyDescent="0.25"/>
    <row r="930" s="79" customFormat="1" ht="15" customHeight="1" x14ac:dyDescent="0.25"/>
    <row r="931" s="79" customFormat="1" ht="15" customHeight="1" x14ac:dyDescent="0.25"/>
    <row r="932" s="79" customFormat="1" ht="15" customHeight="1" x14ac:dyDescent="0.25"/>
    <row r="933" s="79" customFormat="1" ht="15" customHeight="1" x14ac:dyDescent="0.25"/>
    <row r="934" s="79" customFormat="1" ht="15" customHeight="1" x14ac:dyDescent="0.25"/>
    <row r="935" s="79" customFormat="1" ht="15" customHeight="1" x14ac:dyDescent="0.25"/>
    <row r="936" s="79" customFormat="1" ht="15" customHeight="1" x14ac:dyDescent="0.25"/>
    <row r="937" s="79" customFormat="1" ht="15" customHeight="1" x14ac:dyDescent="0.25"/>
    <row r="938" s="79" customFormat="1" ht="15" customHeight="1" x14ac:dyDescent="0.25"/>
    <row r="939" s="79" customFormat="1" ht="15" customHeight="1" x14ac:dyDescent="0.25"/>
    <row r="940" s="79" customFormat="1" ht="15" customHeight="1" x14ac:dyDescent="0.25"/>
    <row r="941" s="79" customFormat="1" ht="15" customHeight="1" x14ac:dyDescent="0.25"/>
    <row r="942" s="79" customFormat="1" ht="15" customHeight="1" x14ac:dyDescent="0.25"/>
    <row r="943" s="79" customFormat="1" ht="15" customHeight="1" x14ac:dyDescent="0.25"/>
    <row r="944" s="79" customFormat="1" ht="15" customHeight="1" x14ac:dyDescent="0.25"/>
    <row r="945" s="79" customFormat="1" ht="15" customHeight="1" x14ac:dyDescent="0.25"/>
    <row r="946" s="79" customFormat="1" ht="15" customHeight="1" x14ac:dyDescent="0.25"/>
    <row r="947" s="79" customFormat="1" ht="15" customHeight="1" x14ac:dyDescent="0.25"/>
    <row r="948" s="79" customFormat="1" ht="15" customHeight="1" x14ac:dyDescent="0.25"/>
    <row r="949" s="79" customFormat="1" ht="15" customHeight="1" x14ac:dyDescent="0.25"/>
    <row r="950" s="79" customFormat="1" ht="15" customHeight="1" x14ac:dyDescent="0.25"/>
    <row r="951" s="79" customFormat="1" ht="15" customHeight="1" x14ac:dyDescent="0.25"/>
    <row r="952" s="79" customFormat="1" ht="15" customHeight="1" x14ac:dyDescent="0.25"/>
    <row r="953" s="79" customFormat="1" ht="15" customHeight="1" x14ac:dyDescent="0.25"/>
    <row r="954" s="79" customFormat="1" ht="15" customHeight="1" x14ac:dyDescent="0.25"/>
    <row r="955" s="79" customFormat="1" ht="15" customHeight="1" x14ac:dyDescent="0.25"/>
    <row r="956" s="79" customFormat="1" ht="15" customHeight="1" x14ac:dyDescent="0.25"/>
    <row r="957" s="79" customFormat="1" ht="15" customHeight="1" x14ac:dyDescent="0.25"/>
    <row r="958" s="79" customFormat="1" ht="15" customHeight="1" x14ac:dyDescent="0.25"/>
    <row r="959" s="79" customFormat="1" ht="15" customHeight="1" x14ac:dyDescent="0.25"/>
    <row r="960" s="79" customFormat="1" ht="15" customHeight="1" x14ac:dyDescent="0.25"/>
    <row r="961" s="79" customFormat="1" ht="15" customHeight="1" x14ac:dyDescent="0.25"/>
    <row r="962" s="79" customFormat="1" ht="15" customHeight="1" x14ac:dyDescent="0.25"/>
    <row r="963" s="79" customFormat="1" ht="15" customHeight="1" x14ac:dyDescent="0.25"/>
    <row r="964" s="79" customFormat="1" ht="15" customHeight="1" x14ac:dyDescent="0.25"/>
    <row r="965" s="79" customFormat="1" ht="15" customHeight="1" x14ac:dyDescent="0.25"/>
    <row r="966" s="79" customFormat="1" ht="15" customHeight="1" x14ac:dyDescent="0.25"/>
    <row r="967" s="79" customFormat="1" ht="15" customHeight="1" x14ac:dyDescent="0.25"/>
    <row r="968" s="79" customFormat="1" ht="15" customHeight="1" x14ac:dyDescent="0.25"/>
    <row r="969" s="79" customFormat="1" ht="15" customHeight="1" x14ac:dyDescent="0.25"/>
    <row r="970" s="79" customFormat="1" ht="15" customHeight="1" x14ac:dyDescent="0.25"/>
    <row r="971" s="79" customFormat="1" ht="15" customHeight="1" x14ac:dyDescent="0.25"/>
    <row r="972" s="79" customFormat="1" ht="15" customHeight="1" x14ac:dyDescent="0.25"/>
    <row r="973" s="79" customFormat="1" ht="15" customHeight="1" x14ac:dyDescent="0.25"/>
    <row r="974" s="79" customFormat="1" ht="15" customHeight="1" x14ac:dyDescent="0.25"/>
    <row r="975" s="79" customFormat="1" ht="15" customHeight="1" x14ac:dyDescent="0.25"/>
    <row r="976" s="79" customFormat="1" ht="15" customHeight="1" x14ac:dyDescent="0.25"/>
    <row r="977" s="79" customFormat="1" ht="15" customHeight="1" x14ac:dyDescent="0.25"/>
    <row r="978" s="79" customFormat="1" ht="15" customHeight="1" x14ac:dyDescent="0.25"/>
    <row r="979" s="79" customFormat="1" ht="15" customHeight="1" x14ac:dyDescent="0.25"/>
    <row r="980" s="79" customFormat="1" ht="15" customHeight="1" x14ac:dyDescent="0.25"/>
    <row r="981" s="79" customFormat="1" ht="15" customHeight="1" x14ac:dyDescent="0.25"/>
    <row r="982" s="79" customFormat="1" ht="15" customHeight="1" x14ac:dyDescent="0.25"/>
    <row r="983" s="79" customFormat="1" ht="15" customHeight="1" x14ac:dyDescent="0.25"/>
    <row r="984" s="79" customFormat="1" ht="15" customHeight="1" x14ac:dyDescent="0.25"/>
    <row r="985" s="79" customFormat="1" ht="15" customHeight="1" x14ac:dyDescent="0.25"/>
    <row r="986" s="79" customFormat="1" ht="15" customHeight="1" x14ac:dyDescent="0.25"/>
    <row r="987" s="79" customFormat="1" ht="15" customHeight="1" x14ac:dyDescent="0.25"/>
    <row r="988" s="79" customFormat="1" ht="15" customHeight="1" x14ac:dyDescent="0.25"/>
    <row r="989" s="79" customFormat="1" ht="15" customHeight="1" x14ac:dyDescent="0.25"/>
    <row r="990" s="79" customFormat="1" ht="15" customHeight="1" x14ac:dyDescent="0.25"/>
    <row r="991" s="79" customFormat="1" ht="15" customHeight="1" x14ac:dyDescent="0.25"/>
    <row r="992" s="79" customFormat="1" ht="15" customHeight="1" x14ac:dyDescent="0.25"/>
    <row r="993" s="79" customFormat="1" ht="15" customHeight="1" x14ac:dyDescent="0.25"/>
    <row r="994" s="79" customFormat="1" ht="15" customHeight="1" x14ac:dyDescent="0.25"/>
    <row r="995" s="79" customFormat="1" ht="15" customHeight="1" x14ac:dyDescent="0.25"/>
    <row r="996" s="79" customFormat="1" ht="15" customHeight="1" x14ac:dyDescent="0.25"/>
    <row r="997" s="79" customFormat="1" ht="15" customHeight="1" x14ac:dyDescent="0.25"/>
    <row r="998" s="79" customFormat="1" ht="15" customHeight="1" x14ac:dyDescent="0.25"/>
    <row r="999" s="79" customFormat="1" ht="15" customHeight="1" x14ac:dyDescent="0.25"/>
    <row r="1000" s="79" customFormat="1" ht="15" customHeight="1" x14ac:dyDescent="0.25"/>
    <row r="1001" s="79" customFormat="1" ht="15" customHeight="1" x14ac:dyDescent="0.25"/>
    <row r="1002" s="79" customFormat="1" ht="15" customHeight="1" x14ac:dyDescent="0.25"/>
    <row r="1003" s="79" customFormat="1" ht="15" customHeight="1" x14ac:dyDescent="0.25"/>
    <row r="1004" s="79" customFormat="1" ht="15" customHeight="1" x14ac:dyDescent="0.25"/>
    <row r="1005" s="79" customFormat="1" ht="15" customHeight="1" x14ac:dyDescent="0.25"/>
    <row r="1006" s="79" customFormat="1" ht="15" customHeight="1" x14ac:dyDescent="0.25"/>
    <row r="1007" s="79" customFormat="1" ht="15" customHeight="1" x14ac:dyDescent="0.25"/>
    <row r="1008" s="79" customFormat="1" ht="15" customHeight="1" x14ac:dyDescent="0.25"/>
    <row r="1009" s="79" customFormat="1" ht="15" customHeight="1" x14ac:dyDescent="0.25"/>
    <row r="1010" s="79" customFormat="1" ht="15" customHeight="1" x14ac:dyDescent="0.25"/>
    <row r="1011" s="79" customFormat="1" ht="15" customHeight="1" x14ac:dyDescent="0.25"/>
    <row r="1012" s="79" customFormat="1" ht="15" customHeight="1" x14ac:dyDescent="0.25"/>
    <row r="1013" s="79" customFormat="1" ht="15" customHeight="1" x14ac:dyDescent="0.25"/>
    <row r="1014" s="79" customFormat="1" ht="15" customHeight="1" x14ac:dyDescent="0.25"/>
    <row r="1015" s="79" customFormat="1" ht="15" customHeight="1" x14ac:dyDescent="0.25"/>
    <row r="1016" s="79" customFormat="1" ht="15" customHeight="1" x14ac:dyDescent="0.25"/>
    <row r="1017" s="79" customFormat="1" ht="15" customHeight="1" x14ac:dyDescent="0.25"/>
    <row r="1018" s="79" customFormat="1" ht="15" customHeight="1" x14ac:dyDescent="0.25"/>
    <row r="1019" s="79" customFormat="1" ht="15" customHeight="1" x14ac:dyDescent="0.25"/>
    <row r="1020" s="79" customFormat="1" ht="15" customHeight="1" x14ac:dyDescent="0.25"/>
    <row r="1021" s="79" customFormat="1" ht="15" customHeight="1" x14ac:dyDescent="0.25"/>
    <row r="1022" s="79" customFormat="1" ht="15" customHeight="1" x14ac:dyDescent="0.25"/>
    <row r="1023" s="79" customFormat="1" ht="15" customHeight="1" x14ac:dyDescent="0.25"/>
    <row r="1024" s="79" customFormat="1" ht="15" customHeight="1" x14ac:dyDescent="0.25"/>
    <row r="1025" s="79" customFormat="1" ht="15" customHeight="1" x14ac:dyDescent="0.25"/>
    <row r="1026" s="79" customFormat="1" ht="15" customHeight="1" x14ac:dyDescent="0.25"/>
    <row r="1027" s="79" customFormat="1" ht="15" customHeight="1" x14ac:dyDescent="0.25"/>
    <row r="1028" s="79" customFormat="1" ht="15" customHeight="1" x14ac:dyDescent="0.25"/>
    <row r="1029" s="79" customFormat="1" ht="15" customHeight="1" x14ac:dyDescent="0.25"/>
    <row r="1030" s="79" customFormat="1" ht="15" customHeight="1" x14ac:dyDescent="0.25"/>
    <row r="1031" s="79" customFormat="1" ht="15" customHeight="1" x14ac:dyDescent="0.25"/>
    <row r="1032" s="79" customFormat="1" ht="15" customHeight="1" x14ac:dyDescent="0.25"/>
    <row r="1033" s="79" customFormat="1" ht="15" customHeight="1" x14ac:dyDescent="0.25"/>
    <row r="1034" s="79" customFormat="1" ht="15" customHeight="1" x14ac:dyDescent="0.25"/>
    <row r="1035" s="79" customFormat="1" ht="15" customHeight="1" x14ac:dyDescent="0.25"/>
    <row r="1036" s="79" customFormat="1" ht="15" customHeight="1" x14ac:dyDescent="0.25"/>
    <row r="1037" s="79" customFormat="1" ht="15" customHeight="1" x14ac:dyDescent="0.25"/>
    <row r="1038" s="79" customFormat="1" ht="15" customHeight="1" x14ac:dyDescent="0.25"/>
    <row r="1039" s="79" customFormat="1" ht="15" customHeight="1" x14ac:dyDescent="0.25"/>
    <row r="1040" s="79" customFormat="1" ht="15" customHeight="1" x14ac:dyDescent="0.25"/>
    <row r="1041" s="79" customFormat="1" ht="15" customHeight="1" x14ac:dyDescent="0.25"/>
    <row r="1042" s="79" customFormat="1" ht="15" customHeight="1" x14ac:dyDescent="0.25"/>
    <row r="1043" s="79" customFormat="1" ht="15" customHeight="1" x14ac:dyDescent="0.25"/>
    <row r="1044" s="79" customFormat="1" ht="15" customHeight="1" x14ac:dyDescent="0.25"/>
    <row r="1045" s="79" customFormat="1" ht="15" customHeight="1" x14ac:dyDescent="0.25"/>
    <row r="1046" s="79" customFormat="1" ht="15" customHeight="1" x14ac:dyDescent="0.25"/>
    <row r="1047" s="79" customFormat="1" ht="15" customHeight="1" x14ac:dyDescent="0.25"/>
    <row r="1048" s="79" customFormat="1" ht="15" customHeight="1" x14ac:dyDescent="0.25"/>
    <row r="1049" s="79" customFormat="1" ht="15" customHeight="1" x14ac:dyDescent="0.25"/>
    <row r="1050" s="79" customFormat="1" ht="15" customHeight="1" x14ac:dyDescent="0.25"/>
    <row r="1051" s="79" customFormat="1" ht="15" customHeight="1" x14ac:dyDescent="0.25"/>
    <row r="1052" s="79" customFormat="1" ht="15" customHeight="1" x14ac:dyDescent="0.25"/>
    <row r="1053" s="79" customFormat="1" ht="15" customHeight="1" x14ac:dyDescent="0.25"/>
    <row r="1054" s="79" customFormat="1" ht="15" customHeight="1" x14ac:dyDescent="0.25"/>
    <row r="1055" s="79" customFormat="1" ht="15" customHeight="1" x14ac:dyDescent="0.25"/>
    <row r="1056" s="79" customFormat="1" ht="15" customHeight="1" x14ac:dyDescent="0.25"/>
    <row r="1057" s="79" customFormat="1" ht="15" customHeight="1" x14ac:dyDescent="0.25"/>
    <row r="1058" s="79" customFormat="1" ht="15" customHeight="1" x14ac:dyDescent="0.25"/>
    <row r="1059" s="79" customFormat="1" ht="15" customHeight="1" x14ac:dyDescent="0.25"/>
    <row r="1060" s="79" customFormat="1" ht="15" customHeight="1" x14ac:dyDescent="0.25"/>
    <row r="1061" s="79" customFormat="1" ht="15" customHeight="1" x14ac:dyDescent="0.25"/>
    <row r="1062" s="79" customFormat="1" ht="15" customHeight="1" x14ac:dyDescent="0.25"/>
    <row r="1063" s="79" customFormat="1" ht="15" customHeight="1" x14ac:dyDescent="0.25"/>
    <row r="1064" s="79" customFormat="1" ht="15" customHeight="1" x14ac:dyDescent="0.25"/>
    <row r="1065" s="79" customFormat="1" ht="15" customHeight="1" x14ac:dyDescent="0.25"/>
    <row r="1066" s="79" customFormat="1" ht="15" customHeight="1" x14ac:dyDescent="0.25"/>
    <row r="1067" s="79" customFormat="1" ht="15" customHeight="1" x14ac:dyDescent="0.25"/>
    <row r="1068" s="79" customFormat="1" ht="15" customHeight="1" x14ac:dyDescent="0.25"/>
    <row r="1069" s="79" customFormat="1" ht="15" customHeight="1" x14ac:dyDescent="0.25"/>
    <row r="1070" s="79" customFormat="1" ht="15" customHeight="1" x14ac:dyDescent="0.25"/>
    <row r="1071" s="79" customFormat="1" ht="15" customHeight="1" x14ac:dyDescent="0.25"/>
    <row r="1072" s="79" customFormat="1" ht="15" customHeight="1" x14ac:dyDescent="0.25"/>
    <row r="1073" s="79" customFormat="1" ht="15" customHeight="1" x14ac:dyDescent="0.25"/>
    <row r="1074" s="79" customFormat="1" ht="15" customHeight="1" x14ac:dyDescent="0.25"/>
    <row r="1075" s="79" customFormat="1" ht="15" customHeight="1" x14ac:dyDescent="0.25"/>
    <row r="1076" s="79" customFormat="1" ht="15" customHeight="1" x14ac:dyDescent="0.25"/>
    <row r="1077" s="79" customFormat="1" ht="15" customHeight="1" x14ac:dyDescent="0.25"/>
    <row r="1078" s="79" customFormat="1" ht="15" customHeight="1" x14ac:dyDescent="0.25"/>
    <row r="1079" s="79" customFormat="1" ht="15" customHeight="1" x14ac:dyDescent="0.25"/>
    <row r="1080" s="79" customFormat="1" ht="15" customHeight="1" x14ac:dyDescent="0.25"/>
    <row r="1081" s="79" customFormat="1" ht="15" customHeight="1" x14ac:dyDescent="0.25"/>
    <row r="1082" s="79" customFormat="1" ht="15" customHeight="1" x14ac:dyDescent="0.25"/>
    <row r="1083" s="79" customFormat="1" ht="15" customHeight="1" x14ac:dyDescent="0.25"/>
    <row r="1084" s="79" customFormat="1" ht="15" customHeight="1" x14ac:dyDescent="0.25"/>
    <row r="1085" s="79" customFormat="1" ht="15" customHeight="1" x14ac:dyDescent="0.25"/>
    <row r="1086" s="79" customFormat="1" ht="15" customHeight="1" x14ac:dyDescent="0.25"/>
    <row r="1087" s="79" customFormat="1" ht="15" customHeight="1" x14ac:dyDescent="0.25"/>
    <row r="1088" s="79" customFormat="1" ht="15" customHeight="1" x14ac:dyDescent="0.25"/>
    <row r="1089" s="79" customFormat="1" ht="15" customHeight="1" x14ac:dyDescent="0.25"/>
    <row r="1090" s="79" customFormat="1" ht="15" customHeight="1" x14ac:dyDescent="0.25"/>
    <row r="1091" s="79" customFormat="1" ht="15" customHeight="1" x14ac:dyDescent="0.25"/>
    <row r="1092" s="79" customFormat="1" ht="15" customHeight="1" x14ac:dyDescent="0.25"/>
    <row r="1093" s="79" customFormat="1" ht="15" customHeight="1" x14ac:dyDescent="0.25"/>
    <row r="1094" s="79" customFormat="1" ht="15" customHeight="1" x14ac:dyDescent="0.25"/>
    <row r="1095" s="79" customFormat="1" ht="15" customHeight="1" x14ac:dyDescent="0.25"/>
    <row r="1096" s="79" customFormat="1" ht="15" customHeight="1" x14ac:dyDescent="0.25"/>
    <row r="1097" s="79" customFormat="1" ht="15" customHeight="1" x14ac:dyDescent="0.25"/>
    <row r="1098" s="79" customFormat="1" ht="15" customHeight="1" x14ac:dyDescent="0.25"/>
    <row r="1099" s="79" customFormat="1" ht="15" customHeight="1" x14ac:dyDescent="0.25"/>
    <row r="1100" s="79" customFormat="1" ht="15" customHeight="1" x14ac:dyDescent="0.25"/>
    <row r="1101" s="79" customFormat="1" ht="15" customHeight="1" x14ac:dyDescent="0.25"/>
    <row r="1102" s="79" customFormat="1" ht="15" customHeight="1" x14ac:dyDescent="0.25"/>
    <row r="1103" s="79" customFormat="1" ht="15" customHeight="1" x14ac:dyDescent="0.25"/>
    <row r="1104" s="79" customFormat="1" ht="15" customHeight="1" x14ac:dyDescent="0.25"/>
    <row r="1105" s="79" customFormat="1" ht="15" customHeight="1" x14ac:dyDescent="0.25"/>
    <row r="1106" s="79" customFormat="1" ht="15" customHeight="1" x14ac:dyDescent="0.25"/>
    <row r="1107" s="79" customFormat="1" ht="15" customHeight="1" x14ac:dyDescent="0.25"/>
    <row r="1108" s="79" customFormat="1" ht="15" customHeight="1" x14ac:dyDescent="0.25"/>
    <row r="1109" s="79" customFormat="1" ht="15" customHeight="1" x14ac:dyDescent="0.25"/>
    <row r="1110" s="79" customFormat="1" ht="15" customHeight="1" x14ac:dyDescent="0.25"/>
    <row r="1111" s="79" customFormat="1" ht="15" customHeight="1" x14ac:dyDescent="0.25"/>
    <row r="1112" s="79" customFormat="1" ht="15" customHeight="1" x14ac:dyDescent="0.25"/>
    <row r="1113" s="79" customFormat="1" ht="15" customHeight="1" x14ac:dyDescent="0.25"/>
    <row r="1114" s="79" customFormat="1" ht="15" customHeight="1" x14ac:dyDescent="0.25"/>
    <row r="1115" s="79" customFormat="1" ht="15" customHeight="1" x14ac:dyDescent="0.25"/>
    <row r="1116" s="79" customFormat="1" ht="15" customHeight="1" x14ac:dyDescent="0.25"/>
    <row r="1117" s="79" customFormat="1" ht="15" customHeight="1" x14ac:dyDescent="0.25"/>
    <row r="1118" s="79" customFormat="1" ht="15" customHeight="1" x14ac:dyDescent="0.25"/>
    <row r="1119" s="79" customFormat="1" ht="15" customHeight="1" x14ac:dyDescent="0.25"/>
    <row r="1120" s="79" customFormat="1" ht="15" customHeight="1" x14ac:dyDescent="0.25"/>
    <row r="1121" s="79" customFormat="1" ht="15" customHeight="1" x14ac:dyDescent="0.25"/>
    <row r="1122" s="79" customFormat="1" ht="15" customHeight="1" x14ac:dyDescent="0.25"/>
    <row r="1123" s="79" customFormat="1" ht="15" customHeight="1" x14ac:dyDescent="0.25"/>
    <row r="1124" s="79" customFormat="1" ht="15" customHeight="1" x14ac:dyDescent="0.25"/>
    <row r="1125" s="79" customFormat="1" ht="15" customHeight="1" x14ac:dyDescent="0.25"/>
    <row r="1126" s="79" customFormat="1" ht="15" customHeight="1" x14ac:dyDescent="0.25"/>
    <row r="1127" s="79" customFormat="1" ht="15" customHeight="1" x14ac:dyDescent="0.25"/>
    <row r="1128" s="79" customFormat="1" ht="15" customHeight="1" x14ac:dyDescent="0.25"/>
    <row r="1129" s="79" customFormat="1" ht="15" customHeight="1" x14ac:dyDescent="0.25"/>
    <row r="1130" s="79" customFormat="1" ht="15" customHeight="1" x14ac:dyDescent="0.25"/>
    <row r="1131" s="79" customFormat="1" ht="15" customHeight="1" x14ac:dyDescent="0.25"/>
    <row r="1132" s="79" customFormat="1" ht="15" customHeight="1" x14ac:dyDescent="0.25"/>
    <row r="1133" s="79" customFormat="1" ht="15" customHeight="1" x14ac:dyDescent="0.25"/>
    <row r="1134" s="79" customFormat="1" ht="15" customHeight="1" x14ac:dyDescent="0.25"/>
    <row r="1135" s="79" customFormat="1" ht="15" customHeight="1" x14ac:dyDescent="0.25"/>
    <row r="1136" s="79" customFormat="1" ht="15" customHeight="1" x14ac:dyDescent="0.25"/>
    <row r="1137" s="79" customFormat="1" ht="15" customHeight="1" x14ac:dyDescent="0.25"/>
    <row r="1138" s="79" customFormat="1" ht="15" customHeight="1" x14ac:dyDescent="0.25"/>
    <row r="1139" s="79" customFormat="1" ht="15" customHeight="1" x14ac:dyDescent="0.25"/>
    <row r="1140" s="79" customFormat="1" ht="15" customHeight="1" x14ac:dyDescent="0.25"/>
    <row r="1141" s="79" customFormat="1" ht="15" customHeight="1" x14ac:dyDescent="0.25"/>
    <row r="1142" s="79" customFormat="1" ht="15" customHeight="1" x14ac:dyDescent="0.25"/>
    <row r="1143" s="79" customFormat="1" ht="15" customHeight="1" x14ac:dyDescent="0.25"/>
    <row r="1144" s="79" customFormat="1" ht="15" customHeight="1" x14ac:dyDescent="0.25"/>
    <row r="1145" s="79" customFormat="1" ht="15" customHeight="1" x14ac:dyDescent="0.25"/>
    <row r="1146" s="79" customFormat="1" ht="15" customHeight="1" x14ac:dyDescent="0.25"/>
    <row r="1147" s="79" customFormat="1" ht="15" customHeight="1" x14ac:dyDescent="0.25"/>
    <row r="1148" s="79" customFormat="1" ht="15" customHeight="1" x14ac:dyDescent="0.25"/>
    <row r="1149" s="79" customFormat="1" ht="15" customHeight="1" x14ac:dyDescent="0.25"/>
    <row r="1150" s="79" customFormat="1" ht="15" customHeight="1" x14ac:dyDescent="0.25"/>
    <row r="1151" s="79" customFormat="1" ht="15" customHeight="1" x14ac:dyDescent="0.25"/>
    <row r="1152" s="79" customFormat="1" ht="15" customHeight="1" x14ac:dyDescent="0.25"/>
    <row r="1153" s="79" customFormat="1" ht="15" customHeight="1" x14ac:dyDescent="0.25"/>
    <row r="1154" s="79" customFormat="1" ht="15" customHeight="1" x14ac:dyDescent="0.25"/>
    <row r="1155" s="79" customFormat="1" ht="15" customHeight="1" x14ac:dyDescent="0.25"/>
    <row r="1156" s="79" customFormat="1" ht="15" customHeight="1" x14ac:dyDescent="0.25"/>
    <row r="1157" s="79" customFormat="1" ht="15" customHeight="1" x14ac:dyDescent="0.25"/>
    <row r="1158" s="79" customFormat="1" ht="15" customHeight="1" x14ac:dyDescent="0.25"/>
    <row r="1159" s="79" customFormat="1" ht="15" customHeight="1" x14ac:dyDescent="0.25"/>
    <row r="1160" s="79" customFormat="1" ht="15" customHeight="1" x14ac:dyDescent="0.25"/>
    <row r="1161" s="79" customFormat="1" ht="15" customHeight="1" x14ac:dyDescent="0.25"/>
    <row r="1162" s="79" customFormat="1" ht="15" customHeight="1" x14ac:dyDescent="0.25"/>
    <row r="1163" s="79" customFormat="1" ht="15" customHeight="1" x14ac:dyDescent="0.25"/>
    <row r="1164" s="79" customFormat="1" ht="15" customHeight="1" x14ac:dyDescent="0.25"/>
    <row r="1165" s="79" customFormat="1" ht="15" customHeight="1" x14ac:dyDescent="0.25"/>
    <row r="1166" s="79" customFormat="1" ht="15" customHeight="1" x14ac:dyDescent="0.25"/>
    <row r="1167" s="79" customFormat="1" ht="15" customHeight="1" x14ac:dyDescent="0.25"/>
    <row r="1168" s="79" customFormat="1" ht="15" customHeight="1" x14ac:dyDescent="0.25"/>
    <row r="1169" s="79" customFormat="1" ht="15" customHeight="1" x14ac:dyDescent="0.25"/>
    <row r="1170" s="79" customFormat="1" ht="15" customHeight="1" x14ac:dyDescent="0.25"/>
    <row r="1171" s="79" customFormat="1" ht="15" customHeight="1" x14ac:dyDescent="0.25"/>
    <row r="1172" s="79" customFormat="1" ht="15" customHeight="1" x14ac:dyDescent="0.25"/>
    <row r="1173" s="79" customFormat="1" ht="15" customHeight="1" x14ac:dyDescent="0.25"/>
    <row r="1174" s="79" customFormat="1" ht="15" customHeight="1" x14ac:dyDescent="0.25"/>
    <row r="1175" s="79" customFormat="1" ht="15" customHeight="1" x14ac:dyDescent="0.25"/>
    <row r="1176" s="79" customFormat="1" ht="15" customHeight="1" x14ac:dyDescent="0.25"/>
    <row r="1177" s="79" customFormat="1" ht="15" customHeight="1" x14ac:dyDescent="0.25"/>
    <row r="1178" s="79" customFormat="1" ht="15" customHeight="1" x14ac:dyDescent="0.25"/>
    <row r="1179" s="79" customFormat="1" ht="15" customHeight="1" x14ac:dyDescent="0.25"/>
    <row r="1180" s="79" customFormat="1" ht="15" customHeight="1" x14ac:dyDescent="0.25"/>
    <row r="1181" s="79" customFormat="1" ht="15" customHeight="1" x14ac:dyDescent="0.25"/>
    <row r="1182" s="79" customFormat="1" ht="15" customHeight="1" x14ac:dyDescent="0.25"/>
    <row r="1183" s="79" customFormat="1" ht="15" customHeight="1" x14ac:dyDescent="0.25"/>
    <row r="1184" s="79" customFormat="1" ht="15" customHeight="1" x14ac:dyDescent="0.25"/>
    <row r="1185" s="79" customFormat="1" ht="15" customHeight="1" x14ac:dyDescent="0.25"/>
    <row r="1186" s="79" customFormat="1" ht="15" customHeight="1" x14ac:dyDescent="0.25"/>
    <row r="1187" s="79" customFormat="1" ht="15" customHeight="1" x14ac:dyDescent="0.25"/>
    <row r="1188" s="79" customFormat="1" ht="15" customHeight="1" x14ac:dyDescent="0.25"/>
    <row r="1189" s="79" customFormat="1" ht="15" customHeight="1" x14ac:dyDescent="0.25"/>
    <row r="1190" s="79" customFormat="1" ht="15" customHeight="1" x14ac:dyDescent="0.25"/>
    <row r="1191" s="79" customFormat="1" ht="15" customHeight="1" x14ac:dyDescent="0.25"/>
    <row r="1192" s="79" customFormat="1" ht="15" customHeight="1" x14ac:dyDescent="0.25"/>
    <row r="1193" s="79" customFormat="1" ht="15" customHeight="1" x14ac:dyDescent="0.25"/>
    <row r="1194" s="79" customFormat="1" ht="15" customHeight="1" x14ac:dyDescent="0.25"/>
    <row r="1195" s="79" customFormat="1" ht="15" customHeight="1" x14ac:dyDescent="0.25"/>
    <row r="1196" s="79" customFormat="1" ht="15" customHeight="1" x14ac:dyDescent="0.25"/>
    <row r="1197" s="79" customFormat="1" ht="15" customHeight="1" x14ac:dyDescent="0.25"/>
    <row r="1198" s="79" customFormat="1" ht="15" customHeight="1" x14ac:dyDescent="0.25"/>
    <row r="1199" s="79" customFormat="1" ht="15" customHeight="1" x14ac:dyDescent="0.25"/>
    <row r="1200" s="79" customFormat="1" ht="15" customHeight="1" x14ac:dyDescent="0.25"/>
    <row r="1201" s="79" customFormat="1" ht="15" customHeight="1" x14ac:dyDescent="0.25"/>
    <row r="1202" s="79" customFormat="1" ht="15" customHeight="1" x14ac:dyDescent="0.25"/>
    <row r="1203" s="79" customFormat="1" ht="15" customHeight="1" x14ac:dyDescent="0.25"/>
    <row r="1204" s="79" customFormat="1" ht="15" customHeight="1" x14ac:dyDescent="0.25"/>
    <row r="1205" s="79" customFormat="1" ht="15" customHeight="1" x14ac:dyDescent="0.25"/>
    <row r="1206" s="79" customFormat="1" ht="15" customHeight="1" x14ac:dyDescent="0.25"/>
    <row r="1207" s="79" customFormat="1" ht="15" customHeight="1" x14ac:dyDescent="0.25"/>
    <row r="1208" s="79" customFormat="1" ht="15" customHeight="1" x14ac:dyDescent="0.25"/>
    <row r="1209" s="79" customFormat="1" ht="15" customHeight="1" x14ac:dyDescent="0.25"/>
    <row r="1210" s="79" customFormat="1" ht="15" customHeight="1" x14ac:dyDescent="0.25"/>
    <row r="1211" s="79" customFormat="1" ht="15" customHeight="1" x14ac:dyDescent="0.25"/>
    <row r="1212" s="79" customFormat="1" ht="15" customHeight="1" x14ac:dyDescent="0.25"/>
    <row r="1213" s="79" customFormat="1" ht="15" customHeight="1" x14ac:dyDescent="0.25"/>
    <row r="1214" s="79" customFormat="1" ht="15" customHeight="1" x14ac:dyDescent="0.25"/>
    <row r="1215" s="79" customFormat="1" ht="15" customHeight="1" x14ac:dyDescent="0.25"/>
    <row r="1216" s="79" customFormat="1" ht="15" customHeight="1" x14ac:dyDescent="0.25"/>
    <row r="1217" s="79" customFormat="1" ht="15" customHeight="1" x14ac:dyDescent="0.25"/>
    <row r="1218" s="79" customFormat="1" ht="15" customHeight="1" x14ac:dyDescent="0.25"/>
    <row r="1219" s="79" customFormat="1" ht="15" customHeight="1" x14ac:dyDescent="0.25"/>
    <row r="1220" s="79" customFormat="1" ht="15" customHeight="1" x14ac:dyDescent="0.25"/>
    <row r="1221" s="79" customFormat="1" ht="15" customHeight="1" x14ac:dyDescent="0.25"/>
    <row r="1222" s="79" customFormat="1" ht="15" customHeight="1" x14ac:dyDescent="0.25"/>
    <row r="1223" s="79" customFormat="1" ht="15" customHeight="1" x14ac:dyDescent="0.25"/>
    <row r="1224" s="79" customFormat="1" ht="15" customHeight="1" x14ac:dyDescent="0.25"/>
    <row r="1225" s="79" customFormat="1" ht="15" customHeight="1" x14ac:dyDescent="0.25"/>
    <row r="1226" s="79" customFormat="1" ht="15" customHeight="1" x14ac:dyDescent="0.25"/>
    <row r="1227" s="79" customFormat="1" ht="15" customHeight="1" x14ac:dyDescent="0.25"/>
    <row r="1228" s="79" customFormat="1" ht="15" customHeight="1" x14ac:dyDescent="0.25"/>
    <row r="1229" s="79" customFormat="1" ht="15" customHeight="1" x14ac:dyDescent="0.25"/>
    <row r="1230" s="79" customFormat="1" ht="15" customHeight="1" x14ac:dyDescent="0.25"/>
    <row r="1231" s="79" customFormat="1" ht="15" customHeight="1" x14ac:dyDescent="0.25"/>
    <row r="1232" s="79" customFormat="1" ht="15" customHeight="1" x14ac:dyDescent="0.25"/>
    <row r="1233" s="79" customFormat="1" ht="15" customHeight="1" x14ac:dyDescent="0.25"/>
    <row r="1234" s="79" customFormat="1" ht="15" customHeight="1" x14ac:dyDescent="0.25"/>
    <row r="1235" s="79" customFormat="1" ht="15" customHeight="1" x14ac:dyDescent="0.25"/>
    <row r="1236" s="79" customFormat="1" ht="15" customHeight="1" x14ac:dyDescent="0.25"/>
    <row r="1237" s="79" customFormat="1" ht="15" customHeight="1" x14ac:dyDescent="0.25"/>
    <row r="1238" s="79" customFormat="1" ht="15" customHeight="1" x14ac:dyDescent="0.25"/>
    <row r="1239" s="79" customFormat="1" ht="15" customHeight="1" x14ac:dyDescent="0.25"/>
    <row r="1240" s="79" customFormat="1" ht="15" customHeight="1" x14ac:dyDescent="0.25"/>
    <row r="1241" s="79" customFormat="1" ht="15" customHeight="1" x14ac:dyDescent="0.25"/>
    <row r="1242" s="79" customFormat="1" ht="15" customHeight="1" x14ac:dyDescent="0.25"/>
    <row r="1243" s="79" customFormat="1" ht="15" customHeight="1" x14ac:dyDescent="0.25"/>
    <row r="1244" s="79" customFormat="1" ht="15" customHeight="1" x14ac:dyDescent="0.25"/>
    <row r="1245" s="79" customFormat="1" ht="15" customHeight="1" x14ac:dyDescent="0.25"/>
    <row r="1246" s="79" customFormat="1" ht="15" customHeight="1" x14ac:dyDescent="0.25"/>
    <row r="1247" s="79" customFormat="1" ht="15" customHeight="1" x14ac:dyDescent="0.25"/>
    <row r="1248" s="79" customFormat="1" ht="15" customHeight="1" x14ac:dyDescent="0.25"/>
    <row r="1249" s="79" customFormat="1" ht="15" customHeight="1" x14ac:dyDescent="0.25"/>
    <row r="1250" s="79" customFormat="1" ht="15" customHeight="1" x14ac:dyDescent="0.25"/>
    <row r="1251" s="79" customFormat="1" ht="15" customHeight="1" x14ac:dyDescent="0.25"/>
    <row r="1252" s="79" customFormat="1" ht="15" customHeight="1" x14ac:dyDescent="0.25"/>
    <row r="1253" s="79" customFormat="1" ht="15" customHeight="1" x14ac:dyDescent="0.25"/>
    <row r="1254" s="79" customFormat="1" ht="15" customHeight="1" x14ac:dyDescent="0.25"/>
    <row r="1255" s="79" customFormat="1" ht="15" customHeight="1" x14ac:dyDescent="0.25"/>
    <row r="1256" s="79" customFormat="1" ht="15" customHeight="1" x14ac:dyDescent="0.25"/>
    <row r="1257" s="79" customFormat="1" ht="15" customHeight="1" x14ac:dyDescent="0.25"/>
    <row r="1258" s="79" customFormat="1" ht="15" customHeight="1" x14ac:dyDescent="0.25"/>
    <row r="1259" s="79" customFormat="1" ht="15" customHeight="1" x14ac:dyDescent="0.25"/>
    <row r="1260" s="79" customFormat="1" ht="15" customHeight="1" x14ac:dyDescent="0.25"/>
    <row r="1261" s="79" customFormat="1" ht="15" customHeight="1" x14ac:dyDescent="0.25"/>
    <row r="1262" s="79" customFormat="1" ht="15" customHeight="1" x14ac:dyDescent="0.25"/>
    <row r="1263" s="79" customFormat="1" ht="15" customHeight="1" x14ac:dyDescent="0.25"/>
    <row r="1264" s="79" customFormat="1" ht="15" customHeight="1" x14ac:dyDescent="0.25"/>
    <row r="1265" s="79" customFormat="1" ht="15" customHeight="1" x14ac:dyDescent="0.25"/>
    <row r="1266" s="79" customFormat="1" ht="15" customHeight="1" x14ac:dyDescent="0.25"/>
    <row r="1267" s="79" customFormat="1" ht="15" customHeight="1" x14ac:dyDescent="0.25"/>
    <row r="1268" s="79" customFormat="1" ht="15" customHeight="1" x14ac:dyDescent="0.25"/>
    <row r="1269" s="79" customFormat="1" ht="15" customHeight="1" x14ac:dyDescent="0.25"/>
    <row r="1270" s="79" customFormat="1" ht="15" customHeight="1" x14ac:dyDescent="0.25"/>
    <row r="1271" s="79" customFormat="1" ht="15" customHeight="1" x14ac:dyDescent="0.25"/>
    <row r="1272" s="79" customFormat="1" ht="15" customHeight="1" x14ac:dyDescent="0.25"/>
    <row r="1273" s="79" customFormat="1" ht="15" customHeight="1" x14ac:dyDescent="0.25"/>
    <row r="1274" s="79" customFormat="1" ht="15" customHeight="1" x14ac:dyDescent="0.25"/>
    <row r="1275" s="79" customFormat="1" ht="15" customHeight="1" x14ac:dyDescent="0.25"/>
    <row r="1276" s="79" customFormat="1" ht="15" customHeight="1" x14ac:dyDescent="0.25"/>
    <row r="1277" s="79" customFormat="1" ht="15" customHeight="1" x14ac:dyDescent="0.25"/>
    <row r="1278" s="79" customFormat="1" ht="15" customHeight="1" x14ac:dyDescent="0.25"/>
    <row r="1279" s="79" customFormat="1" ht="15" customHeight="1" x14ac:dyDescent="0.25"/>
    <row r="1280" s="79" customFormat="1" ht="15" customHeight="1" x14ac:dyDescent="0.25"/>
    <row r="1281" s="79" customFormat="1" ht="15" customHeight="1" x14ac:dyDescent="0.25"/>
    <row r="1282" s="79" customFormat="1" ht="15" customHeight="1" x14ac:dyDescent="0.25"/>
    <row r="1283" s="79" customFormat="1" ht="15" customHeight="1" x14ac:dyDescent="0.25"/>
    <row r="1284" s="79" customFormat="1" ht="15" customHeight="1" x14ac:dyDescent="0.25"/>
    <row r="1285" s="79" customFormat="1" ht="15" customHeight="1" x14ac:dyDescent="0.25"/>
    <row r="1286" s="79" customFormat="1" ht="15" customHeight="1" x14ac:dyDescent="0.25"/>
    <row r="1287" s="79" customFormat="1" ht="15" customHeight="1" x14ac:dyDescent="0.25"/>
    <row r="1288" s="79" customFormat="1" ht="15" customHeight="1" x14ac:dyDescent="0.25"/>
    <row r="1289" s="79" customFormat="1" ht="15" customHeight="1" x14ac:dyDescent="0.25"/>
    <row r="1290" s="79" customFormat="1" ht="15" customHeight="1" x14ac:dyDescent="0.25"/>
    <row r="1291" s="79" customFormat="1" ht="15" customHeight="1" x14ac:dyDescent="0.25"/>
    <row r="1292" s="79" customFormat="1" ht="15" customHeight="1" x14ac:dyDescent="0.25"/>
    <row r="1293" s="79" customFormat="1" ht="15" customHeight="1" x14ac:dyDescent="0.25"/>
    <row r="1294" s="79" customFormat="1" ht="15" customHeight="1" x14ac:dyDescent="0.25"/>
    <row r="1295" s="79" customFormat="1" ht="15" customHeight="1" x14ac:dyDescent="0.25"/>
    <row r="1296" s="79" customFormat="1" ht="15" customHeight="1" x14ac:dyDescent="0.25"/>
    <row r="1297" s="79" customFormat="1" ht="15" customHeight="1" x14ac:dyDescent="0.25"/>
    <row r="1298" s="79" customFormat="1" ht="15" customHeight="1" x14ac:dyDescent="0.25"/>
    <row r="1299" s="79" customFormat="1" ht="15" customHeight="1" x14ac:dyDescent="0.25"/>
    <row r="1300" s="79" customFormat="1" ht="15" customHeight="1" x14ac:dyDescent="0.25"/>
    <row r="1301" s="79" customFormat="1" ht="15" customHeight="1" x14ac:dyDescent="0.25"/>
    <row r="1302" s="79" customFormat="1" ht="15" customHeight="1" x14ac:dyDescent="0.25"/>
    <row r="1303" s="79" customFormat="1" ht="15" customHeight="1" x14ac:dyDescent="0.25"/>
    <row r="1304" s="79" customFormat="1" ht="15" customHeight="1" x14ac:dyDescent="0.25"/>
    <row r="1305" s="79" customFormat="1" ht="15" customHeight="1" x14ac:dyDescent="0.25"/>
    <row r="1306" s="79" customFormat="1" ht="15" customHeight="1" x14ac:dyDescent="0.25"/>
    <row r="1307" s="79" customFormat="1" ht="15" customHeight="1" x14ac:dyDescent="0.25"/>
    <row r="1308" s="79" customFormat="1" ht="15" customHeight="1" x14ac:dyDescent="0.25"/>
    <row r="1309" s="79" customFormat="1" ht="15" customHeight="1" x14ac:dyDescent="0.25"/>
    <row r="1310" s="79" customFormat="1" ht="15" customHeight="1" x14ac:dyDescent="0.25"/>
    <row r="1311" s="79" customFormat="1" ht="15" customHeight="1" x14ac:dyDescent="0.25"/>
    <row r="1312" s="79" customFormat="1" ht="15" customHeight="1" x14ac:dyDescent="0.25"/>
    <row r="1313" s="79" customFormat="1" ht="15" customHeight="1" x14ac:dyDescent="0.25"/>
    <row r="1314" s="79" customFormat="1" ht="15" customHeight="1" x14ac:dyDescent="0.25"/>
    <row r="1315" s="79" customFormat="1" ht="15" customHeight="1" x14ac:dyDescent="0.25"/>
    <row r="1316" s="79" customFormat="1" ht="15" customHeight="1" x14ac:dyDescent="0.25"/>
    <row r="1317" s="79" customFormat="1" ht="15" customHeight="1" x14ac:dyDescent="0.25"/>
    <row r="1318" s="79" customFormat="1" ht="15" customHeight="1" x14ac:dyDescent="0.25"/>
    <row r="1319" s="79" customFormat="1" ht="15" customHeight="1" x14ac:dyDescent="0.25"/>
    <row r="1320" s="79" customFormat="1" ht="15" customHeight="1" x14ac:dyDescent="0.25"/>
    <row r="1321" s="79" customFormat="1" ht="15" customHeight="1" x14ac:dyDescent="0.25"/>
    <row r="1322" s="79" customFormat="1" ht="15" customHeight="1" x14ac:dyDescent="0.25"/>
    <row r="1323" s="79" customFormat="1" ht="15" customHeight="1" x14ac:dyDescent="0.25"/>
    <row r="1324" s="79" customFormat="1" ht="15" customHeight="1" x14ac:dyDescent="0.25"/>
    <row r="1325" s="79" customFormat="1" ht="15" customHeight="1" x14ac:dyDescent="0.25"/>
    <row r="1326" s="79" customFormat="1" ht="15" customHeight="1" x14ac:dyDescent="0.25"/>
    <row r="1327" s="79" customFormat="1" ht="15" customHeight="1" x14ac:dyDescent="0.25"/>
    <row r="1328" s="79" customFormat="1" ht="15" customHeight="1" x14ac:dyDescent="0.25"/>
    <row r="1329" s="79" customFormat="1" ht="15" customHeight="1" x14ac:dyDescent="0.25"/>
    <row r="1330" s="79" customFormat="1" ht="15" customHeight="1" x14ac:dyDescent="0.25"/>
    <row r="1331" s="79" customFormat="1" ht="15" customHeight="1" x14ac:dyDescent="0.25"/>
    <row r="1332" s="79" customFormat="1" ht="15" customHeight="1" x14ac:dyDescent="0.25"/>
    <row r="1333" s="79" customFormat="1" ht="15" customHeight="1" x14ac:dyDescent="0.25"/>
    <row r="1334" s="79" customFormat="1" ht="15" customHeight="1" x14ac:dyDescent="0.25"/>
    <row r="1335" s="79" customFormat="1" ht="15" customHeight="1" x14ac:dyDescent="0.25"/>
    <row r="1336" s="79" customFormat="1" ht="15" customHeight="1" x14ac:dyDescent="0.25"/>
    <row r="1337" s="79" customFormat="1" ht="15" customHeight="1" x14ac:dyDescent="0.25"/>
    <row r="1338" s="79" customFormat="1" ht="15" customHeight="1" x14ac:dyDescent="0.25"/>
    <row r="1339" s="79" customFormat="1" ht="15" customHeight="1" x14ac:dyDescent="0.25"/>
    <row r="1340" s="79" customFormat="1" ht="15" customHeight="1" x14ac:dyDescent="0.25"/>
    <row r="1341" s="79" customFormat="1" ht="15" customHeight="1" x14ac:dyDescent="0.25"/>
    <row r="1342" s="79" customFormat="1" ht="15" customHeight="1" x14ac:dyDescent="0.25"/>
    <row r="1343" s="79" customFormat="1" ht="15" customHeight="1" x14ac:dyDescent="0.25"/>
    <row r="1344" s="79" customFormat="1" ht="15" customHeight="1" x14ac:dyDescent="0.25"/>
    <row r="1345" s="79" customFormat="1" ht="15" customHeight="1" x14ac:dyDescent="0.25"/>
    <row r="1346" s="79" customFormat="1" ht="15" customHeight="1" x14ac:dyDescent="0.25"/>
    <row r="1347" s="79" customFormat="1" ht="15" customHeight="1" x14ac:dyDescent="0.25"/>
    <row r="1348" s="79" customFormat="1" ht="15" customHeight="1" x14ac:dyDescent="0.25"/>
    <row r="1349" s="79" customFormat="1" ht="15" customHeight="1" x14ac:dyDescent="0.25"/>
    <row r="1350" s="79" customFormat="1" ht="15" customHeight="1" x14ac:dyDescent="0.25"/>
    <row r="1351" s="79" customFormat="1" ht="15" customHeight="1" x14ac:dyDescent="0.25"/>
    <row r="1352" s="79" customFormat="1" ht="15" customHeight="1" x14ac:dyDescent="0.25"/>
    <row r="1353" s="79" customFormat="1" ht="15" customHeight="1" x14ac:dyDescent="0.25"/>
    <row r="1354" s="79" customFormat="1" ht="15" customHeight="1" x14ac:dyDescent="0.25"/>
    <row r="1355" s="79" customFormat="1" ht="15" customHeight="1" x14ac:dyDescent="0.25"/>
    <row r="1356" s="79" customFormat="1" ht="15" customHeight="1" x14ac:dyDescent="0.25"/>
    <row r="1357" s="79" customFormat="1" ht="15" customHeight="1" x14ac:dyDescent="0.25"/>
    <row r="1358" s="79" customFormat="1" ht="15" customHeight="1" x14ac:dyDescent="0.25"/>
    <row r="1359" s="79" customFormat="1" ht="15" customHeight="1" x14ac:dyDescent="0.25"/>
    <row r="1360" s="79" customFormat="1" ht="15" customHeight="1" x14ac:dyDescent="0.25"/>
    <row r="1361" s="79" customFormat="1" ht="15" customHeight="1" x14ac:dyDescent="0.25"/>
    <row r="1362" s="79" customFormat="1" ht="15" customHeight="1" x14ac:dyDescent="0.25"/>
    <row r="1363" s="79" customFormat="1" ht="15" customHeight="1" x14ac:dyDescent="0.25"/>
    <row r="1364" s="79" customFormat="1" ht="15" customHeight="1" x14ac:dyDescent="0.25"/>
    <row r="1365" s="79" customFormat="1" ht="15" customHeight="1" x14ac:dyDescent="0.25"/>
    <row r="1366" s="79" customFormat="1" ht="15" customHeight="1" x14ac:dyDescent="0.25"/>
    <row r="1367" s="79" customFormat="1" ht="15" customHeight="1" x14ac:dyDescent="0.25"/>
    <row r="1368" s="79" customFormat="1" ht="15" customHeight="1" x14ac:dyDescent="0.25"/>
    <row r="1369" s="79" customFormat="1" ht="15" customHeight="1" x14ac:dyDescent="0.25"/>
    <row r="1370" s="79" customFormat="1" ht="15" customHeight="1" x14ac:dyDescent="0.25"/>
    <row r="1371" s="79" customFormat="1" ht="15" customHeight="1" x14ac:dyDescent="0.25"/>
    <row r="1372" s="79" customFormat="1" ht="15" customHeight="1" x14ac:dyDescent="0.25"/>
    <row r="1373" s="79" customFormat="1" ht="15" customHeight="1" x14ac:dyDescent="0.25"/>
    <row r="1374" s="79" customFormat="1" ht="15" customHeight="1" x14ac:dyDescent="0.25"/>
    <row r="1375" s="79" customFormat="1" ht="15" customHeight="1" x14ac:dyDescent="0.25"/>
    <row r="1376" s="79" customFormat="1" ht="15" customHeight="1" x14ac:dyDescent="0.25"/>
    <row r="1377" s="79" customFormat="1" ht="15" customHeight="1" x14ac:dyDescent="0.25"/>
    <row r="1378" s="79" customFormat="1" ht="15" customHeight="1" x14ac:dyDescent="0.25"/>
    <row r="1379" s="79" customFormat="1" ht="15" customHeight="1" x14ac:dyDescent="0.25"/>
    <row r="1380" s="79" customFormat="1" ht="15" customHeight="1" x14ac:dyDescent="0.25"/>
    <row r="1381" s="79" customFormat="1" ht="15" customHeight="1" x14ac:dyDescent="0.25"/>
    <row r="1382" s="79" customFormat="1" ht="15" customHeight="1" x14ac:dyDescent="0.25"/>
    <row r="1383" s="79" customFormat="1" ht="15" customHeight="1" x14ac:dyDescent="0.25"/>
    <row r="1384" s="79" customFormat="1" ht="15" customHeight="1" x14ac:dyDescent="0.25"/>
    <row r="1385" s="79" customFormat="1" ht="15" customHeight="1" x14ac:dyDescent="0.25"/>
    <row r="1386" s="79" customFormat="1" ht="15" customHeight="1" x14ac:dyDescent="0.25"/>
    <row r="1387" s="79" customFormat="1" ht="15" customHeight="1" x14ac:dyDescent="0.25"/>
    <row r="1388" s="79" customFormat="1" ht="15" customHeight="1" x14ac:dyDescent="0.25"/>
    <row r="1389" s="79" customFormat="1" ht="15" customHeight="1" x14ac:dyDescent="0.25"/>
    <row r="1390" s="79" customFormat="1" ht="15" customHeight="1" x14ac:dyDescent="0.25"/>
    <row r="1391" s="79" customFormat="1" ht="15" customHeight="1" x14ac:dyDescent="0.25"/>
    <row r="1392" s="79" customFormat="1" ht="15" customHeight="1" x14ac:dyDescent="0.25"/>
    <row r="1393" s="79" customFormat="1" ht="15" customHeight="1" x14ac:dyDescent="0.25"/>
    <row r="1394" s="79" customFormat="1" ht="15" customHeight="1" x14ac:dyDescent="0.25"/>
    <row r="1395" s="79" customFormat="1" ht="15" customHeight="1" x14ac:dyDescent="0.25"/>
    <row r="1396" s="79" customFormat="1" ht="15" customHeight="1" x14ac:dyDescent="0.25"/>
    <row r="1397" s="79" customFormat="1" ht="15" customHeight="1" x14ac:dyDescent="0.25"/>
    <row r="1398" s="79" customFormat="1" ht="15" customHeight="1" x14ac:dyDescent="0.25"/>
    <row r="1399" s="79" customFormat="1" ht="15" customHeight="1" x14ac:dyDescent="0.25"/>
    <row r="1400" s="79" customFormat="1" ht="15" customHeight="1" x14ac:dyDescent="0.25"/>
    <row r="1401" s="79" customFormat="1" ht="15" customHeight="1" x14ac:dyDescent="0.25"/>
    <row r="1402" s="79" customFormat="1" ht="15" customHeight="1" x14ac:dyDescent="0.25"/>
    <row r="1403" s="79" customFormat="1" ht="15" customHeight="1" x14ac:dyDescent="0.25"/>
    <row r="1404" s="79" customFormat="1" ht="15" customHeight="1" x14ac:dyDescent="0.25"/>
    <row r="1405" s="79" customFormat="1" ht="15" customHeight="1" x14ac:dyDescent="0.25"/>
    <row r="1406" s="79" customFormat="1" ht="15" customHeight="1" x14ac:dyDescent="0.25"/>
    <row r="1407" s="79" customFormat="1" ht="15" customHeight="1" x14ac:dyDescent="0.25"/>
    <row r="1408" s="79" customFormat="1" ht="15" customHeight="1" x14ac:dyDescent="0.25"/>
    <row r="1409" s="79" customFormat="1" ht="15" customHeight="1" x14ac:dyDescent="0.25"/>
    <row r="1410" s="79" customFormat="1" ht="15" customHeight="1" x14ac:dyDescent="0.25"/>
    <row r="1411" s="79" customFormat="1" ht="15" customHeight="1" x14ac:dyDescent="0.25"/>
    <row r="1412" s="79" customFormat="1" ht="15" customHeight="1" x14ac:dyDescent="0.25"/>
    <row r="1413" s="79" customFormat="1" ht="15" customHeight="1" x14ac:dyDescent="0.25"/>
    <row r="1414" s="79" customFormat="1" ht="15" customHeight="1" x14ac:dyDescent="0.25"/>
    <row r="1415" s="79" customFormat="1" ht="15" customHeight="1" x14ac:dyDescent="0.25"/>
    <row r="1416" s="79" customFormat="1" ht="15" customHeight="1" x14ac:dyDescent="0.25"/>
    <row r="1417" s="79" customFormat="1" ht="15" customHeight="1" x14ac:dyDescent="0.25"/>
    <row r="1418" s="79" customFormat="1" ht="15" customHeight="1" x14ac:dyDescent="0.25"/>
    <row r="1419" s="79" customFormat="1" ht="15" customHeight="1" x14ac:dyDescent="0.25"/>
    <row r="1420" s="79" customFormat="1" ht="15" customHeight="1" x14ac:dyDescent="0.25"/>
    <row r="1421" s="79" customFormat="1" ht="15" customHeight="1" x14ac:dyDescent="0.25"/>
    <row r="1422" s="79" customFormat="1" ht="15" customHeight="1" x14ac:dyDescent="0.25"/>
    <row r="1423" s="79" customFormat="1" ht="15" customHeight="1" x14ac:dyDescent="0.25"/>
    <row r="1424" s="79" customFormat="1" ht="15" customHeight="1" x14ac:dyDescent="0.25"/>
    <row r="1425" s="79" customFormat="1" ht="15" customHeight="1" x14ac:dyDescent="0.25"/>
    <row r="1426" s="79" customFormat="1" ht="15" customHeight="1" x14ac:dyDescent="0.25"/>
    <row r="1427" s="79" customFormat="1" ht="15" customHeight="1" x14ac:dyDescent="0.25"/>
    <row r="1428" s="79" customFormat="1" ht="15" customHeight="1" x14ac:dyDescent="0.25"/>
    <row r="1429" s="79" customFormat="1" ht="15" customHeight="1" x14ac:dyDescent="0.25"/>
    <row r="1430" s="79" customFormat="1" ht="15" customHeight="1" x14ac:dyDescent="0.25"/>
    <row r="1431" s="79" customFormat="1" ht="15" customHeight="1" x14ac:dyDescent="0.25"/>
    <row r="1432" s="79" customFormat="1" ht="15" customHeight="1" x14ac:dyDescent="0.25"/>
    <row r="1433" s="79" customFormat="1" ht="15" customHeight="1" x14ac:dyDescent="0.25"/>
    <row r="1434" s="79" customFormat="1" ht="15" customHeight="1" x14ac:dyDescent="0.25"/>
    <row r="1435" s="79" customFormat="1" ht="15" customHeight="1" x14ac:dyDescent="0.25"/>
    <row r="1436" s="79" customFormat="1" ht="15" customHeight="1" x14ac:dyDescent="0.25"/>
    <row r="1437" s="79" customFormat="1" ht="15" customHeight="1" x14ac:dyDescent="0.25"/>
    <row r="1438" s="79" customFormat="1" ht="15" customHeight="1" x14ac:dyDescent="0.25"/>
    <row r="1439" s="79" customFormat="1" ht="15" customHeight="1" x14ac:dyDescent="0.25"/>
    <row r="1440" s="79" customFormat="1" ht="15" customHeight="1" x14ac:dyDescent="0.25"/>
    <row r="1441" s="79" customFormat="1" ht="15" customHeight="1" x14ac:dyDescent="0.25"/>
    <row r="1442" s="79" customFormat="1" ht="15" customHeight="1" x14ac:dyDescent="0.25"/>
    <row r="1443" s="79" customFormat="1" ht="15" customHeight="1" x14ac:dyDescent="0.25"/>
    <row r="1444" s="79" customFormat="1" ht="15" customHeight="1" x14ac:dyDescent="0.25"/>
    <row r="1445" s="79" customFormat="1" ht="15" customHeight="1" x14ac:dyDescent="0.25"/>
    <row r="1446" s="79" customFormat="1" ht="15" customHeight="1" x14ac:dyDescent="0.25"/>
    <row r="1447" s="79" customFormat="1" ht="15" customHeight="1" x14ac:dyDescent="0.25"/>
    <row r="1448" s="79" customFormat="1" ht="15" customHeight="1" x14ac:dyDescent="0.25"/>
    <row r="1449" s="79" customFormat="1" ht="15" customHeight="1" x14ac:dyDescent="0.25"/>
    <row r="1450" s="79" customFormat="1" ht="15" customHeight="1" x14ac:dyDescent="0.25"/>
    <row r="1451" s="79" customFormat="1" ht="15" customHeight="1" x14ac:dyDescent="0.25"/>
    <row r="1452" s="79" customFormat="1" ht="15" customHeight="1" x14ac:dyDescent="0.25"/>
    <row r="1453" s="79" customFormat="1" ht="15" customHeight="1" x14ac:dyDescent="0.25"/>
    <row r="1454" s="79" customFormat="1" ht="15" customHeight="1" x14ac:dyDescent="0.25"/>
    <row r="1455" s="79" customFormat="1" ht="15" customHeight="1" x14ac:dyDescent="0.25"/>
    <row r="1456" s="79" customFormat="1" ht="15" customHeight="1" x14ac:dyDescent="0.25"/>
    <row r="1457" s="79" customFormat="1" ht="15" customHeight="1" x14ac:dyDescent="0.25"/>
    <row r="1458" s="79" customFormat="1" ht="15" customHeight="1" x14ac:dyDescent="0.25"/>
    <row r="1459" s="79" customFormat="1" ht="15" customHeight="1" x14ac:dyDescent="0.25"/>
    <row r="1460" s="79" customFormat="1" ht="15" customHeight="1" x14ac:dyDescent="0.25"/>
    <row r="1461" s="79" customFormat="1" ht="15" customHeight="1" x14ac:dyDescent="0.25"/>
    <row r="1462" s="79" customFormat="1" ht="15" customHeight="1" x14ac:dyDescent="0.25"/>
    <row r="1463" s="79" customFormat="1" ht="15" customHeight="1" x14ac:dyDescent="0.25"/>
    <row r="1464" s="79" customFormat="1" ht="15" customHeight="1" x14ac:dyDescent="0.25"/>
    <row r="1465" s="79" customFormat="1" ht="15" customHeight="1" x14ac:dyDescent="0.25"/>
    <row r="1466" s="79" customFormat="1" ht="15" customHeight="1" x14ac:dyDescent="0.25"/>
    <row r="1467" s="79" customFormat="1" ht="15" customHeight="1" x14ac:dyDescent="0.25"/>
    <row r="1468" s="79" customFormat="1" ht="15" customHeight="1" x14ac:dyDescent="0.25"/>
    <row r="1469" s="79" customFormat="1" ht="15" customHeight="1" x14ac:dyDescent="0.25"/>
    <row r="1470" s="79" customFormat="1" ht="15" customHeight="1" x14ac:dyDescent="0.25"/>
    <row r="1471" s="79" customFormat="1" ht="15" customHeight="1" x14ac:dyDescent="0.25"/>
    <row r="1472" s="79" customFormat="1" ht="15" customHeight="1" x14ac:dyDescent="0.25"/>
    <row r="1473" s="79" customFormat="1" ht="15" customHeight="1" x14ac:dyDescent="0.25"/>
    <row r="1474" s="79" customFormat="1" ht="15" customHeight="1" x14ac:dyDescent="0.25"/>
    <row r="1475" s="79" customFormat="1" ht="15" customHeight="1" x14ac:dyDescent="0.25"/>
    <row r="1476" s="79" customFormat="1" ht="15" customHeight="1" x14ac:dyDescent="0.25"/>
    <row r="1477" s="79" customFormat="1" ht="15" customHeight="1" x14ac:dyDescent="0.25"/>
    <row r="1478" s="79" customFormat="1" ht="15" customHeight="1" x14ac:dyDescent="0.25"/>
    <row r="1479" s="79" customFormat="1" ht="15" customHeight="1" x14ac:dyDescent="0.25"/>
    <row r="1480" s="79" customFormat="1" ht="15" customHeight="1" x14ac:dyDescent="0.25"/>
    <row r="1481" s="79" customFormat="1" ht="15" customHeight="1" x14ac:dyDescent="0.25"/>
    <row r="1482" s="79" customFormat="1" ht="15" customHeight="1" x14ac:dyDescent="0.25"/>
    <row r="1483" s="79" customFormat="1" ht="15" customHeight="1" x14ac:dyDescent="0.25"/>
    <row r="1484" s="79" customFormat="1" ht="15" customHeight="1" x14ac:dyDescent="0.25"/>
    <row r="1485" s="79" customFormat="1" ht="15" customHeight="1" x14ac:dyDescent="0.25"/>
    <row r="1486" s="79" customFormat="1" ht="15" customHeight="1" x14ac:dyDescent="0.25"/>
    <row r="1487" s="79" customFormat="1" ht="15" customHeight="1" x14ac:dyDescent="0.25"/>
    <row r="1488" s="79" customFormat="1" ht="15" customHeight="1" x14ac:dyDescent="0.25"/>
    <row r="1489" s="79" customFormat="1" ht="15" customHeight="1" x14ac:dyDescent="0.25"/>
    <row r="1490" s="79" customFormat="1" ht="15" customHeight="1" x14ac:dyDescent="0.25"/>
    <row r="1491" s="79" customFormat="1" ht="15" customHeight="1" x14ac:dyDescent="0.25"/>
    <row r="1492" s="79" customFormat="1" ht="15" customHeight="1" x14ac:dyDescent="0.25"/>
    <row r="1493" s="79" customFormat="1" ht="15" customHeight="1" x14ac:dyDescent="0.25"/>
    <row r="1494" s="79" customFormat="1" ht="15" customHeight="1" x14ac:dyDescent="0.25"/>
    <row r="1495" s="79" customFormat="1" ht="15" customHeight="1" x14ac:dyDescent="0.25"/>
    <row r="1496" s="79" customFormat="1" ht="15" customHeight="1" x14ac:dyDescent="0.25"/>
    <row r="1497" s="79" customFormat="1" ht="15" customHeight="1" x14ac:dyDescent="0.25"/>
    <row r="1498" s="79" customFormat="1" ht="15" customHeight="1" x14ac:dyDescent="0.25"/>
    <row r="1499" s="79" customFormat="1" ht="15" customHeight="1" x14ac:dyDescent="0.25"/>
    <row r="1500" s="79" customFormat="1" ht="15" customHeight="1" x14ac:dyDescent="0.25"/>
    <row r="1501" s="79" customFormat="1" ht="15" customHeight="1" x14ac:dyDescent="0.25"/>
    <row r="1502" s="79" customFormat="1" ht="15" customHeight="1" x14ac:dyDescent="0.25"/>
    <row r="1503" s="79" customFormat="1" ht="15" customHeight="1" x14ac:dyDescent="0.25"/>
    <row r="1504" s="79" customFormat="1" ht="15" customHeight="1" x14ac:dyDescent="0.25"/>
    <row r="1505" s="79" customFormat="1" ht="15" customHeight="1" x14ac:dyDescent="0.25"/>
    <row r="1506" s="79" customFormat="1" ht="15" customHeight="1" x14ac:dyDescent="0.25"/>
    <row r="1507" s="79" customFormat="1" ht="15" customHeight="1" x14ac:dyDescent="0.25"/>
    <row r="1508" s="79" customFormat="1" ht="15" customHeight="1" x14ac:dyDescent="0.25"/>
    <row r="1509" s="79" customFormat="1" ht="15" customHeight="1" x14ac:dyDescent="0.25"/>
    <row r="1510" s="79" customFormat="1" ht="15" customHeight="1" x14ac:dyDescent="0.25"/>
    <row r="1511" s="79" customFormat="1" ht="15" customHeight="1" x14ac:dyDescent="0.25"/>
    <row r="1512" s="79" customFormat="1" ht="15" customHeight="1" x14ac:dyDescent="0.25"/>
    <row r="1513" s="79" customFormat="1" ht="15" customHeight="1" x14ac:dyDescent="0.25"/>
    <row r="1514" s="79" customFormat="1" ht="15" customHeight="1" x14ac:dyDescent="0.25"/>
  </sheetData>
  <sheetProtection selectLockedCells="1"/>
  <mergeCells count="5">
    <mergeCell ref="C2:AG2"/>
    <mergeCell ref="AH2:AH3"/>
    <mergeCell ref="AI2:AL3"/>
    <mergeCell ref="AM2:AP3"/>
    <mergeCell ref="AQ2:AR3"/>
  </mergeCells>
  <conditionalFormatting sqref="C49:K49 M49:AG49 M50:O50">
    <cfRule type="expression" priority="1867" stopIfTrue="1">
      <formula>C49=""</formula>
    </cfRule>
    <cfRule type="expression" dxfId="15134" priority="1868" stopIfTrue="1">
      <formula>C49=CléPersonnalisée2</formula>
    </cfRule>
    <cfRule type="expression" dxfId="15133" priority="1869" stopIfTrue="1">
      <formula>C49=CléPersonnalisée1</formula>
    </cfRule>
    <cfRule type="expression" dxfId="15132" priority="1870" stopIfTrue="1">
      <formula>C49=CléMaladie</formula>
    </cfRule>
    <cfRule type="expression" dxfId="15131" priority="1871" stopIfTrue="1">
      <formula>C49=CléPersonnelle</formula>
    </cfRule>
    <cfRule type="expression" dxfId="15130" priority="1872" stopIfTrue="1">
      <formula>C49=CléCongés</formula>
    </cfRule>
  </conditionalFormatting>
  <conditionalFormatting sqref="C17:C18 C5:AG7 C9:AG11">
    <cfRule type="expression" priority="1842" stopIfTrue="1">
      <formula>C5=""</formula>
    </cfRule>
    <cfRule type="expression" dxfId="15114" priority="1843" stopIfTrue="1">
      <formula>C5=CléPersonnalisée2</formula>
    </cfRule>
    <cfRule type="expression" dxfId="15113" priority="1844" stopIfTrue="1">
      <formula>C5=CléPersonnalisée1</formula>
    </cfRule>
    <cfRule type="expression" dxfId="15112" priority="1845" stopIfTrue="1">
      <formula>C5=CléMaladie</formula>
    </cfRule>
    <cfRule type="expression" dxfId="15111" priority="1846" stopIfTrue="1">
      <formula>C5=CléPersonnelle</formula>
    </cfRule>
    <cfRule type="expression" dxfId="15110" priority="1847" stopIfTrue="1">
      <formula>C5=CléCongés</formula>
    </cfRule>
  </conditionalFormatting>
  <conditionalFormatting sqref="AH9:AH11 AH5:AH6">
    <cfRule type="dataBar" priority="1848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{47233F45-7BCF-42DE-8A40-AB5FC28A827B}</x14:id>
        </ext>
      </extLst>
    </cfRule>
  </conditionalFormatting>
  <conditionalFormatting sqref="AI5:AL6 AI9:AL11">
    <cfRule type="expression" priority="1836" stopIfTrue="1">
      <formula>AI5=""</formula>
    </cfRule>
    <cfRule type="expression" dxfId="15109" priority="1837" stopIfTrue="1">
      <formula>AI5=CléPersonnalisée2</formula>
    </cfRule>
    <cfRule type="expression" dxfId="15108" priority="1838" stopIfTrue="1">
      <formula>AI5=CléPersonnalisée1</formula>
    </cfRule>
    <cfRule type="expression" dxfId="15107" priority="1839" stopIfTrue="1">
      <formula>AI5=CléMaladie</formula>
    </cfRule>
    <cfRule type="expression" dxfId="15106" priority="1840" stopIfTrue="1">
      <formula>AI5=CléPersonnelle</formula>
    </cfRule>
    <cfRule type="expression" dxfId="15105" priority="1841" stopIfTrue="1">
      <formula>AI5=CléCongés</formula>
    </cfRule>
  </conditionalFormatting>
  <conditionalFormatting sqref="AM5:AP6 AM9:AP10">
    <cfRule type="expression" priority="1830" stopIfTrue="1">
      <formula>AM5=""</formula>
    </cfRule>
    <cfRule type="expression" dxfId="15104" priority="1831" stopIfTrue="1">
      <formula>AM5=CléPersonnalisée2</formula>
    </cfRule>
    <cfRule type="expression" dxfId="15103" priority="1832" stopIfTrue="1">
      <formula>AM5=CléPersonnalisée1</formula>
    </cfRule>
    <cfRule type="expression" dxfId="15102" priority="1833" stopIfTrue="1">
      <formula>AM5=CléMaladie</formula>
    </cfRule>
    <cfRule type="expression" dxfId="15101" priority="1834" stopIfTrue="1">
      <formula>AM5=CléPersonnelle</formula>
    </cfRule>
    <cfRule type="expression" dxfId="15100" priority="1835" stopIfTrue="1">
      <formula>AM5=CléCongés</formula>
    </cfRule>
  </conditionalFormatting>
  <conditionalFormatting sqref="AQ5:AR6 AQ9:AR10 AQ32:AR32 AQ44:AR44">
    <cfRule type="expression" priority="1824" stopIfTrue="1">
      <formula>AQ5=""</formula>
    </cfRule>
    <cfRule type="expression" dxfId="15099" priority="1825" stopIfTrue="1">
      <formula>AQ5=CléPersonnalisée2</formula>
    </cfRule>
    <cfRule type="expression" dxfId="15098" priority="1826" stopIfTrue="1">
      <formula>AQ5=CléPersonnalisée1</formula>
    </cfRule>
    <cfRule type="expression" dxfId="15097" priority="1827" stopIfTrue="1">
      <formula>AQ5=CléMaladie</formula>
    </cfRule>
    <cfRule type="expression" dxfId="15096" priority="1828" stopIfTrue="1">
      <formula>AQ5=CléPersonnelle</formula>
    </cfRule>
    <cfRule type="expression" dxfId="15095" priority="1829" stopIfTrue="1">
      <formula>AQ5=CléCongés</formula>
    </cfRule>
  </conditionalFormatting>
  <conditionalFormatting sqref="AP7:AP8">
    <cfRule type="expression" priority="1818" stopIfTrue="1">
      <formula>AP7=""</formula>
    </cfRule>
    <cfRule type="expression" dxfId="15094" priority="1819" stopIfTrue="1">
      <formula>AP7=CléPersonnalisée2</formula>
    </cfRule>
    <cfRule type="expression" dxfId="15093" priority="1820" stopIfTrue="1">
      <formula>AP7=CléPersonnalisée1</formula>
    </cfRule>
    <cfRule type="expression" dxfId="15092" priority="1821" stopIfTrue="1">
      <formula>AP7=CléMaladie</formula>
    </cfRule>
    <cfRule type="expression" dxfId="15091" priority="1822" stopIfTrue="1">
      <formula>AP7=CléPersonnelle</formula>
    </cfRule>
    <cfRule type="expression" dxfId="15090" priority="1823" stopIfTrue="1">
      <formula>AP7=CléCongés</formula>
    </cfRule>
  </conditionalFormatting>
  <conditionalFormatting sqref="AQ8:AR8 AR7">
    <cfRule type="expression" priority="1812" stopIfTrue="1">
      <formula>AQ7=""</formula>
    </cfRule>
    <cfRule type="expression" dxfId="15089" priority="1813" stopIfTrue="1">
      <formula>AQ7=CléPersonnalisée2</formula>
    </cfRule>
    <cfRule type="expression" dxfId="15088" priority="1814" stopIfTrue="1">
      <formula>AQ7=CléPersonnalisée1</formula>
    </cfRule>
    <cfRule type="expression" dxfId="15087" priority="1815" stopIfTrue="1">
      <formula>AQ7=CléMaladie</formula>
    </cfRule>
    <cfRule type="expression" dxfId="15086" priority="1816" stopIfTrue="1">
      <formula>AQ7=CléPersonnelle</formula>
    </cfRule>
    <cfRule type="expression" dxfId="15085" priority="1817" stopIfTrue="1">
      <formula>AQ7=CléCongés</formula>
    </cfRule>
  </conditionalFormatting>
  <conditionalFormatting sqref="AM11 AP11">
    <cfRule type="expression" priority="1806" stopIfTrue="1">
      <formula>AM11=""</formula>
    </cfRule>
    <cfRule type="expression" dxfId="15084" priority="1807" stopIfTrue="1">
      <formula>AM11=CléPersonnalisée2</formula>
    </cfRule>
    <cfRule type="expression" dxfId="15083" priority="1808" stopIfTrue="1">
      <formula>AM11=CléPersonnalisée1</formula>
    </cfRule>
    <cfRule type="expression" dxfId="15082" priority="1809" stopIfTrue="1">
      <formula>AM11=CléMaladie</formula>
    </cfRule>
    <cfRule type="expression" dxfId="15081" priority="1810" stopIfTrue="1">
      <formula>AM11=CléPersonnelle</formula>
    </cfRule>
    <cfRule type="expression" dxfId="15080" priority="1811" stopIfTrue="1">
      <formula>AM11=CléCongés</formula>
    </cfRule>
  </conditionalFormatting>
  <conditionalFormatting sqref="AQ48:AR48">
    <cfRule type="expression" priority="1800" stopIfTrue="1">
      <formula>AQ48=""</formula>
    </cfRule>
    <cfRule type="expression" dxfId="15079" priority="1801" stopIfTrue="1">
      <formula>AQ48=CléPersonnalisée2</formula>
    </cfRule>
    <cfRule type="expression" dxfId="15078" priority="1802" stopIfTrue="1">
      <formula>AQ48=CléPersonnalisée1</formula>
    </cfRule>
    <cfRule type="expression" dxfId="15077" priority="1803" stopIfTrue="1">
      <formula>AQ48=CléMaladie</formula>
    </cfRule>
    <cfRule type="expression" dxfId="15076" priority="1804" stopIfTrue="1">
      <formula>AQ48=CléPersonnelle</formula>
    </cfRule>
    <cfRule type="expression" dxfId="15075" priority="1805" stopIfTrue="1">
      <formula>AQ48=CléCongés</formula>
    </cfRule>
  </conditionalFormatting>
  <conditionalFormatting sqref="AQ52:AR52">
    <cfRule type="expression" priority="1794" stopIfTrue="1">
      <formula>AQ52=""</formula>
    </cfRule>
    <cfRule type="expression" dxfId="15074" priority="1795" stopIfTrue="1">
      <formula>AQ52=CléPersonnalisée2</formula>
    </cfRule>
    <cfRule type="expression" dxfId="15073" priority="1796" stopIfTrue="1">
      <formula>AQ52=CléPersonnalisée1</formula>
    </cfRule>
    <cfRule type="expression" dxfId="15072" priority="1797" stopIfTrue="1">
      <formula>AQ52=CléMaladie</formula>
    </cfRule>
    <cfRule type="expression" dxfId="15071" priority="1798" stopIfTrue="1">
      <formula>AQ52=CléPersonnelle</formula>
    </cfRule>
    <cfRule type="expression" dxfId="15070" priority="1799" stopIfTrue="1">
      <formula>AQ52=CléCongés</formula>
    </cfRule>
  </conditionalFormatting>
  <conditionalFormatting sqref="AQ56:AR56 AQ60:AR60">
    <cfRule type="expression" priority="1788" stopIfTrue="1">
      <formula>AQ56=""</formula>
    </cfRule>
    <cfRule type="expression" dxfId="15069" priority="1789" stopIfTrue="1">
      <formula>AQ56=CléPersonnalisée2</formula>
    </cfRule>
    <cfRule type="expression" dxfId="15068" priority="1790" stopIfTrue="1">
      <formula>AQ56=CléPersonnalisée1</formula>
    </cfRule>
    <cfRule type="expression" dxfId="15067" priority="1791" stopIfTrue="1">
      <formula>AQ56=CléMaladie</formula>
    </cfRule>
    <cfRule type="expression" dxfId="15066" priority="1792" stopIfTrue="1">
      <formula>AQ56=CléPersonnelle</formula>
    </cfRule>
    <cfRule type="expression" dxfId="15065" priority="1793" stopIfTrue="1">
      <formula>AQ56=CléCongés</formula>
    </cfRule>
  </conditionalFormatting>
  <conditionalFormatting sqref="AQ64:AR64 AQ68:AR68">
    <cfRule type="expression" priority="1782" stopIfTrue="1">
      <formula>AQ64=""</formula>
    </cfRule>
    <cfRule type="expression" dxfId="15064" priority="1783" stopIfTrue="1">
      <formula>AQ64=CléPersonnalisée2</formula>
    </cfRule>
    <cfRule type="expression" dxfId="15063" priority="1784" stopIfTrue="1">
      <formula>AQ64=CléPersonnalisée1</formula>
    </cfRule>
    <cfRule type="expression" dxfId="15062" priority="1785" stopIfTrue="1">
      <formula>AQ64=CléMaladie</formula>
    </cfRule>
    <cfRule type="expression" dxfId="15061" priority="1786" stopIfTrue="1">
      <formula>AQ64=CléPersonnelle</formula>
    </cfRule>
    <cfRule type="expression" dxfId="15060" priority="1787" stopIfTrue="1">
      <formula>AQ64=CléCongés</formula>
    </cfRule>
  </conditionalFormatting>
  <conditionalFormatting sqref="AQ72:AR72 AQ76:AR76 AQ84:AR84 AQ88:AR88 AQ92:AR92 AQ80:AR80">
    <cfRule type="expression" priority="1776" stopIfTrue="1">
      <formula>AQ72=""</formula>
    </cfRule>
    <cfRule type="expression" dxfId="15059" priority="1777" stopIfTrue="1">
      <formula>AQ72=CléPersonnalisée2</formula>
    </cfRule>
    <cfRule type="expression" dxfId="15058" priority="1778" stopIfTrue="1">
      <formula>AQ72=CléPersonnalisée1</formula>
    </cfRule>
    <cfRule type="expression" dxfId="15057" priority="1779" stopIfTrue="1">
      <formula>AQ72=CléMaladie</formula>
    </cfRule>
    <cfRule type="expression" dxfId="15056" priority="1780" stopIfTrue="1">
      <formula>AQ72=CléPersonnelle</formula>
    </cfRule>
    <cfRule type="expression" dxfId="15055" priority="1781" stopIfTrue="1">
      <formula>AQ72=CléCongés</formula>
    </cfRule>
  </conditionalFormatting>
  <conditionalFormatting sqref="C19:AG19 D17:AG18">
    <cfRule type="expression" priority="1770" stopIfTrue="1">
      <formula>C17=""</formula>
    </cfRule>
    <cfRule type="expression" dxfId="15054" priority="1771" stopIfTrue="1">
      <formula>C17=CléPersonnalisée2</formula>
    </cfRule>
    <cfRule type="expression" dxfId="15053" priority="1772" stopIfTrue="1">
      <formula>C17=CléPersonnalisée1</formula>
    </cfRule>
    <cfRule type="expression" dxfId="15052" priority="1773" stopIfTrue="1">
      <formula>C17=CléMaladie</formula>
    </cfRule>
    <cfRule type="expression" dxfId="15051" priority="1774" stopIfTrue="1">
      <formula>C17=CléPersonnelle</formula>
    </cfRule>
    <cfRule type="expression" dxfId="15050" priority="1775" stopIfTrue="1">
      <formula>C17=CléCongés</formula>
    </cfRule>
  </conditionalFormatting>
  <conditionalFormatting sqref="AJ19:AL19">
    <cfRule type="expression" priority="1764" stopIfTrue="1">
      <formula>AJ19=""</formula>
    </cfRule>
    <cfRule type="expression" dxfId="15049" priority="1765" stopIfTrue="1">
      <formula>AJ19=CléPersonnalisée2</formula>
    </cfRule>
    <cfRule type="expression" dxfId="15048" priority="1766" stopIfTrue="1">
      <formula>AJ19=CléPersonnalisée1</formula>
    </cfRule>
    <cfRule type="expression" dxfId="15047" priority="1767" stopIfTrue="1">
      <formula>AJ19=CléMaladie</formula>
    </cfRule>
    <cfRule type="expression" dxfId="15046" priority="1768" stopIfTrue="1">
      <formula>AJ19=CléPersonnelle</formula>
    </cfRule>
    <cfRule type="expression" dxfId="15045" priority="1769" stopIfTrue="1">
      <formula>AJ19=CléCongés</formula>
    </cfRule>
  </conditionalFormatting>
  <conditionalFormatting sqref="C21:AG23">
    <cfRule type="expression" priority="1758" stopIfTrue="1">
      <formula>C21=""</formula>
    </cfRule>
    <cfRule type="expression" dxfId="15044" priority="1759" stopIfTrue="1">
      <formula>C21=CléPersonnalisée2</formula>
    </cfRule>
    <cfRule type="expression" dxfId="15043" priority="1760" stopIfTrue="1">
      <formula>C21=CléPersonnalisée1</formula>
    </cfRule>
    <cfRule type="expression" dxfId="15042" priority="1761" stopIfTrue="1">
      <formula>C21=CléMaladie</formula>
    </cfRule>
    <cfRule type="expression" dxfId="15041" priority="1762" stopIfTrue="1">
      <formula>C21=CléPersonnelle</formula>
    </cfRule>
    <cfRule type="expression" dxfId="15040" priority="1763" stopIfTrue="1">
      <formula>C21=CléCongés</formula>
    </cfRule>
  </conditionalFormatting>
  <conditionalFormatting sqref="AJ23:AL23">
    <cfRule type="expression" priority="1752" stopIfTrue="1">
      <formula>AJ23=""</formula>
    </cfRule>
    <cfRule type="expression" dxfId="15039" priority="1753" stopIfTrue="1">
      <formula>AJ23=CléPersonnalisée2</formula>
    </cfRule>
    <cfRule type="expression" dxfId="15038" priority="1754" stopIfTrue="1">
      <formula>AJ23=CléPersonnalisée1</formula>
    </cfRule>
    <cfRule type="expression" dxfId="15037" priority="1755" stopIfTrue="1">
      <formula>AJ23=CléMaladie</formula>
    </cfRule>
    <cfRule type="expression" dxfId="15036" priority="1756" stopIfTrue="1">
      <formula>AJ23=CléPersonnelle</formula>
    </cfRule>
    <cfRule type="expression" dxfId="15035" priority="1757" stopIfTrue="1">
      <formula>AJ23=CléCongés</formula>
    </cfRule>
  </conditionalFormatting>
  <conditionalFormatting sqref="C25:AG27">
    <cfRule type="expression" priority="1745" stopIfTrue="1">
      <formula>C25=""</formula>
    </cfRule>
    <cfRule type="expression" dxfId="15034" priority="1746" stopIfTrue="1">
      <formula>C25=CléPersonnalisée2</formula>
    </cfRule>
    <cfRule type="expression" dxfId="15033" priority="1747" stopIfTrue="1">
      <formula>C25=CléPersonnalisée1</formula>
    </cfRule>
    <cfRule type="expression" dxfId="15032" priority="1748" stopIfTrue="1">
      <formula>C25=CléMaladie</formula>
    </cfRule>
    <cfRule type="expression" dxfId="15031" priority="1749" stopIfTrue="1">
      <formula>C25=CléPersonnelle</formula>
    </cfRule>
    <cfRule type="expression" dxfId="15030" priority="1750" stopIfTrue="1">
      <formula>C25=CléCongés</formula>
    </cfRule>
  </conditionalFormatting>
  <conditionalFormatting sqref="AH27">
    <cfRule type="dataBar" priority="1751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{F2B0700A-EA4F-4756-8DF7-23F26943B9FA}</x14:id>
        </ext>
      </extLst>
    </cfRule>
  </conditionalFormatting>
  <conditionalFormatting sqref="AI27:AL27">
    <cfRule type="expression" priority="1739" stopIfTrue="1">
      <formula>AI27=""</formula>
    </cfRule>
    <cfRule type="expression" dxfId="15029" priority="1740" stopIfTrue="1">
      <formula>AI27=CléPersonnalisée2</formula>
    </cfRule>
    <cfRule type="expression" dxfId="15028" priority="1741" stopIfTrue="1">
      <formula>AI27=CléPersonnalisée1</formula>
    </cfRule>
    <cfRule type="expression" dxfId="15027" priority="1742" stopIfTrue="1">
      <formula>AI27=CléMaladie</formula>
    </cfRule>
    <cfRule type="expression" dxfId="15026" priority="1743" stopIfTrue="1">
      <formula>AI27=CléPersonnelle</formula>
    </cfRule>
    <cfRule type="expression" dxfId="15025" priority="1744" stopIfTrue="1">
      <formula>AI27=CléCongés</formula>
    </cfRule>
  </conditionalFormatting>
  <conditionalFormatting sqref="AM25:AP26">
    <cfRule type="expression" priority="1733" stopIfTrue="1">
      <formula>AM25=""</formula>
    </cfRule>
    <cfRule type="expression" dxfId="15024" priority="1734" stopIfTrue="1">
      <formula>AM25=CléPersonnalisée2</formula>
    </cfRule>
    <cfRule type="expression" dxfId="15023" priority="1735" stopIfTrue="1">
      <formula>AM25=CléPersonnalisée1</formula>
    </cfRule>
    <cfRule type="expression" dxfId="15022" priority="1736" stopIfTrue="1">
      <formula>AM25=CléMaladie</formula>
    </cfRule>
    <cfRule type="expression" dxfId="15021" priority="1737" stopIfTrue="1">
      <formula>AM25=CléPersonnelle</formula>
    </cfRule>
    <cfRule type="expression" dxfId="15020" priority="1738" stopIfTrue="1">
      <formula>AM25=CléCongés</formula>
    </cfRule>
  </conditionalFormatting>
  <conditionalFormatting sqref="AQ25:AR26">
    <cfRule type="expression" priority="1727" stopIfTrue="1">
      <formula>AQ25=""</formula>
    </cfRule>
    <cfRule type="expression" dxfId="15019" priority="1728" stopIfTrue="1">
      <formula>AQ25=CléPersonnalisée2</formula>
    </cfRule>
    <cfRule type="expression" dxfId="15018" priority="1729" stopIfTrue="1">
      <formula>AQ25=CléPersonnalisée1</formula>
    </cfRule>
    <cfRule type="expression" dxfId="15017" priority="1730" stopIfTrue="1">
      <formula>AQ25=CléMaladie</formula>
    </cfRule>
    <cfRule type="expression" dxfId="15016" priority="1731" stopIfTrue="1">
      <formula>AQ25=CléPersonnelle</formula>
    </cfRule>
    <cfRule type="expression" dxfId="15015" priority="1732" stopIfTrue="1">
      <formula>AQ25=CléCongés</formula>
    </cfRule>
  </conditionalFormatting>
  <conditionalFormatting sqref="AM27 AP27">
    <cfRule type="expression" priority="1721" stopIfTrue="1">
      <formula>AM27=""</formula>
    </cfRule>
    <cfRule type="expression" dxfId="15014" priority="1722" stopIfTrue="1">
      <formula>AM27=CléPersonnalisée2</formula>
    </cfRule>
    <cfRule type="expression" dxfId="15013" priority="1723" stopIfTrue="1">
      <formula>AM27=CléPersonnalisée1</formula>
    </cfRule>
    <cfRule type="expression" dxfId="15012" priority="1724" stopIfTrue="1">
      <formula>AM27=CléMaladie</formula>
    </cfRule>
    <cfRule type="expression" dxfId="15011" priority="1725" stopIfTrue="1">
      <formula>AM27=CléPersonnelle</formula>
    </cfRule>
    <cfRule type="expression" dxfId="15010" priority="1726" stopIfTrue="1">
      <formula>AM27=CléCongés</formula>
    </cfRule>
  </conditionalFormatting>
  <conditionalFormatting sqref="C29:AG31">
    <cfRule type="expression" priority="1714" stopIfTrue="1">
      <formula>C29=""</formula>
    </cfRule>
    <cfRule type="expression" dxfId="15009" priority="1715" stopIfTrue="1">
      <formula>C29=CléPersonnalisée2</formula>
    </cfRule>
    <cfRule type="expression" dxfId="15008" priority="1716" stopIfTrue="1">
      <formula>C29=CléPersonnalisée1</formula>
    </cfRule>
    <cfRule type="expression" dxfId="15007" priority="1717" stopIfTrue="1">
      <formula>C29=CléMaladie</formula>
    </cfRule>
    <cfRule type="expression" dxfId="15006" priority="1718" stopIfTrue="1">
      <formula>C29=CléPersonnelle</formula>
    </cfRule>
    <cfRule type="expression" dxfId="15005" priority="1719" stopIfTrue="1">
      <formula>C29=CléCongés</formula>
    </cfRule>
  </conditionalFormatting>
  <conditionalFormatting sqref="AH31">
    <cfRule type="dataBar" priority="1720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{75282701-9630-4C7F-A760-665A4FE84C45}</x14:id>
        </ext>
      </extLst>
    </cfRule>
  </conditionalFormatting>
  <conditionalFormatting sqref="AI31:AL31">
    <cfRule type="expression" priority="1708" stopIfTrue="1">
      <formula>AI31=""</formula>
    </cfRule>
    <cfRule type="expression" dxfId="15004" priority="1709" stopIfTrue="1">
      <formula>AI31=CléPersonnalisée2</formula>
    </cfRule>
    <cfRule type="expression" dxfId="15003" priority="1710" stopIfTrue="1">
      <formula>AI31=CléPersonnalisée1</formula>
    </cfRule>
    <cfRule type="expression" dxfId="15002" priority="1711" stopIfTrue="1">
      <formula>AI31=CléMaladie</formula>
    </cfRule>
    <cfRule type="expression" dxfId="15001" priority="1712" stopIfTrue="1">
      <formula>AI31=CléPersonnelle</formula>
    </cfRule>
    <cfRule type="expression" dxfId="15000" priority="1713" stopIfTrue="1">
      <formula>AI31=CléCongés</formula>
    </cfRule>
  </conditionalFormatting>
  <conditionalFormatting sqref="AM29:AP30">
    <cfRule type="expression" priority="1702" stopIfTrue="1">
      <formula>AM29=""</formula>
    </cfRule>
    <cfRule type="expression" dxfId="14999" priority="1703" stopIfTrue="1">
      <formula>AM29=CléPersonnalisée2</formula>
    </cfRule>
    <cfRule type="expression" dxfId="14998" priority="1704" stopIfTrue="1">
      <formula>AM29=CléPersonnalisée1</formula>
    </cfRule>
    <cfRule type="expression" dxfId="14997" priority="1705" stopIfTrue="1">
      <formula>AM29=CléMaladie</formula>
    </cfRule>
    <cfRule type="expression" dxfId="14996" priority="1706" stopIfTrue="1">
      <formula>AM29=CléPersonnelle</formula>
    </cfRule>
    <cfRule type="expression" dxfId="14995" priority="1707" stopIfTrue="1">
      <formula>AM29=CléCongés</formula>
    </cfRule>
  </conditionalFormatting>
  <conditionalFormatting sqref="AQ29:AR30">
    <cfRule type="expression" priority="1696" stopIfTrue="1">
      <formula>AQ29=""</formula>
    </cfRule>
    <cfRule type="expression" dxfId="14994" priority="1697" stopIfTrue="1">
      <formula>AQ29=CléPersonnalisée2</formula>
    </cfRule>
    <cfRule type="expression" dxfId="14993" priority="1698" stopIfTrue="1">
      <formula>AQ29=CléPersonnalisée1</formula>
    </cfRule>
    <cfRule type="expression" dxfId="14992" priority="1699" stopIfTrue="1">
      <formula>AQ29=CléMaladie</formula>
    </cfRule>
    <cfRule type="expression" dxfId="14991" priority="1700" stopIfTrue="1">
      <formula>AQ29=CléPersonnelle</formula>
    </cfRule>
    <cfRule type="expression" dxfId="14990" priority="1701" stopIfTrue="1">
      <formula>AQ29=CléCongés</formula>
    </cfRule>
  </conditionalFormatting>
  <conditionalFormatting sqref="AM31 AP31">
    <cfRule type="expression" priority="1690" stopIfTrue="1">
      <formula>AM31=""</formula>
    </cfRule>
    <cfRule type="expression" dxfId="14989" priority="1691" stopIfTrue="1">
      <formula>AM31=CléPersonnalisée2</formula>
    </cfRule>
    <cfRule type="expression" dxfId="14988" priority="1692" stopIfTrue="1">
      <formula>AM31=CléPersonnalisée1</formula>
    </cfRule>
    <cfRule type="expression" dxfId="14987" priority="1693" stopIfTrue="1">
      <formula>AM31=CléMaladie</formula>
    </cfRule>
    <cfRule type="expression" dxfId="14986" priority="1694" stopIfTrue="1">
      <formula>AM31=CléPersonnelle</formula>
    </cfRule>
    <cfRule type="expression" dxfId="14985" priority="1695" stopIfTrue="1">
      <formula>AM31=CléCongés</formula>
    </cfRule>
  </conditionalFormatting>
  <conditionalFormatting sqref="C33:AG35">
    <cfRule type="expression" priority="1683" stopIfTrue="1">
      <formula>C33=""</formula>
    </cfRule>
    <cfRule type="expression" dxfId="14984" priority="1684" stopIfTrue="1">
      <formula>C33=CléPersonnalisée2</formula>
    </cfRule>
    <cfRule type="expression" dxfId="14983" priority="1685" stopIfTrue="1">
      <formula>C33=CléPersonnalisée1</formula>
    </cfRule>
    <cfRule type="expression" dxfId="14982" priority="1686" stopIfTrue="1">
      <formula>C33=CléMaladie</formula>
    </cfRule>
    <cfRule type="expression" dxfId="14981" priority="1687" stopIfTrue="1">
      <formula>C33=CléPersonnelle</formula>
    </cfRule>
    <cfRule type="expression" dxfId="14980" priority="1688" stopIfTrue="1">
      <formula>C33=CléCongés</formula>
    </cfRule>
  </conditionalFormatting>
  <conditionalFormatting sqref="AH35">
    <cfRule type="dataBar" priority="1689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{0DB6543A-FEFE-45F8-8344-EE9A842D14E8}</x14:id>
        </ext>
      </extLst>
    </cfRule>
  </conditionalFormatting>
  <conditionalFormatting sqref="AI35:AL35">
    <cfRule type="expression" priority="1677" stopIfTrue="1">
      <formula>AI35=""</formula>
    </cfRule>
    <cfRule type="expression" dxfId="14979" priority="1678" stopIfTrue="1">
      <formula>AI35=CléPersonnalisée2</formula>
    </cfRule>
    <cfRule type="expression" dxfId="14978" priority="1679" stopIfTrue="1">
      <formula>AI35=CléPersonnalisée1</formula>
    </cfRule>
    <cfRule type="expression" dxfId="14977" priority="1680" stopIfTrue="1">
      <formula>AI35=CléMaladie</formula>
    </cfRule>
    <cfRule type="expression" dxfId="14976" priority="1681" stopIfTrue="1">
      <formula>AI35=CléPersonnelle</formula>
    </cfRule>
    <cfRule type="expression" dxfId="14975" priority="1682" stopIfTrue="1">
      <formula>AI35=CléCongés</formula>
    </cfRule>
  </conditionalFormatting>
  <conditionalFormatting sqref="AM33:AP34">
    <cfRule type="expression" priority="1671" stopIfTrue="1">
      <formula>AM33=""</formula>
    </cfRule>
    <cfRule type="expression" dxfId="14974" priority="1672" stopIfTrue="1">
      <formula>AM33=CléPersonnalisée2</formula>
    </cfRule>
    <cfRule type="expression" dxfId="14973" priority="1673" stopIfTrue="1">
      <formula>AM33=CléPersonnalisée1</formula>
    </cfRule>
    <cfRule type="expression" dxfId="14972" priority="1674" stopIfTrue="1">
      <formula>AM33=CléMaladie</formula>
    </cfRule>
    <cfRule type="expression" dxfId="14971" priority="1675" stopIfTrue="1">
      <formula>AM33=CléPersonnelle</formula>
    </cfRule>
    <cfRule type="expression" dxfId="14970" priority="1676" stopIfTrue="1">
      <formula>AM33=CléCongés</formula>
    </cfRule>
  </conditionalFormatting>
  <conditionalFormatting sqref="AQ33:AR34">
    <cfRule type="expression" priority="1665" stopIfTrue="1">
      <formula>AQ33=""</formula>
    </cfRule>
    <cfRule type="expression" dxfId="14969" priority="1666" stopIfTrue="1">
      <formula>AQ33=CléPersonnalisée2</formula>
    </cfRule>
    <cfRule type="expression" dxfId="14968" priority="1667" stopIfTrue="1">
      <formula>AQ33=CléPersonnalisée1</formula>
    </cfRule>
    <cfRule type="expression" dxfId="14967" priority="1668" stopIfTrue="1">
      <formula>AQ33=CléMaladie</formula>
    </cfRule>
    <cfRule type="expression" dxfId="14966" priority="1669" stopIfTrue="1">
      <formula>AQ33=CléPersonnelle</formula>
    </cfRule>
    <cfRule type="expression" dxfId="14965" priority="1670" stopIfTrue="1">
      <formula>AQ33=CléCongés</formula>
    </cfRule>
  </conditionalFormatting>
  <conditionalFormatting sqref="AM35 AP35">
    <cfRule type="expression" priority="1659" stopIfTrue="1">
      <formula>AM35=""</formula>
    </cfRule>
    <cfRule type="expression" dxfId="14964" priority="1660" stopIfTrue="1">
      <formula>AM35=CléPersonnalisée2</formula>
    </cfRule>
    <cfRule type="expression" dxfId="14963" priority="1661" stopIfTrue="1">
      <formula>AM35=CléPersonnalisée1</formula>
    </cfRule>
    <cfRule type="expression" dxfId="14962" priority="1662" stopIfTrue="1">
      <formula>AM35=CléMaladie</formula>
    </cfRule>
    <cfRule type="expression" dxfId="14961" priority="1663" stopIfTrue="1">
      <formula>AM35=CléPersonnelle</formula>
    </cfRule>
    <cfRule type="expression" dxfId="14960" priority="1664" stopIfTrue="1">
      <formula>AM35=CléCongés</formula>
    </cfRule>
  </conditionalFormatting>
  <conditionalFormatting sqref="C37:AG39">
    <cfRule type="expression" priority="1652" stopIfTrue="1">
      <formula>C37=""</formula>
    </cfRule>
    <cfRule type="expression" dxfId="14959" priority="1653" stopIfTrue="1">
      <formula>C37=CléPersonnalisée2</formula>
    </cfRule>
    <cfRule type="expression" dxfId="14958" priority="1654" stopIfTrue="1">
      <formula>C37=CléPersonnalisée1</formula>
    </cfRule>
    <cfRule type="expression" dxfId="14957" priority="1655" stopIfTrue="1">
      <formula>C37=CléMaladie</formula>
    </cfRule>
    <cfRule type="expression" dxfId="14956" priority="1656" stopIfTrue="1">
      <formula>C37=CléPersonnelle</formula>
    </cfRule>
    <cfRule type="expression" dxfId="14955" priority="1657" stopIfTrue="1">
      <formula>C37=CléCongés</formula>
    </cfRule>
  </conditionalFormatting>
  <conditionalFormatting sqref="AH39">
    <cfRule type="dataBar" priority="1658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{38C8DF1A-2827-44E7-AA80-04F840A39A56}</x14:id>
        </ext>
      </extLst>
    </cfRule>
  </conditionalFormatting>
  <conditionalFormatting sqref="AI39:AL39">
    <cfRule type="expression" priority="1646" stopIfTrue="1">
      <formula>AI39=""</formula>
    </cfRule>
    <cfRule type="expression" dxfId="14954" priority="1647" stopIfTrue="1">
      <formula>AI39=CléPersonnalisée2</formula>
    </cfRule>
    <cfRule type="expression" dxfId="14953" priority="1648" stopIfTrue="1">
      <formula>AI39=CléPersonnalisée1</formula>
    </cfRule>
    <cfRule type="expression" dxfId="14952" priority="1649" stopIfTrue="1">
      <formula>AI39=CléMaladie</formula>
    </cfRule>
    <cfRule type="expression" dxfId="14951" priority="1650" stopIfTrue="1">
      <formula>AI39=CléPersonnelle</formula>
    </cfRule>
    <cfRule type="expression" dxfId="14950" priority="1651" stopIfTrue="1">
      <formula>AI39=CléCongés</formula>
    </cfRule>
  </conditionalFormatting>
  <conditionalFormatting sqref="AM37:AP38">
    <cfRule type="expression" priority="1640" stopIfTrue="1">
      <formula>AM37=""</formula>
    </cfRule>
    <cfRule type="expression" dxfId="14949" priority="1641" stopIfTrue="1">
      <formula>AM37=CléPersonnalisée2</formula>
    </cfRule>
    <cfRule type="expression" dxfId="14948" priority="1642" stopIfTrue="1">
      <formula>AM37=CléPersonnalisée1</formula>
    </cfRule>
    <cfRule type="expression" dxfId="14947" priority="1643" stopIfTrue="1">
      <formula>AM37=CléMaladie</formula>
    </cfRule>
    <cfRule type="expression" dxfId="14946" priority="1644" stopIfTrue="1">
      <formula>AM37=CléPersonnelle</formula>
    </cfRule>
    <cfRule type="expression" dxfId="14945" priority="1645" stopIfTrue="1">
      <formula>AM37=CléCongés</formula>
    </cfRule>
  </conditionalFormatting>
  <conditionalFormatting sqref="AQ37:AR38">
    <cfRule type="expression" priority="1634" stopIfTrue="1">
      <formula>AQ37=""</formula>
    </cfRule>
    <cfRule type="expression" dxfId="14944" priority="1635" stopIfTrue="1">
      <formula>AQ37=CléPersonnalisée2</formula>
    </cfRule>
    <cfRule type="expression" dxfId="14943" priority="1636" stopIfTrue="1">
      <formula>AQ37=CléPersonnalisée1</formula>
    </cfRule>
    <cfRule type="expression" dxfId="14942" priority="1637" stopIfTrue="1">
      <formula>AQ37=CléMaladie</formula>
    </cfRule>
    <cfRule type="expression" dxfId="14941" priority="1638" stopIfTrue="1">
      <formula>AQ37=CléPersonnelle</formula>
    </cfRule>
    <cfRule type="expression" dxfId="14940" priority="1639" stopIfTrue="1">
      <formula>AQ37=CléCongés</formula>
    </cfRule>
  </conditionalFormatting>
  <conditionalFormatting sqref="AM39 AP39">
    <cfRule type="expression" priority="1628" stopIfTrue="1">
      <formula>AM39=""</formula>
    </cfRule>
    <cfRule type="expression" dxfId="14939" priority="1629" stopIfTrue="1">
      <formula>AM39=CléPersonnalisée2</formula>
    </cfRule>
    <cfRule type="expression" dxfId="14938" priority="1630" stopIfTrue="1">
      <formula>AM39=CléPersonnalisée1</formula>
    </cfRule>
    <cfRule type="expression" dxfId="14937" priority="1631" stopIfTrue="1">
      <formula>AM39=CléMaladie</formula>
    </cfRule>
    <cfRule type="expression" dxfId="14936" priority="1632" stopIfTrue="1">
      <formula>AM39=CléPersonnelle</formula>
    </cfRule>
    <cfRule type="expression" dxfId="14935" priority="1633" stopIfTrue="1">
      <formula>AM39=CléCongés</formula>
    </cfRule>
  </conditionalFormatting>
  <conditionalFormatting sqref="C41:AG43">
    <cfRule type="expression" priority="1621" stopIfTrue="1">
      <formula>C41=""</formula>
    </cfRule>
    <cfRule type="expression" dxfId="14934" priority="1622" stopIfTrue="1">
      <formula>C41=CléPersonnalisée2</formula>
    </cfRule>
    <cfRule type="expression" dxfId="14933" priority="1623" stopIfTrue="1">
      <formula>C41=CléPersonnalisée1</formula>
    </cfRule>
    <cfRule type="expression" dxfId="14932" priority="1624" stopIfTrue="1">
      <formula>C41=CléMaladie</formula>
    </cfRule>
    <cfRule type="expression" dxfId="14931" priority="1625" stopIfTrue="1">
      <formula>C41=CléPersonnelle</formula>
    </cfRule>
    <cfRule type="expression" dxfId="14930" priority="1626" stopIfTrue="1">
      <formula>C41=CléCongés</formula>
    </cfRule>
  </conditionalFormatting>
  <conditionalFormatting sqref="AH43">
    <cfRule type="dataBar" priority="1627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{85119286-66A2-47F0-BFF5-3E0B9343DB33}</x14:id>
        </ext>
      </extLst>
    </cfRule>
  </conditionalFormatting>
  <conditionalFormatting sqref="AI43:AL43">
    <cfRule type="expression" priority="1615" stopIfTrue="1">
      <formula>AI43=""</formula>
    </cfRule>
    <cfRule type="expression" dxfId="14929" priority="1616" stopIfTrue="1">
      <formula>AI43=CléPersonnalisée2</formula>
    </cfRule>
    <cfRule type="expression" dxfId="14928" priority="1617" stopIfTrue="1">
      <formula>AI43=CléPersonnalisée1</formula>
    </cfRule>
    <cfRule type="expression" dxfId="14927" priority="1618" stopIfTrue="1">
      <formula>AI43=CléMaladie</formula>
    </cfRule>
    <cfRule type="expression" dxfId="14926" priority="1619" stopIfTrue="1">
      <formula>AI43=CléPersonnelle</formula>
    </cfRule>
    <cfRule type="expression" dxfId="14925" priority="1620" stopIfTrue="1">
      <formula>AI43=CléCongés</formula>
    </cfRule>
  </conditionalFormatting>
  <conditionalFormatting sqref="AM41:AP42">
    <cfRule type="expression" priority="1609" stopIfTrue="1">
      <formula>AM41=""</formula>
    </cfRule>
    <cfRule type="expression" dxfId="14924" priority="1610" stopIfTrue="1">
      <formula>AM41=CléPersonnalisée2</formula>
    </cfRule>
    <cfRule type="expression" dxfId="14923" priority="1611" stopIfTrue="1">
      <formula>AM41=CléPersonnalisée1</formula>
    </cfRule>
    <cfRule type="expression" dxfId="14922" priority="1612" stopIfTrue="1">
      <formula>AM41=CléMaladie</formula>
    </cfRule>
    <cfRule type="expression" dxfId="14921" priority="1613" stopIfTrue="1">
      <formula>AM41=CléPersonnelle</formula>
    </cfRule>
    <cfRule type="expression" dxfId="14920" priority="1614" stopIfTrue="1">
      <formula>AM41=CléCongés</formula>
    </cfRule>
  </conditionalFormatting>
  <conditionalFormatting sqref="AQ41:AR42">
    <cfRule type="expression" priority="1603" stopIfTrue="1">
      <formula>AQ41=""</formula>
    </cfRule>
    <cfRule type="expression" dxfId="14919" priority="1604" stopIfTrue="1">
      <formula>AQ41=CléPersonnalisée2</formula>
    </cfRule>
    <cfRule type="expression" dxfId="14918" priority="1605" stopIfTrue="1">
      <formula>AQ41=CléPersonnalisée1</formula>
    </cfRule>
    <cfRule type="expression" dxfId="14917" priority="1606" stopIfTrue="1">
      <formula>AQ41=CléMaladie</formula>
    </cfRule>
    <cfRule type="expression" dxfId="14916" priority="1607" stopIfTrue="1">
      <formula>AQ41=CléPersonnelle</formula>
    </cfRule>
    <cfRule type="expression" dxfId="14915" priority="1608" stopIfTrue="1">
      <formula>AQ41=CléCongés</formula>
    </cfRule>
  </conditionalFormatting>
  <conditionalFormatting sqref="AM43 AP43">
    <cfRule type="expression" priority="1597" stopIfTrue="1">
      <formula>AM43=""</formula>
    </cfRule>
    <cfRule type="expression" dxfId="14914" priority="1598" stopIfTrue="1">
      <formula>AM43=CléPersonnalisée2</formula>
    </cfRule>
    <cfRule type="expression" dxfId="14913" priority="1599" stopIfTrue="1">
      <formula>AM43=CléPersonnalisée1</formula>
    </cfRule>
    <cfRule type="expression" dxfId="14912" priority="1600" stopIfTrue="1">
      <formula>AM43=CléMaladie</formula>
    </cfRule>
    <cfRule type="expression" dxfId="14911" priority="1601" stopIfTrue="1">
      <formula>AM43=CléPersonnelle</formula>
    </cfRule>
    <cfRule type="expression" dxfId="14910" priority="1602" stopIfTrue="1">
      <formula>AM43=CléCongés</formula>
    </cfRule>
  </conditionalFormatting>
  <conditionalFormatting sqref="C45:AG47">
    <cfRule type="expression" priority="1590" stopIfTrue="1">
      <formula>C45=""</formula>
    </cfRule>
    <cfRule type="expression" dxfId="14909" priority="1591" stopIfTrue="1">
      <formula>C45=CléPersonnalisée2</formula>
    </cfRule>
    <cfRule type="expression" dxfId="14908" priority="1592" stopIfTrue="1">
      <formula>C45=CléPersonnalisée1</formula>
    </cfRule>
    <cfRule type="expression" dxfId="14907" priority="1593" stopIfTrue="1">
      <formula>C45=CléMaladie</formula>
    </cfRule>
    <cfRule type="expression" dxfId="14906" priority="1594" stopIfTrue="1">
      <formula>C45=CléPersonnelle</formula>
    </cfRule>
    <cfRule type="expression" dxfId="14905" priority="1595" stopIfTrue="1">
      <formula>C45=CléCongés</formula>
    </cfRule>
  </conditionalFormatting>
  <conditionalFormatting sqref="AH47">
    <cfRule type="dataBar" priority="1596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{3BD9BEF9-85D4-4D14-9460-382A8F5BA582}</x14:id>
        </ext>
      </extLst>
    </cfRule>
  </conditionalFormatting>
  <conditionalFormatting sqref="AI47:AL47">
    <cfRule type="expression" priority="1584" stopIfTrue="1">
      <formula>AI47=""</formula>
    </cfRule>
    <cfRule type="expression" dxfId="14904" priority="1585" stopIfTrue="1">
      <formula>AI47=CléPersonnalisée2</formula>
    </cfRule>
    <cfRule type="expression" dxfId="14903" priority="1586" stopIfTrue="1">
      <formula>AI47=CléPersonnalisée1</formula>
    </cfRule>
    <cfRule type="expression" dxfId="14902" priority="1587" stopIfTrue="1">
      <formula>AI47=CléMaladie</formula>
    </cfRule>
    <cfRule type="expression" dxfId="14901" priority="1588" stopIfTrue="1">
      <formula>AI47=CléPersonnelle</formula>
    </cfRule>
    <cfRule type="expression" dxfId="14900" priority="1589" stopIfTrue="1">
      <formula>AI47=CléCongés</formula>
    </cfRule>
  </conditionalFormatting>
  <conditionalFormatting sqref="AM45:AP46">
    <cfRule type="expression" priority="1578" stopIfTrue="1">
      <formula>AM45=""</formula>
    </cfRule>
    <cfRule type="expression" dxfId="14899" priority="1579" stopIfTrue="1">
      <formula>AM45=CléPersonnalisée2</formula>
    </cfRule>
    <cfRule type="expression" dxfId="14898" priority="1580" stopIfTrue="1">
      <formula>AM45=CléPersonnalisée1</formula>
    </cfRule>
    <cfRule type="expression" dxfId="14897" priority="1581" stopIfTrue="1">
      <formula>AM45=CléMaladie</formula>
    </cfRule>
    <cfRule type="expression" dxfId="14896" priority="1582" stopIfTrue="1">
      <formula>AM45=CléPersonnelle</formula>
    </cfRule>
    <cfRule type="expression" dxfId="14895" priority="1583" stopIfTrue="1">
      <formula>AM45=CléCongés</formula>
    </cfRule>
  </conditionalFormatting>
  <conditionalFormatting sqref="AQ45:AR46">
    <cfRule type="expression" priority="1572" stopIfTrue="1">
      <formula>AQ45=""</formula>
    </cfRule>
    <cfRule type="expression" dxfId="14894" priority="1573" stopIfTrue="1">
      <formula>AQ45=CléPersonnalisée2</formula>
    </cfRule>
    <cfRule type="expression" dxfId="14893" priority="1574" stopIfTrue="1">
      <formula>AQ45=CléPersonnalisée1</formula>
    </cfRule>
    <cfRule type="expression" dxfId="14892" priority="1575" stopIfTrue="1">
      <formula>AQ45=CléMaladie</formula>
    </cfRule>
    <cfRule type="expression" dxfId="14891" priority="1576" stopIfTrue="1">
      <formula>AQ45=CléPersonnelle</formula>
    </cfRule>
    <cfRule type="expression" dxfId="14890" priority="1577" stopIfTrue="1">
      <formula>AQ45=CléCongés</formula>
    </cfRule>
  </conditionalFormatting>
  <conditionalFormatting sqref="AM47 AP47">
    <cfRule type="expression" priority="1566" stopIfTrue="1">
      <formula>AM47=""</formula>
    </cfRule>
    <cfRule type="expression" dxfId="14889" priority="1567" stopIfTrue="1">
      <formula>AM47=CléPersonnalisée2</formula>
    </cfRule>
    <cfRule type="expression" dxfId="14888" priority="1568" stopIfTrue="1">
      <formula>AM47=CléPersonnalisée1</formula>
    </cfRule>
    <cfRule type="expression" dxfId="14887" priority="1569" stopIfTrue="1">
      <formula>AM47=CléMaladie</formula>
    </cfRule>
    <cfRule type="expression" dxfId="14886" priority="1570" stopIfTrue="1">
      <formula>AM47=CléPersonnelle</formula>
    </cfRule>
    <cfRule type="expression" dxfId="14885" priority="1571" stopIfTrue="1">
      <formula>AM47=CléCongés</formula>
    </cfRule>
  </conditionalFormatting>
  <conditionalFormatting sqref="C50:K51 P50:AG50 L51:AG51">
    <cfRule type="expression" priority="1559" stopIfTrue="1">
      <formula>C50=""</formula>
    </cfRule>
    <cfRule type="expression" dxfId="14884" priority="1560" stopIfTrue="1">
      <formula>C50=CléPersonnalisée2</formula>
    </cfRule>
    <cfRule type="expression" dxfId="14883" priority="1561" stopIfTrue="1">
      <formula>C50=CléPersonnalisée1</formula>
    </cfRule>
    <cfRule type="expression" dxfId="14882" priority="1562" stopIfTrue="1">
      <formula>C50=CléMaladie</formula>
    </cfRule>
    <cfRule type="expression" dxfId="14881" priority="1563" stopIfTrue="1">
      <formula>C50=CléPersonnelle</formula>
    </cfRule>
    <cfRule type="expression" dxfId="14880" priority="1564" stopIfTrue="1">
      <formula>C50=CléCongés</formula>
    </cfRule>
  </conditionalFormatting>
  <conditionalFormatting sqref="AH51">
    <cfRule type="dataBar" priority="1565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{D5B74B71-E980-4AC6-9E11-E65619CF5B45}</x14:id>
        </ext>
      </extLst>
    </cfRule>
  </conditionalFormatting>
  <conditionalFormatting sqref="AI51:AL51">
    <cfRule type="expression" priority="1553" stopIfTrue="1">
      <formula>AI51=""</formula>
    </cfRule>
    <cfRule type="expression" dxfId="14879" priority="1554" stopIfTrue="1">
      <formula>AI51=CléPersonnalisée2</formula>
    </cfRule>
    <cfRule type="expression" dxfId="14878" priority="1555" stopIfTrue="1">
      <formula>AI51=CléPersonnalisée1</formula>
    </cfRule>
    <cfRule type="expression" dxfId="14877" priority="1556" stopIfTrue="1">
      <formula>AI51=CléMaladie</formula>
    </cfRule>
    <cfRule type="expression" dxfId="14876" priority="1557" stopIfTrue="1">
      <formula>AI51=CléPersonnelle</formula>
    </cfRule>
    <cfRule type="expression" dxfId="14875" priority="1558" stopIfTrue="1">
      <formula>AI51=CléCongés</formula>
    </cfRule>
  </conditionalFormatting>
  <conditionalFormatting sqref="AM49:AP50">
    <cfRule type="expression" priority="1547" stopIfTrue="1">
      <formula>AM49=""</formula>
    </cfRule>
    <cfRule type="expression" dxfId="14874" priority="1548" stopIfTrue="1">
      <formula>AM49=CléPersonnalisée2</formula>
    </cfRule>
    <cfRule type="expression" dxfId="14873" priority="1549" stopIfTrue="1">
      <formula>AM49=CléPersonnalisée1</formula>
    </cfRule>
    <cfRule type="expression" dxfId="14872" priority="1550" stopIfTrue="1">
      <formula>AM49=CléMaladie</formula>
    </cfRule>
    <cfRule type="expression" dxfId="14871" priority="1551" stopIfTrue="1">
      <formula>AM49=CléPersonnelle</formula>
    </cfRule>
    <cfRule type="expression" dxfId="14870" priority="1552" stopIfTrue="1">
      <formula>AM49=CléCongés</formula>
    </cfRule>
  </conditionalFormatting>
  <conditionalFormatting sqref="AQ49:AR50">
    <cfRule type="expression" priority="1541" stopIfTrue="1">
      <formula>AQ49=""</formula>
    </cfRule>
    <cfRule type="expression" dxfId="14869" priority="1542" stopIfTrue="1">
      <formula>AQ49=CléPersonnalisée2</formula>
    </cfRule>
    <cfRule type="expression" dxfId="14868" priority="1543" stopIfTrue="1">
      <formula>AQ49=CléPersonnalisée1</formula>
    </cfRule>
    <cfRule type="expression" dxfId="14867" priority="1544" stopIfTrue="1">
      <formula>AQ49=CléMaladie</formula>
    </cfRule>
    <cfRule type="expression" dxfId="14866" priority="1545" stopIfTrue="1">
      <formula>AQ49=CléPersonnelle</formula>
    </cfRule>
    <cfRule type="expression" dxfId="14865" priority="1546" stopIfTrue="1">
      <formula>AQ49=CléCongés</formula>
    </cfRule>
  </conditionalFormatting>
  <conditionalFormatting sqref="AM51 AP51">
    <cfRule type="expression" priority="1535" stopIfTrue="1">
      <formula>AM51=""</formula>
    </cfRule>
    <cfRule type="expression" dxfId="14864" priority="1536" stopIfTrue="1">
      <formula>AM51=CléPersonnalisée2</formula>
    </cfRule>
    <cfRule type="expression" dxfId="14863" priority="1537" stopIfTrue="1">
      <formula>AM51=CléPersonnalisée1</formula>
    </cfRule>
    <cfRule type="expression" dxfId="14862" priority="1538" stopIfTrue="1">
      <formula>AM51=CléMaladie</formula>
    </cfRule>
    <cfRule type="expression" dxfId="14861" priority="1539" stopIfTrue="1">
      <formula>AM51=CléPersonnelle</formula>
    </cfRule>
    <cfRule type="expression" dxfId="14860" priority="1540" stopIfTrue="1">
      <formula>AM51=CléCongés</formula>
    </cfRule>
  </conditionalFormatting>
  <conditionalFormatting sqref="C53:AG55">
    <cfRule type="expression" priority="1528" stopIfTrue="1">
      <formula>C53=""</formula>
    </cfRule>
    <cfRule type="expression" dxfId="14859" priority="1529" stopIfTrue="1">
      <formula>C53=CléPersonnalisée2</formula>
    </cfRule>
    <cfRule type="expression" dxfId="14858" priority="1530" stopIfTrue="1">
      <formula>C53=CléPersonnalisée1</formula>
    </cfRule>
    <cfRule type="expression" dxfId="14857" priority="1531" stopIfTrue="1">
      <formula>C53=CléMaladie</formula>
    </cfRule>
    <cfRule type="expression" dxfId="14856" priority="1532" stopIfTrue="1">
      <formula>C53=CléPersonnelle</formula>
    </cfRule>
    <cfRule type="expression" dxfId="14855" priority="1533" stopIfTrue="1">
      <formula>C53=CléCongés</formula>
    </cfRule>
  </conditionalFormatting>
  <conditionalFormatting sqref="AH55">
    <cfRule type="dataBar" priority="1534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{857423BF-9541-47B9-BBCE-8AB275B532C5}</x14:id>
        </ext>
      </extLst>
    </cfRule>
  </conditionalFormatting>
  <conditionalFormatting sqref="AI55:AL55">
    <cfRule type="expression" priority="1522" stopIfTrue="1">
      <formula>AI55=""</formula>
    </cfRule>
    <cfRule type="expression" dxfId="14854" priority="1523" stopIfTrue="1">
      <formula>AI55=CléPersonnalisée2</formula>
    </cfRule>
    <cfRule type="expression" dxfId="14853" priority="1524" stopIfTrue="1">
      <formula>AI55=CléPersonnalisée1</formula>
    </cfRule>
    <cfRule type="expression" dxfId="14852" priority="1525" stopIfTrue="1">
      <formula>AI55=CléMaladie</formula>
    </cfRule>
    <cfRule type="expression" dxfId="14851" priority="1526" stopIfTrue="1">
      <formula>AI55=CléPersonnelle</formula>
    </cfRule>
    <cfRule type="expression" dxfId="14850" priority="1527" stopIfTrue="1">
      <formula>AI55=CléCongés</formula>
    </cfRule>
  </conditionalFormatting>
  <conditionalFormatting sqref="AM53:AP54">
    <cfRule type="expression" priority="1516" stopIfTrue="1">
      <formula>AM53=""</formula>
    </cfRule>
    <cfRule type="expression" dxfId="14849" priority="1517" stopIfTrue="1">
      <formula>AM53=CléPersonnalisée2</formula>
    </cfRule>
    <cfRule type="expression" dxfId="14848" priority="1518" stopIfTrue="1">
      <formula>AM53=CléPersonnalisée1</formula>
    </cfRule>
    <cfRule type="expression" dxfId="14847" priority="1519" stopIfTrue="1">
      <formula>AM53=CléMaladie</formula>
    </cfRule>
    <cfRule type="expression" dxfId="14846" priority="1520" stopIfTrue="1">
      <formula>AM53=CléPersonnelle</formula>
    </cfRule>
    <cfRule type="expression" dxfId="14845" priority="1521" stopIfTrue="1">
      <formula>AM53=CléCongés</formula>
    </cfRule>
  </conditionalFormatting>
  <conditionalFormatting sqref="AQ53:AR54">
    <cfRule type="expression" priority="1510" stopIfTrue="1">
      <formula>AQ53=""</formula>
    </cfRule>
    <cfRule type="expression" dxfId="14844" priority="1511" stopIfTrue="1">
      <formula>AQ53=CléPersonnalisée2</formula>
    </cfRule>
    <cfRule type="expression" dxfId="14843" priority="1512" stopIfTrue="1">
      <formula>AQ53=CléPersonnalisée1</formula>
    </cfRule>
    <cfRule type="expression" dxfId="14842" priority="1513" stopIfTrue="1">
      <formula>AQ53=CléMaladie</formula>
    </cfRule>
    <cfRule type="expression" dxfId="14841" priority="1514" stopIfTrue="1">
      <formula>AQ53=CléPersonnelle</formula>
    </cfRule>
    <cfRule type="expression" dxfId="14840" priority="1515" stopIfTrue="1">
      <formula>AQ53=CléCongés</formula>
    </cfRule>
  </conditionalFormatting>
  <conditionalFormatting sqref="AM55 AP55">
    <cfRule type="expression" priority="1504" stopIfTrue="1">
      <formula>AM55=""</formula>
    </cfRule>
    <cfRule type="expression" dxfId="14839" priority="1505" stopIfTrue="1">
      <formula>AM55=CléPersonnalisée2</formula>
    </cfRule>
    <cfRule type="expression" dxfId="14838" priority="1506" stopIfTrue="1">
      <formula>AM55=CléPersonnalisée1</formula>
    </cfRule>
    <cfRule type="expression" dxfId="14837" priority="1507" stopIfTrue="1">
      <formula>AM55=CléMaladie</formula>
    </cfRule>
    <cfRule type="expression" dxfId="14836" priority="1508" stopIfTrue="1">
      <formula>AM55=CléPersonnelle</formula>
    </cfRule>
    <cfRule type="expression" dxfId="14835" priority="1509" stopIfTrue="1">
      <formula>AM55=CléCongés</formula>
    </cfRule>
  </conditionalFormatting>
  <conditionalFormatting sqref="C61:AG63">
    <cfRule type="expression" priority="1497" stopIfTrue="1">
      <formula>C61=""</formula>
    </cfRule>
    <cfRule type="expression" dxfId="14834" priority="1498" stopIfTrue="1">
      <formula>C61=CléPersonnalisée2</formula>
    </cfRule>
    <cfRule type="expression" dxfId="14833" priority="1499" stopIfTrue="1">
      <formula>C61=CléPersonnalisée1</formula>
    </cfRule>
    <cfRule type="expression" dxfId="14832" priority="1500" stopIfTrue="1">
      <formula>C61=CléMaladie</formula>
    </cfRule>
    <cfRule type="expression" dxfId="14831" priority="1501" stopIfTrue="1">
      <formula>C61=CléPersonnelle</formula>
    </cfRule>
    <cfRule type="expression" dxfId="14830" priority="1502" stopIfTrue="1">
      <formula>C61=CléCongés</formula>
    </cfRule>
  </conditionalFormatting>
  <conditionalFormatting sqref="AH63">
    <cfRule type="dataBar" priority="1503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{7BA1D6E6-DAA8-427E-B1EA-EDCDE746FFC0}</x14:id>
        </ext>
      </extLst>
    </cfRule>
  </conditionalFormatting>
  <conditionalFormatting sqref="AI63:AL63">
    <cfRule type="expression" priority="1491" stopIfTrue="1">
      <formula>AI63=""</formula>
    </cfRule>
    <cfRule type="expression" dxfId="14829" priority="1492" stopIfTrue="1">
      <formula>AI63=CléPersonnalisée2</formula>
    </cfRule>
    <cfRule type="expression" dxfId="14828" priority="1493" stopIfTrue="1">
      <formula>AI63=CléPersonnalisée1</formula>
    </cfRule>
    <cfRule type="expression" dxfId="14827" priority="1494" stopIfTrue="1">
      <formula>AI63=CléMaladie</formula>
    </cfRule>
    <cfRule type="expression" dxfId="14826" priority="1495" stopIfTrue="1">
      <formula>AI63=CléPersonnelle</formula>
    </cfRule>
    <cfRule type="expression" dxfId="14825" priority="1496" stopIfTrue="1">
      <formula>AI63=CléCongés</formula>
    </cfRule>
  </conditionalFormatting>
  <conditionalFormatting sqref="AM61:AP62">
    <cfRule type="expression" priority="1485" stopIfTrue="1">
      <formula>AM61=""</formula>
    </cfRule>
    <cfRule type="expression" dxfId="14824" priority="1486" stopIfTrue="1">
      <formula>AM61=CléPersonnalisée2</formula>
    </cfRule>
    <cfRule type="expression" dxfId="14823" priority="1487" stopIfTrue="1">
      <formula>AM61=CléPersonnalisée1</formula>
    </cfRule>
    <cfRule type="expression" dxfId="14822" priority="1488" stopIfTrue="1">
      <formula>AM61=CléMaladie</formula>
    </cfRule>
    <cfRule type="expression" dxfId="14821" priority="1489" stopIfTrue="1">
      <formula>AM61=CléPersonnelle</formula>
    </cfRule>
    <cfRule type="expression" dxfId="14820" priority="1490" stopIfTrue="1">
      <formula>AM61=CléCongés</formula>
    </cfRule>
  </conditionalFormatting>
  <conditionalFormatting sqref="AQ61:AR62">
    <cfRule type="expression" priority="1479" stopIfTrue="1">
      <formula>AQ61=""</formula>
    </cfRule>
    <cfRule type="expression" dxfId="14819" priority="1480" stopIfTrue="1">
      <formula>AQ61=CléPersonnalisée2</formula>
    </cfRule>
    <cfRule type="expression" dxfId="14818" priority="1481" stopIfTrue="1">
      <formula>AQ61=CléPersonnalisée1</formula>
    </cfRule>
    <cfRule type="expression" dxfId="14817" priority="1482" stopIfTrue="1">
      <formula>AQ61=CléMaladie</formula>
    </cfRule>
    <cfRule type="expression" dxfId="14816" priority="1483" stopIfTrue="1">
      <formula>AQ61=CléPersonnelle</formula>
    </cfRule>
    <cfRule type="expression" dxfId="14815" priority="1484" stopIfTrue="1">
      <formula>AQ61=CléCongés</formula>
    </cfRule>
  </conditionalFormatting>
  <conditionalFormatting sqref="AM63 AP63">
    <cfRule type="expression" priority="1473" stopIfTrue="1">
      <formula>AM63=""</formula>
    </cfRule>
    <cfRule type="expression" dxfId="14814" priority="1474" stopIfTrue="1">
      <formula>AM63=CléPersonnalisée2</formula>
    </cfRule>
    <cfRule type="expression" dxfId="14813" priority="1475" stopIfTrue="1">
      <formula>AM63=CléPersonnalisée1</formula>
    </cfRule>
    <cfRule type="expression" dxfId="14812" priority="1476" stopIfTrue="1">
      <formula>AM63=CléMaladie</formula>
    </cfRule>
    <cfRule type="expression" dxfId="14811" priority="1477" stopIfTrue="1">
      <formula>AM63=CléPersonnelle</formula>
    </cfRule>
    <cfRule type="expression" dxfId="14810" priority="1478" stopIfTrue="1">
      <formula>AM63=CléCongés</formula>
    </cfRule>
  </conditionalFormatting>
  <conditionalFormatting sqref="C69:AG71">
    <cfRule type="expression" priority="1466" stopIfTrue="1">
      <formula>C69=""</formula>
    </cfRule>
    <cfRule type="expression" dxfId="14809" priority="1467" stopIfTrue="1">
      <formula>C69=CléPersonnalisée2</formula>
    </cfRule>
    <cfRule type="expression" dxfId="14808" priority="1468" stopIfTrue="1">
      <formula>C69=CléPersonnalisée1</formula>
    </cfRule>
    <cfRule type="expression" dxfId="14807" priority="1469" stopIfTrue="1">
      <formula>C69=CléMaladie</formula>
    </cfRule>
    <cfRule type="expression" dxfId="14806" priority="1470" stopIfTrue="1">
      <formula>C69=CléPersonnelle</formula>
    </cfRule>
    <cfRule type="expression" dxfId="14805" priority="1471" stopIfTrue="1">
      <formula>C69=CléCongés</formula>
    </cfRule>
  </conditionalFormatting>
  <conditionalFormatting sqref="AH71">
    <cfRule type="dataBar" priority="1472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{7739D0EB-5EF7-47CE-ADC4-C1BFDE4C8E98}</x14:id>
        </ext>
      </extLst>
    </cfRule>
  </conditionalFormatting>
  <conditionalFormatting sqref="AI71:AL71">
    <cfRule type="expression" priority="1460" stopIfTrue="1">
      <formula>AI71=""</formula>
    </cfRule>
    <cfRule type="expression" dxfId="14804" priority="1461" stopIfTrue="1">
      <formula>AI71=CléPersonnalisée2</formula>
    </cfRule>
    <cfRule type="expression" dxfId="14803" priority="1462" stopIfTrue="1">
      <formula>AI71=CléPersonnalisée1</formula>
    </cfRule>
    <cfRule type="expression" dxfId="14802" priority="1463" stopIfTrue="1">
      <formula>AI71=CléMaladie</formula>
    </cfRule>
    <cfRule type="expression" dxfId="14801" priority="1464" stopIfTrue="1">
      <formula>AI71=CléPersonnelle</formula>
    </cfRule>
    <cfRule type="expression" dxfId="14800" priority="1465" stopIfTrue="1">
      <formula>AI71=CléCongés</formula>
    </cfRule>
  </conditionalFormatting>
  <conditionalFormatting sqref="AM69:AP70">
    <cfRule type="expression" priority="1454" stopIfTrue="1">
      <formula>AM69=""</formula>
    </cfRule>
    <cfRule type="expression" dxfId="14799" priority="1455" stopIfTrue="1">
      <formula>AM69=CléPersonnalisée2</formula>
    </cfRule>
    <cfRule type="expression" dxfId="14798" priority="1456" stopIfTrue="1">
      <formula>AM69=CléPersonnalisée1</formula>
    </cfRule>
    <cfRule type="expression" dxfId="14797" priority="1457" stopIfTrue="1">
      <formula>AM69=CléMaladie</formula>
    </cfRule>
    <cfRule type="expression" dxfId="14796" priority="1458" stopIfTrue="1">
      <formula>AM69=CléPersonnelle</formula>
    </cfRule>
    <cfRule type="expression" dxfId="14795" priority="1459" stopIfTrue="1">
      <formula>AM69=CléCongés</formula>
    </cfRule>
  </conditionalFormatting>
  <conditionalFormatting sqref="AQ69:AR70">
    <cfRule type="expression" priority="1448" stopIfTrue="1">
      <formula>AQ69=""</formula>
    </cfRule>
    <cfRule type="expression" dxfId="14794" priority="1449" stopIfTrue="1">
      <formula>AQ69=CléPersonnalisée2</formula>
    </cfRule>
    <cfRule type="expression" dxfId="14793" priority="1450" stopIfTrue="1">
      <formula>AQ69=CléPersonnalisée1</formula>
    </cfRule>
    <cfRule type="expression" dxfId="14792" priority="1451" stopIfTrue="1">
      <formula>AQ69=CléMaladie</formula>
    </cfRule>
    <cfRule type="expression" dxfId="14791" priority="1452" stopIfTrue="1">
      <formula>AQ69=CléPersonnelle</formula>
    </cfRule>
    <cfRule type="expression" dxfId="14790" priority="1453" stopIfTrue="1">
      <formula>AQ69=CléCongés</formula>
    </cfRule>
  </conditionalFormatting>
  <conditionalFormatting sqref="AM71 AP71">
    <cfRule type="expression" priority="1442" stopIfTrue="1">
      <formula>AM71=""</formula>
    </cfRule>
    <cfRule type="expression" dxfId="14789" priority="1443" stopIfTrue="1">
      <formula>AM71=CléPersonnalisée2</formula>
    </cfRule>
    <cfRule type="expression" dxfId="14788" priority="1444" stopIfTrue="1">
      <formula>AM71=CléPersonnalisée1</formula>
    </cfRule>
    <cfRule type="expression" dxfId="14787" priority="1445" stopIfTrue="1">
      <formula>AM71=CléMaladie</formula>
    </cfRule>
    <cfRule type="expression" dxfId="14786" priority="1446" stopIfTrue="1">
      <formula>AM71=CléPersonnelle</formula>
    </cfRule>
    <cfRule type="expression" dxfId="14785" priority="1447" stopIfTrue="1">
      <formula>AM71=CléCongés</formula>
    </cfRule>
  </conditionalFormatting>
  <conditionalFormatting sqref="AI23">
    <cfRule type="expression" priority="1430" stopIfTrue="1">
      <formula>AI23=""</formula>
    </cfRule>
    <cfRule type="expression" dxfId="14784" priority="1431" stopIfTrue="1">
      <formula>AI23=CléPersonnalisée2</formula>
    </cfRule>
    <cfRule type="expression" dxfId="14783" priority="1432" stopIfTrue="1">
      <formula>AI23=CléPersonnalisée1</formula>
    </cfRule>
    <cfRule type="expression" dxfId="14782" priority="1433" stopIfTrue="1">
      <formula>AI23=CléMaladie</formula>
    </cfRule>
    <cfRule type="expression" dxfId="14781" priority="1434" stopIfTrue="1">
      <formula>AI23=CléPersonnelle</formula>
    </cfRule>
    <cfRule type="expression" dxfId="14780" priority="1435" stopIfTrue="1">
      <formula>AI23=CléCongés</formula>
    </cfRule>
  </conditionalFormatting>
  <conditionalFormatting sqref="AI19">
    <cfRule type="expression" priority="1436" stopIfTrue="1">
      <formula>AI19=""</formula>
    </cfRule>
    <cfRule type="expression" dxfId="14779" priority="1437" stopIfTrue="1">
      <formula>AI19=CléPersonnalisée2</formula>
    </cfRule>
    <cfRule type="expression" dxfId="14778" priority="1438" stopIfTrue="1">
      <formula>AI19=CléPersonnalisée1</formula>
    </cfRule>
    <cfRule type="expression" dxfId="14777" priority="1439" stopIfTrue="1">
      <formula>AI19=CléMaladie</formula>
    </cfRule>
    <cfRule type="expression" dxfId="14776" priority="1440" stopIfTrue="1">
      <formula>AI19=CléPersonnelle</formula>
    </cfRule>
    <cfRule type="expression" dxfId="14775" priority="1441" stopIfTrue="1">
      <formula>AI19=CléCongés</formula>
    </cfRule>
  </conditionalFormatting>
  <conditionalFormatting sqref="AH19">
    <cfRule type="dataBar" priority="1429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{E76646CC-BC04-41E5-9C47-A6FDC78C8961}</x14:id>
        </ext>
      </extLst>
    </cfRule>
  </conditionalFormatting>
  <conditionalFormatting sqref="AH23">
    <cfRule type="dataBar" priority="1428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{E9FB6F89-EE25-4B09-9E00-EA0B1F09BF2D}</x14:id>
        </ext>
      </extLst>
    </cfRule>
  </conditionalFormatting>
  <conditionalFormatting sqref="AM17:AP18">
    <cfRule type="expression" priority="1422" stopIfTrue="1">
      <formula>AM17=""</formula>
    </cfRule>
    <cfRule type="expression" dxfId="14774" priority="1423" stopIfTrue="1">
      <formula>AM17=CléPersonnalisée2</formula>
    </cfRule>
    <cfRule type="expression" dxfId="14773" priority="1424" stopIfTrue="1">
      <formula>AM17=CléPersonnalisée1</formula>
    </cfRule>
    <cfRule type="expression" dxfId="14772" priority="1425" stopIfTrue="1">
      <formula>AM17=CléMaladie</formula>
    </cfRule>
    <cfRule type="expression" dxfId="14771" priority="1426" stopIfTrue="1">
      <formula>AM17=CléPersonnelle</formula>
    </cfRule>
    <cfRule type="expression" dxfId="14770" priority="1427" stopIfTrue="1">
      <formula>AM17=CléCongés</formula>
    </cfRule>
  </conditionalFormatting>
  <conditionalFormatting sqref="AQ17:AR18">
    <cfRule type="expression" priority="1416" stopIfTrue="1">
      <formula>AQ17=""</formula>
    </cfRule>
    <cfRule type="expression" dxfId="14769" priority="1417" stopIfTrue="1">
      <formula>AQ17=CléPersonnalisée2</formula>
    </cfRule>
    <cfRule type="expression" dxfId="14768" priority="1418" stopIfTrue="1">
      <formula>AQ17=CléPersonnalisée1</formula>
    </cfRule>
    <cfRule type="expression" dxfId="14767" priority="1419" stopIfTrue="1">
      <formula>AQ17=CléMaladie</formula>
    </cfRule>
    <cfRule type="expression" dxfId="14766" priority="1420" stopIfTrue="1">
      <formula>AQ17=CléPersonnelle</formula>
    </cfRule>
    <cfRule type="expression" dxfId="14765" priority="1421" stopIfTrue="1">
      <formula>AQ17=CléCongés</formula>
    </cfRule>
  </conditionalFormatting>
  <conditionalFormatting sqref="AM19 AP19">
    <cfRule type="expression" priority="1410" stopIfTrue="1">
      <formula>AM19=""</formula>
    </cfRule>
    <cfRule type="expression" dxfId="14764" priority="1411" stopIfTrue="1">
      <formula>AM19=CléPersonnalisée2</formula>
    </cfRule>
    <cfRule type="expression" dxfId="14763" priority="1412" stopIfTrue="1">
      <formula>AM19=CléPersonnalisée1</formula>
    </cfRule>
    <cfRule type="expression" dxfId="14762" priority="1413" stopIfTrue="1">
      <formula>AM19=CléMaladie</formula>
    </cfRule>
    <cfRule type="expression" dxfId="14761" priority="1414" stopIfTrue="1">
      <formula>AM19=CléPersonnelle</formula>
    </cfRule>
    <cfRule type="expression" dxfId="14760" priority="1415" stopIfTrue="1">
      <formula>AM19=CléCongés</formula>
    </cfRule>
  </conditionalFormatting>
  <conditionalFormatting sqref="AM21:AP22">
    <cfRule type="expression" priority="1404" stopIfTrue="1">
      <formula>AM21=""</formula>
    </cfRule>
    <cfRule type="expression" dxfId="14759" priority="1405" stopIfTrue="1">
      <formula>AM21=CléPersonnalisée2</formula>
    </cfRule>
    <cfRule type="expression" dxfId="14758" priority="1406" stopIfTrue="1">
      <formula>AM21=CléPersonnalisée1</formula>
    </cfRule>
    <cfRule type="expression" dxfId="14757" priority="1407" stopIfTrue="1">
      <formula>AM21=CléMaladie</formula>
    </cfRule>
    <cfRule type="expression" dxfId="14756" priority="1408" stopIfTrue="1">
      <formula>AM21=CléPersonnelle</formula>
    </cfRule>
    <cfRule type="expression" dxfId="14755" priority="1409" stopIfTrue="1">
      <formula>AM21=CléCongés</formula>
    </cfRule>
  </conditionalFormatting>
  <conditionalFormatting sqref="AQ21:AR22">
    <cfRule type="expression" priority="1398" stopIfTrue="1">
      <formula>AQ21=""</formula>
    </cfRule>
    <cfRule type="expression" dxfId="14754" priority="1399" stopIfTrue="1">
      <formula>AQ21=CléPersonnalisée2</formula>
    </cfRule>
    <cfRule type="expression" dxfId="14753" priority="1400" stopIfTrue="1">
      <formula>AQ21=CléPersonnalisée1</formula>
    </cfRule>
    <cfRule type="expression" dxfId="14752" priority="1401" stopIfTrue="1">
      <formula>AQ21=CléMaladie</formula>
    </cfRule>
    <cfRule type="expression" dxfId="14751" priority="1402" stopIfTrue="1">
      <formula>AQ21=CléPersonnelle</formula>
    </cfRule>
    <cfRule type="expression" dxfId="14750" priority="1403" stopIfTrue="1">
      <formula>AQ21=CléCongés</formula>
    </cfRule>
  </conditionalFormatting>
  <conditionalFormatting sqref="AM23 AP23">
    <cfRule type="expression" priority="1392" stopIfTrue="1">
      <formula>AM23=""</formula>
    </cfRule>
    <cfRule type="expression" dxfId="14749" priority="1393" stopIfTrue="1">
      <formula>AM23=CléPersonnalisée2</formula>
    </cfRule>
    <cfRule type="expression" dxfId="14748" priority="1394" stopIfTrue="1">
      <formula>AM23=CléPersonnalisée1</formula>
    </cfRule>
    <cfRule type="expression" dxfId="14747" priority="1395" stopIfTrue="1">
      <formula>AM23=CléMaladie</formula>
    </cfRule>
    <cfRule type="expression" dxfId="14746" priority="1396" stopIfTrue="1">
      <formula>AM23=CléPersonnelle</formula>
    </cfRule>
    <cfRule type="expression" dxfId="14745" priority="1397" stopIfTrue="1">
      <formula>AM23=CléCongés</formula>
    </cfRule>
  </conditionalFormatting>
  <conditionalFormatting sqref="AH17:AH18">
    <cfRule type="dataBar" priority="1391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{80F38043-92A0-48EF-99F4-254B01830C03}</x14:id>
        </ext>
      </extLst>
    </cfRule>
  </conditionalFormatting>
  <conditionalFormatting sqref="AH21:AH22">
    <cfRule type="dataBar" priority="1390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{34B7842C-D160-4C91-80DD-22F2B4775550}</x14:id>
        </ext>
      </extLst>
    </cfRule>
  </conditionalFormatting>
  <conditionalFormatting sqref="AH25:AH26">
    <cfRule type="dataBar" priority="1389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{5C1E8A29-05C7-4058-907E-9C765B88DC02}</x14:id>
        </ext>
      </extLst>
    </cfRule>
  </conditionalFormatting>
  <conditionalFormatting sqref="AH29:AH30">
    <cfRule type="dataBar" priority="1388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{898C0E8A-E114-4DB8-948C-2B7AC223BA0C}</x14:id>
        </ext>
      </extLst>
    </cfRule>
  </conditionalFormatting>
  <conditionalFormatting sqref="AH33:AH34">
    <cfRule type="dataBar" priority="1387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{97B93701-3519-4E89-942F-532B59D44CC2}</x14:id>
        </ext>
      </extLst>
    </cfRule>
  </conditionalFormatting>
  <conditionalFormatting sqref="AH37:AH38">
    <cfRule type="dataBar" priority="1386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{F598BC19-CE1C-42E0-B7AE-B49237F94F09}</x14:id>
        </ext>
      </extLst>
    </cfRule>
  </conditionalFormatting>
  <conditionalFormatting sqref="AH41:AH42">
    <cfRule type="dataBar" priority="1385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{77B43AE4-E4DC-43FD-9B5C-96C7EF5C4AF0}</x14:id>
        </ext>
      </extLst>
    </cfRule>
  </conditionalFormatting>
  <conditionalFormatting sqref="AH45:AH46">
    <cfRule type="dataBar" priority="1384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{34CA6226-F737-4486-91E1-7BC3DBA1D3E4}</x14:id>
        </ext>
      </extLst>
    </cfRule>
  </conditionalFormatting>
  <conditionalFormatting sqref="AH49:AH50">
    <cfRule type="dataBar" priority="1383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{0D20C32F-3333-4A73-B609-19D7CECA8C2C}</x14:id>
        </ext>
      </extLst>
    </cfRule>
  </conditionalFormatting>
  <conditionalFormatting sqref="AH53:AH54">
    <cfRule type="dataBar" priority="1382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{DBBDC27E-26B3-4973-A9ED-1A9B281C09BD}</x14:id>
        </ext>
      </extLst>
    </cfRule>
  </conditionalFormatting>
  <conditionalFormatting sqref="AH61:AH62">
    <cfRule type="dataBar" priority="1381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{4DCC89D0-797C-4E37-96A7-7B02AB509458}</x14:id>
        </ext>
      </extLst>
    </cfRule>
  </conditionalFormatting>
  <conditionalFormatting sqref="AH69:AH70">
    <cfRule type="dataBar" priority="1380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{144A1A42-04E4-4794-953F-386AEAF16E04}</x14:id>
        </ext>
      </extLst>
    </cfRule>
  </conditionalFormatting>
  <conditionalFormatting sqref="AM65:AP66">
    <cfRule type="expression" priority="1252" stopIfTrue="1">
      <formula>AM65=""</formula>
    </cfRule>
    <cfRule type="expression" dxfId="14744" priority="1253" stopIfTrue="1">
      <formula>AM65=CléPersonnalisée2</formula>
    </cfRule>
    <cfRule type="expression" dxfId="14743" priority="1254" stopIfTrue="1">
      <formula>AM65=CléPersonnalisée1</formula>
    </cfRule>
    <cfRule type="expression" dxfId="14742" priority="1255" stopIfTrue="1">
      <formula>AM65=CléMaladie</formula>
    </cfRule>
    <cfRule type="expression" dxfId="14741" priority="1256" stopIfTrue="1">
      <formula>AM65=CléPersonnelle</formula>
    </cfRule>
    <cfRule type="expression" dxfId="14740" priority="1257" stopIfTrue="1">
      <formula>AM65=CléCongés</formula>
    </cfRule>
  </conditionalFormatting>
  <conditionalFormatting sqref="AM67 AP67">
    <cfRule type="expression" priority="1240" stopIfTrue="1">
      <formula>AM67=""</formula>
    </cfRule>
    <cfRule type="expression" dxfId="14739" priority="1241" stopIfTrue="1">
      <formula>AM67=CléPersonnalisée2</formula>
    </cfRule>
    <cfRule type="expression" dxfId="14738" priority="1242" stopIfTrue="1">
      <formula>AM67=CléPersonnalisée1</formula>
    </cfRule>
    <cfRule type="expression" dxfId="14737" priority="1243" stopIfTrue="1">
      <formula>AM67=CléMaladie</formula>
    </cfRule>
    <cfRule type="expression" dxfId="14736" priority="1244" stopIfTrue="1">
      <formula>AM67=CléPersonnelle</formula>
    </cfRule>
    <cfRule type="expression" dxfId="14735" priority="1245" stopIfTrue="1">
      <formula>AM67=CléCongés</formula>
    </cfRule>
  </conditionalFormatting>
  <conditionalFormatting sqref="AN11">
    <cfRule type="expression" priority="1374" stopIfTrue="1">
      <formula>AN11=""</formula>
    </cfRule>
    <cfRule type="expression" dxfId="14734" priority="1375" stopIfTrue="1">
      <formula>AN11=CléPersonnalisée2</formula>
    </cfRule>
    <cfRule type="expression" dxfId="14733" priority="1376" stopIfTrue="1">
      <formula>AN11=CléPersonnalisée1</formula>
    </cfRule>
    <cfRule type="expression" dxfId="14732" priority="1377" stopIfTrue="1">
      <formula>AN11=CléMaladie</formula>
    </cfRule>
    <cfRule type="expression" dxfId="14731" priority="1378" stopIfTrue="1">
      <formula>AN11=CléPersonnelle</formula>
    </cfRule>
    <cfRule type="expression" dxfId="14730" priority="1379" stopIfTrue="1">
      <formula>AN11=CléCongés</formula>
    </cfRule>
  </conditionalFormatting>
  <conditionalFormatting sqref="AN19">
    <cfRule type="expression" priority="1368" stopIfTrue="1">
      <formula>AN19=""</formula>
    </cfRule>
    <cfRule type="expression" dxfId="14729" priority="1369" stopIfTrue="1">
      <formula>AN19=CléPersonnalisée2</formula>
    </cfRule>
    <cfRule type="expression" dxfId="14728" priority="1370" stopIfTrue="1">
      <formula>AN19=CléPersonnalisée1</formula>
    </cfRule>
    <cfRule type="expression" dxfId="14727" priority="1371" stopIfTrue="1">
      <formula>AN19=CléMaladie</formula>
    </cfRule>
    <cfRule type="expression" dxfId="14726" priority="1372" stopIfTrue="1">
      <formula>AN19=CléPersonnelle</formula>
    </cfRule>
    <cfRule type="expression" dxfId="14725" priority="1373" stopIfTrue="1">
      <formula>AN19=CléCongés</formula>
    </cfRule>
  </conditionalFormatting>
  <conditionalFormatting sqref="AN23">
    <cfRule type="expression" priority="1362" stopIfTrue="1">
      <formula>AN23=""</formula>
    </cfRule>
    <cfRule type="expression" dxfId="14724" priority="1363" stopIfTrue="1">
      <formula>AN23=CléPersonnalisée2</formula>
    </cfRule>
    <cfRule type="expression" dxfId="14723" priority="1364" stopIfTrue="1">
      <formula>AN23=CléPersonnalisée1</formula>
    </cfRule>
    <cfRule type="expression" dxfId="14722" priority="1365" stopIfTrue="1">
      <formula>AN23=CléMaladie</formula>
    </cfRule>
    <cfRule type="expression" dxfId="14721" priority="1366" stopIfTrue="1">
      <formula>AN23=CléPersonnelle</formula>
    </cfRule>
    <cfRule type="expression" dxfId="14720" priority="1367" stopIfTrue="1">
      <formula>AN23=CléCongés</formula>
    </cfRule>
  </conditionalFormatting>
  <conditionalFormatting sqref="AN27">
    <cfRule type="expression" priority="1356" stopIfTrue="1">
      <formula>AN27=""</formula>
    </cfRule>
    <cfRule type="expression" dxfId="14719" priority="1357" stopIfTrue="1">
      <formula>AN27=CléPersonnalisée2</formula>
    </cfRule>
    <cfRule type="expression" dxfId="14718" priority="1358" stopIfTrue="1">
      <formula>AN27=CléPersonnalisée1</formula>
    </cfRule>
    <cfRule type="expression" dxfId="14717" priority="1359" stopIfTrue="1">
      <formula>AN27=CléMaladie</formula>
    </cfRule>
    <cfRule type="expression" dxfId="14716" priority="1360" stopIfTrue="1">
      <formula>AN27=CléPersonnelle</formula>
    </cfRule>
    <cfRule type="expression" dxfId="14715" priority="1361" stopIfTrue="1">
      <formula>AN27=CléCongés</formula>
    </cfRule>
  </conditionalFormatting>
  <conditionalFormatting sqref="AN31">
    <cfRule type="expression" priority="1350" stopIfTrue="1">
      <formula>AN31=""</formula>
    </cfRule>
    <cfRule type="expression" dxfId="14714" priority="1351" stopIfTrue="1">
      <formula>AN31=CléPersonnalisée2</formula>
    </cfRule>
    <cfRule type="expression" dxfId="14713" priority="1352" stopIfTrue="1">
      <formula>AN31=CléPersonnalisée1</formula>
    </cfRule>
    <cfRule type="expression" dxfId="14712" priority="1353" stopIfTrue="1">
      <formula>AN31=CléMaladie</formula>
    </cfRule>
    <cfRule type="expression" dxfId="14711" priority="1354" stopIfTrue="1">
      <formula>AN31=CléPersonnelle</formula>
    </cfRule>
    <cfRule type="expression" dxfId="14710" priority="1355" stopIfTrue="1">
      <formula>AN31=CléCongés</formula>
    </cfRule>
  </conditionalFormatting>
  <conditionalFormatting sqref="AN35">
    <cfRule type="expression" priority="1344" stopIfTrue="1">
      <formula>AN35=""</formula>
    </cfRule>
    <cfRule type="expression" dxfId="14709" priority="1345" stopIfTrue="1">
      <formula>AN35=CléPersonnalisée2</formula>
    </cfRule>
    <cfRule type="expression" dxfId="14708" priority="1346" stopIfTrue="1">
      <formula>AN35=CléPersonnalisée1</formula>
    </cfRule>
    <cfRule type="expression" dxfId="14707" priority="1347" stopIfTrue="1">
      <formula>AN35=CléMaladie</formula>
    </cfRule>
    <cfRule type="expression" dxfId="14706" priority="1348" stopIfTrue="1">
      <formula>AN35=CléPersonnelle</formula>
    </cfRule>
    <cfRule type="expression" dxfId="14705" priority="1349" stopIfTrue="1">
      <formula>AN35=CléCongés</formula>
    </cfRule>
  </conditionalFormatting>
  <conditionalFormatting sqref="AN39">
    <cfRule type="expression" priority="1338" stopIfTrue="1">
      <formula>AN39=""</formula>
    </cfRule>
    <cfRule type="expression" dxfId="14704" priority="1339" stopIfTrue="1">
      <formula>AN39=CléPersonnalisée2</formula>
    </cfRule>
    <cfRule type="expression" dxfId="14703" priority="1340" stopIfTrue="1">
      <formula>AN39=CléPersonnalisée1</formula>
    </cfRule>
    <cfRule type="expression" dxfId="14702" priority="1341" stopIfTrue="1">
      <formula>AN39=CléMaladie</formula>
    </cfRule>
    <cfRule type="expression" dxfId="14701" priority="1342" stopIfTrue="1">
      <formula>AN39=CléPersonnelle</formula>
    </cfRule>
    <cfRule type="expression" dxfId="14700" priority="1343" stopIfTrue="1">
      <formula>AN39=CléCongés</formula>
    </cfRule>
  </conditionalFormatting>
  <conditionalFormatting sqref="AN43">
    <cfRule type="expression" priority="1332" stopIfTrue="1">
      <formula>AN43=""</formula>
    </cfRule>
    <cfRule type="expression" dxfId="14699" priority="1333" stopIfTrue="1">
      <formula>AN43=CléPersonnalisée2</formula>
    </cfRule>
    <cfRule type="expression" dxfId="14698" priority="1334" stopIfTrue="1">
      <formula>AN43=CléPersonnalisée1</formula>
    </cfRule>
    <cfRule type="expression" dxfId="14697" priority="1335" stopIfTrue="1">
      <formula>AN43=CléMaladie</formula>
    </cfRule>
    <cfRule type="expression" dxfId="14696" priority="1336" stopIfTrue="1">
      <formula>AN43=CléPersonnelle</formula>
    </cfRule>
    <cfRule type="expression" dxfId="14695" priority="1337" stopIfTrue="1">
      <formula>AN43=CléCongés</formula>
    </cfRule>
  </conditionalFormatting>
  <conditionalFormatting sqref="AN47">
    <cfRule type="expression" priority="1326" stopIfTrue="1">
      <formula>AN47=""</formula>
    </cfRule>
    <cfRule type="expression" dxfId="14694" priority="1327" stopIfTrue="1">
      <formula>AN47=CléPersonnalisée2</formula>
    </cfRule>
    <cfRule type="expression" dxfId="14693" priority="1328" stopIfTrue="1">
      <formula>AN47=CléPersonnalisée1</formula>
    </cfRule>
    <cfRule type="expression" dxfId="14692" priority="1329" stopIfTrue="1">
      <formula>AN47=CléMaladie</formula>
    </cfRule>
    <cfRule type="expression" dxfId="14691" priority="1330" stopIfTrue="1">
      <formula>AN47=CléPersonnelle</formula>
    </cfRule>
    <cfRule type="expression" dxfId="14690" priority="1331" stopIfTrue="1">
      <formula>AN47=CléCongés</formula>
    </cfRule>
  </conditionalFormatting>
  <conditionalFormatting sqref="AN51">
    <cfRule type="expression" priority="1320" stopIfTrue="1">
      <formula>AN51=""</formula>
    </cfRule>
    <cfRule type="expression" dxfId="14689" priority="1321" stopIfTrue="1">
      <formula>AN51=CléPersonnalisée2</formula>
    </cfRule>
    <cfRule type="expression" dxfId="14688" priority="1322" stopIfTrue="1">
      <formula>AN51=CléPersonnalisée1</formula>
    </cfRule>
    <cfRule type="expression" dxfId="14687" priority="1323" stopIfTrue="1">
      <formula>AN51=CléMaladie</formula>
    </cfRule>
    <cfRule type="expression" dxfId="14686" priority="1324" stopIfTrue="1">
      <formula>AN51=CléPersonnelle</formula>
    </cfRule>
    <cfRule type="expression" dxfId="14685" priority="1325" stopIfTrue="1">
      <formula>AN51=CléCongés</formula>
    </cfRule>
  </conditionalFormatting>
  <conditionalFormatting sqref="AN55">
    <cfRule type="expression" priority="1314" stopIfTrue="1">
      <formula>AN55=""</formula>
    </cfRule>
    <cfRule type="expression" dxfId="14684" priority="1315" stopIfTrue="1">
      <formula>AN55=CléPersonnalisée2</formula>
    </cfRule>
    <cfRule type="expression" dxfId="14683" priority="1316" stopIfTrue="1">
      <formula>AN55=CléPersonnalisée1</formula>
    </cfRule>
    <cfRule type="expression" dxfId="14682" priority="1317" stopIfTrue="1">
      <formula>AN55=CléMaladie</formula>
    </cfRule>
    <cfRule type="expression" dxfId="14681" priority="1318" stopIfTrue="1">
      <formula>AN55=CléPersonnelle</formula>
    </cfRule>
    <cfRule type="expression" dxfId="14680" priority="1319" stopIfTrue="1">
      <formula>AN55=CléCongés</formula>
    </cfRule>
  </conditionalFormatting>
  <conditionalFormatting sqref="AN63">
    <cfRule type="expression" priority="1308" stopIfTrue="1">
      <formula>AN63=""</formula>
    </cfRule>
    <cfRule type="expression" dxfId="14679" priority="1309" stopIfTrue="1">
      <formula>AN63=CléPersonnalisée2</formula>
    </cfRule>
    <cfRule type="expression" dxfId="14678" priority="1310" stopIfTrue="1">
      <formula>AN63=CléPersonnalisée1</formula>
    </cfRule>
    <cfRule type="expression" dxfId="14677" priority="1311" stopIfTrue="1">
      <formula>AN63=CléMaladie</formula>
    </cfRule>
    <cfRule type="expression" dxfId="14676" priority="1312" stopIfTrue="1">
      <formula>AN63=CléPersonnelle</formula>
    </cfRule>
    <cfRule type="expression" dxfId="14675" priority="1313" stopIfTrue="1">
      <formula>AN63=CléCongés</formula>
    </cfRule>
  </conditionalFormatting>
  <conditionalFormatting sqref="AN71">
    <cfRule type="expression" priority="1302" stopIfTrue="1">
      <formula>AN71=""</formula>
    </cfRule>
    <cfRule type="expression" dxfId="14674" priority="1303" stopIfTrue="1">
      <formula>AN71=CléPersonnalisée2</formula>
    </cfRule>
    <cfRule type="expression" dxfId="14673" priority="1304" stopIfTrue="1">
      <formula>AN71=CléPersonnalisée1</formula>
    </cfRule>
    <cfRule type="expression" dxfId="14672" priority="1305" stopIfTrue="1">
      <formula>AN71=CléMaladie</formula>
    </cfRule>
    <cfRule type="expression" dxfId="14671" priority="1306" stopIfTrue="1">
      <formula>AN71=CléPersonnelle</formula>
    </cfRule>
    <cfRule type="expression" dxfId="14670" priority="1307" stopIfTrue="1">
      <formula>AN71=CléCongés</formula>
    </cfRule>
  </conditionalFormatting>
  <conditionalFormatting sqref="AH7">
    <cfRule type="dataBar" priority="1301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{335039EA-FFFE-4579-B800-79D580E82F9B}</x14:id>
        </ext>
      </extLst>
    </cfRule>
  </conditionalFormatting>
  <conditionalFormatting sqref="AI7:AL7">
    <cfRule type="expression" priority="1295" stopIfTrue="1">
      <formula>AI7=""</formula>
    </cfRule>
    <cfRule type="expression" dxfId="14669" priority="1296" stopIfTrue="1">
      <formula>AI7=CléPersonnalisée2</formula>
    </cfRule>
    <cfRule type="expression" dxfId="14668" priority="1297" stopIfTrue="1">
      <formula>AI7=CléPersonnalisée1</formula>
    </cfRule>
    <cfRule type="expression" dxfId="14667" priority="1298" stopIfTrue="1">
      <formula>AI7=CléMaladie</formula>
    </cfRule>
    <cfRule type="expression" dxfId="14666" priority="1299" stopIfTrue="1">
      <formula>AI7=CléPersonnelle</formula>
    </cfRule>
    <cfRule type="expression" dxfId="14665" priority="1300" stopIfTrue="1">
      <formula>AI7=CléCongés</formula>
    </cfRule>
  </conditionalFormatting>
  <conditionalFormatting sqref="AM7">
    <cfRule type="expression" priority="1289" stopIfTrue="1">
      <formula>AM7=""</formula>
    </cfRule>
    <cfRule type="expression" dxfId="14664" priority="1290" stopIfTrue="1">
      <formula>AM7=CléPersonnalisée2</formula>
    </cfRule>
    <cfRule type="expression" dxfId="14663" priority="1291" stopIfTrue="1">
      <formula>AM7=CléPersonnalisée1</formula>
    </cfRule>
    <cfRule type="expression" dxfId="14662" priority="1292" stopIfTrue="1">
      <formula>AM7=CléMaladie</formula>
    </cfRule>
    <cfRule type="expression" dxfId="14661" priority="1293" stopIfTrue="1">
      <formula>AM7=CléPersonnelle</formula>
    </cfRule>
    <cfRule type="expression" dxfId="14660" priority="1294" stopIfTrue="1">
      <formula>AM7=CléCongés</formula>
    </cfRule>
  </conditionalFormatting>
  <conditionalFormatting sqref="AO7">
    <cfRule type="expression" priority="1283" stopIfTrue="1">
      <formula>AO7=""</formula>
    </cfRule>
    <cfRule type="expression" dxfId="14659" priority="1284" stopIfTrue="1">
      <formula>AO7=CléPersonnalisée2</formula>
    </cfRule>
    <cfRule type="expression" dxfId="14658" priority="1285" stopIfTrue="1">
      <formula>AO7=CléPersonnalisée1</formula>
    </cfRule>
    <cfRule type="expression" dxfId="14657" priority="1286" stopIfTrue="1">
      <formula>AO7=CléMaladie</formula>
    </cfRule>
    <cfRule type="expression" dxfId="14656" priority="1287" stopIfTrue="1">
      <formula>AO7=CléPersonnelle</formula>
    </cfRule>
    <cfRule type="expression" dxfId="14655" priority="1288" stopIfTrue="1">
      <formula>AO7=CléCongés</formula>
    </cfRule>
  </conditionalFormatting>
  <conditionalFormatting sqref="AN7">
    <cfRule type="expression" priority="1277" stopIfTrue="1">
      <formula>AN7=""</formula>
    </cfRule>
    <cfRule type="expression" dxfId="14654" priority="1278" stopIfTrue="1">
      <formula>AN7=CléPersonnalisée2</formula>
    </cfRule>
    <cfRule type="expression" dxfId="14653" priority="1279" stopIfTrue="1">
      <formula>AN7=CléPersonnalisée1</formula>
    </cfRule>
    <cfRule type="expression" dxfId="14652" priority="1280" stopIfTrue="1">
      <formula>AN7=CléMaladie</formula>
    </cfRule>
    <cfRule type="expression" dxfId="14651" priority="1281" stopIfTrue="1">
      <formula>AN7=CléPersonnelle</formula>
    </cfRule>
    <cfRule type="expression" dxfId="14650" priority="1282" stopIfTrue="1">
      <formula>AN7=CléCongés</formula>
    </cfRule>
  </conditionalFormatting>
  <conditionalFormatting sqref="AQ7">
    <cfRule type="expression" priority="1271" stopIfTrue="1">
      <formula>AQ7=""</formula>
    </cfRule>
    <cfRule type="expression" dxfId="14649" priority="1272" stopIfTrue="1">
      <formula>AQ7=CléPersonnalisée2</formula>
    </cfRule>
    <cfRule type="expression" dxfId="14648" priority="1273" stopIfTrue="1">
      <formula>AQ7=CléPersonnalisée1</formula>
    </cfRule>
    <cfRule type="expression" dxfId="14647" priority="1274" stopIfTrue="1">
      <formula>AQ7=CléMaladie</formula>
    </cfRule>
    <cfRule type="expression" dxfId="14646" priority="1275" stopIfTrue="1">
      <formula>AQ7=CléPersonnelle</formula>
    </cfRule>
    <cfRule type="expression" dxfId="14645" priority="1276" stopIfTrue="1">
      <formula>AQ7=CléCongés</formula>
    </cfRule>
  </conditionalFormatting>
  <conditionalFormatting sqref="AQ71">
    <cfRule type="expression" priority="1065" stopIfTrue="1">
      <formula>AQ71=""</formula>
    </cfRule>
    <cfRule type="expression" dxfId="14644" priority="1066" stopIfTrue="1">
      <formula>AQ71=CléPersonnalisée2</formula>
    </cfRule>
    <cfRule type="expression" dxfId="14643" priority="1067" stopIfTrue="1">
      <formula>AQ71=CléPersonnalisée1</formula>
    </cfRule>
    <cfRule type="expression" dxfId="14642" priority="1068" stopIfTrue="1">
      <formula>AQ71=CléMaladie</formula>
    </cfRule>
    <cfRule type="expression" dxfId="14641" priority="1069" stopIfTrue="1">
      <formula>AQ71=CléPersonnelle</formula>
    </cfRule>
    <cfRule type="expression" dxfId="14640" priority="1070" stopIfTrue="1">
      <formula>AQ71=CléCongés</formula>
    </cfRule>
  </conditionalFormatting>
  <conditionalFormatting sqref="AQ83">
    <cfRule type="expression" priority="977" stopIfTrue="1">
      <formula>AQ83=""</formula>
    </cfRule>
    <cfRule type="expression" dxfId="14639" priority="978" stopIfTrue="1">
      <formula>AQ83=CléPersonnalisée2</formula>
    </cfRule>
    <cfRule type="expression" dxfId="14638" priority="979" stopIfTrue="1">
      <formula>AQ83=CléPersonnalisée1</formula>
    </cfRule>
    <cfRule type="expression" dxfId="14637" priority="980" stopIfTrue="1">
      <formula>AQ83=CléMaladie</formula>
    </cfRule>
    <cfRule type="expression" dxfId="14636" priority="981" stopIfTrue="1">
      <formula>AQ83=CléPersonnelle</formula>
    </cfRule>
    <cfRule type="expression" dxfId="14635" priority="982" stopIfTrue="1">
      <formula>AQ83=CléCongés</formula>
    </cfRule>
  </conditionalFormatting>
  <conditionalFormatting sqref="AQ91">
    <cfRule type="expression" priority="883" stopIfTrue="1">
      <formula>AQ91=""</formula>
    </cfRule>
    <cfRule type="expression" dxfId="14634" priority="884" stopIfTrue="1">
      <formula>AQ91=CléPersonnalisée2</formula>
    </cfRule>
    <cfRule type="expression" dxfId="14633" priority="885" stopIfTrue="1">
      <formula>AQ91=CléPersonnalisée1</formula>
    </cfRule>
    <cfRule type="expression" dxfId="14632" priority="886" stopIfTrue="1">
      <formula>AQ91=CléMaladie</formula>
    </cfRule>
    <cfRule type="expression" dxfId="14631" priority="887" stopIfTrue="1">
      <formula>AQ91=CléPersonnelle</formula>
    </cfRule>
    <cfRule type="expression" dxfId="14630" priority="888" stopIfTrue="1">
      <formula>AQ91=CléCongés</formula>
    </cfRule>
  </conditionalFormatting>
  <conditionalFormatting sqref="C65:AG67">
    <cfRule type="expression" priority="1264" stopIfTrue="1">
      <formula>C65=""</formula>
    </cfRule>
    <cfRule type="expression" dxfId="14629" priority="1265" stopIfTrue="1">
      <formula>C65=CléPersonnalisée2</formula>
    </cfRule>
    <cfRule type="expression" dxfId="14628" priority="1266" stopIfTrue="1">
      <formula>C65=CléPersonnalisée1</formula>
    </cfRule>
    <cfRule type="expression" dxfId="14627" priority="1267" stopIfTrue="1">
      <formula>C65=CléMaladie</formula>
    </cfRule>
    <cfRule type="expression" dxfId="14626" priority="1268" stopIfTrue="1">
      <formula>C65=CléPersonnelle</formula>
    </cfRule>
    <cfRule type="expression" dxfId="14625" priority="1269" stopIfTrue="1">
      <formula>C65=CléCongés</formula>
    </cfRule>
  </conditionalFormatting>
  <conditionalFormatting sqref="AH67">
    <cfRule type="dataBar" priority="1270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{99587816-3806-4C76-97F0-D5F7AF0D0AEC}</x14:id>
        </ext>
      </extLst>
    </cfRule>
  </conditionalFormatting>
  <conditionalFormatting sqref="AI67:AL67">
    <cfRule type="expression" priority="1258" stopIfTrue="1">
      <formula>AI67=""</formula>
    </cfRule>
    <cfRule type="expression" dxfId="14624" priority="1259" stopIfTrue="1">
      <formula>AI67=CléPersonnalisée2</formula>
    </cfRule>
    <cfRule type="expression" dxfId="14623" priority="1260" stopIfTrue="1">
      <formula>AI67=CléPersonnalisée1</formula>
    </cfRule>
    <cfRule type="expression" dxfId="14622" priority="1261" stopIfTrue="1">
      <formula>AI67=CléMaladie</formula>
    </cfRule>
    <cfRule type="expression" dxfId="14621" priority="1262" stopIfTrue="1">
      <formula>AI67=CléPersonnelle</formula>
    </cfRule>
    <cfRule type="expression" dxfId="14620" priority="1263" stopIfTrue="1">
      <formula>AI67=CléCongés</formula>
    </cfRule>
  </conditionalFormatting>
  <conditionalFormatting sqref="AQ65:AR66">
    <cfRule type="expression" priority="1246" stopIfTrue="1">
      <formula>AQ65=""</formula>
    </cfRule>
    <cfRule type="expression" dxfId="14619" priority="1247" stopIfTrue="1">
      <formula>AQ65=CléPersonnalisée2</formula>
    </cfRule>
    <cfRule type="expression" dxfId="14618" priority="1248" stopIfTrue="1">
      <formula>AQ65=CléPersonnalisée1</formula>
    </cfRule>
    <cfRule type="expression" dxfId="14617" priority="1249" stopIfTrue="1">
      <formula>AQ65=CléMaladie</formula>
    </cfRule>
    <cfRule type="expression" dxfId="14616" priority="1250" stopIfTrue="1">
      <formula>AQ65=CléPersonnelle</formula>
    </cfRule>
    <cfRule type="expression" dxfId="14615" priority="1251" stopIfTrue="1">
      <formula>AQ65=CléCongés</formula>
    </cfRule>
  </conditionalFormatting>
  <conditionalFormatting sqref="AH65:AH66">
    <cfRule type="dataBar" priority="1239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{00633E48-59E6-465D-A571-F989A3872A25}</x14:id>
        </ext>
      </extLst>
    </cfRule>
  </conditionalFormatting>
  <conditionalFormatting sqref="AN67">
    <cfRule type="expression" priority="1233" stopIfTrue="1">
      <formula>AN67=""</formula>
    </cfRule>
    <cfRule type="expression" dxfId="14614" priority="1234" stopIfTrue="1">
      <formula>AN67=CléPersonnalisée2</formula>
    </cfRule>
    <cfRule type="expression" dxfId="14613" priority="1235" stopIfTrue="1">
      <formula>AN67=CléPersonnalisée1</formula>
    </cfRule>
    <cfRule type="expression" dxfId="14612" priority="1236" stopIfTrue="1">
      <formula>AN67=CléMaladie</formula>
    </cfRule>
    <cfRule type="expression" dxfId="14611" priority="1237" stopIfTrue="1">
      <formula>AN67=CléPersonnelle</formula>
    </cfRule>
    <cfRule type="expression" dxfId="14610" priority="1238" stopIfTrue="1">
      <formula>AN67=CléCongés</formula>
    </cfRule>
  </conditionalFormatting>
  <conditionalFormatting sqref="AR11">
    <cfRule type="expression" priority="1227" stopIfTrue="1">
      <formula>AR11=""</formula>
    </cfRule>
    <cfRule type="expression" dxfId="14609" priority="1228" stopIfTrue="1">
      <formula>AR11=CléPersonnalisée2</formula>
    </cfRule>
    <cfRule type="expression" dxfId="14608" priority="1229" stopIfTrue="1">
      <formula>AR11=CléPersonnalisée1</formula>
    </cfRule>
    <cfRule type="expression" dxfId="14607" priority="1230" stopIfTrue="1">
      <formula>AR11=CléMaladie</formula>
    </cfRule>
    <cfRule type="expression" dxfId="14606" priority="1231" stopIfTrue="1">
      <formula>AR11=CléPersonnelle</formula>
    </cfRule>
    <cfRule type="expression" dxfId="14605" priority="1232" stopIfTrue="1">
      <formula>AR11=CléCongés</formula>
    </cfRule>
  </conditionalFormatting>
  <conditionalFormatting sqref="AQ11">
    <cfRule type="expression" priority="1221" stopIfTrue="1">
      <formula>AQ11=""</formula>
    </cfRule>
    <cfRule type="expression" dxfId="14604" priority="1222" stopIfTrue="1">
      <formula>AQ11=CléPersonnalisée2</formula>
    </cfRule>
    <cfRule type="expression" dxfId="14603" priority="1223" stopIfTrue="1">
      <formula>AQ11=CléPersonnalisée1</formula>
    </cfRule>
    <cfRule type="expression" dxfId="14602" priority="1224" stopIfTrue="1">
      <formula>AQ11=CléMaladie</formula>
    </cfRule>
    <cfRule type="expression" dxfId="14601" priority="1225" stopIfTrue="1">
      <formula>AQ11=CléPersonnelle</formula>
    </cfRule>
    <cfRule type="expression" dxfId="14600" priority="1226" stopIfTrue="1">
      <formula>AQ11=CléCongés</formula>
    </cfRule>
  </conditionalFormatting>
  <conditionalFormatting sqref="AR19">
    <cfRule type="expression" priority="1215" stopIfTrue="1">
      <formula>AR19=""</formula>
    </cfRule>
    <cfRule type="expression" dxfId="14599" priority="1216" stopIfTrue="1">
      <formula>AR19=CléPersonnalisée2</formula>
    </cfRule>
    <cfRule type="expression" dxfId="14598" priority="1217" stopIfTrue="1">
      <formula>AR19=CléPersonnalisée1</formula>
    </cfRule>
    <cfRule type="expression" dxfId="14597" priority="1218" stopIfTrue="1">
      <formula>AR19=CléMaladie</formula>
    </cfRule>
    <cfRule type="expression" dxfId="14596" priority="1219" stopIfTrue="1">
      <formula>AR19=CléPersonnelle</formula>
    </cfRule>
    <cfRule type="expression" dxfId="14595" priority="1220" stopIfTrue="1">
      <formula>AR19=CléCongés</formula>
    </cfRule>
  </conditionalFormatting>
  <conditionalFormatting sqref="AQ19">
    <cfRule type="expression" priority="1209" stopIfTrue="1">
      <formula>AQ19=""</formula>
    </cfRule>
    <cfRule type="expression" dxfId="14594" priority="1210" stopIfTrue="1">
      <formula>AQ19=CléPersonnalisée2</formula>
    </cfRule>
    <cfRule type="expression" dxfId="14593" priority="1211" stopIfTrue="1">
      <formula>AQ19=CléPersonnalisée1</formula>
    </cfRule>
    <cfRule type="expression" dxfId="14592" priority="1212" stopIfTrue="1">
      <formula>AQ19=CléMaladie</formula>
    </cfRule>
    <cfRule type="expression" dxfId="14591" priority="1213" stopIfTrue="1">
      <formula>AQ19=CléPersonnelle</formula>
    </cfRule>
    <cfRule type="expression" dxfId="14590" priority="1214" stopIfTrue="1">
      <formula>AQ19=CléCongés</formula>
    </cfRule>
  </conditionalFormatting>
  <conditionalFormatting sqref="AR23">
    <cfRule type="expression" priority="1203" stopIfTrue="1">
      <formula>AR23=""</formula>
    </cfRule>
    <cfRule type="expression" dxfId="14589" priority="1204" stopIfTrue="1">
      <formula>AR23=CléPersonnalisée2</formula>
    </cfRule>
    <cfRule type="expression" dxfId="14588" priority="1205" stopIfTrue="1">
      <formula>AR23=CléPersonnalisée1</formula>
    </cfRule>
    <cfRule type="expression" dxfId="14587" priority="1206" stopIfTrue="1">
      <formula>AR23=CléMaladie</formula>
    </cfRule>
    <cfRule type="expression" dxfId="14586" priority="1207" stopIfTrue="1">
      <formula>AR23=CléPersonnelle</formula>
    </cfRule>
    <cfRule type="expression" dxfId="14585" priority="1208" stopIfTrue="1">
      <formula>AR23=CléCongés</formula>
    </cfRule>
  </conditionalFormatting>
  <conditionalFormatting sqref="AQ23">
    <cfRule type="expression" priority="1197" stopIfTrue="1">
      <formula>AQ23=""</formula>
    </cfRule>
    <cfRule type="expression" dxfId="14584" priority="1198" stopIfTrue="1">
      <formula>AQ23=CléPersonnalisée2</formula>
    </cfRule>
    <cfRule type="expression" dxfId="14583" priority="1199" stopIfTrue="1">
      <formula>AQ23=CléPersonnalisée1</formula>
    </cfRule>
    <cfRule type="expression" dxfId="14582" priority="1200" stopIfTrue="1">
      <formula>AQ23=CléMaladie</formula>
    </cfRule>
    <cfRule type="expression" dxfId="14581" priority="1201" stopIfTrue="1">
      <formula>AQ23=CléPersonnelle</formula>
    </cfRule>
    <cfRule type="expression" dxfId="14580" priority="1202" stopIfTrue="1">
      <formula>AQ23=CléCongés</formula>
    </cfRule>
  </conditionalFormatting>
  <conditionalFormatting sqref="AR27">
    <cfRule type="expression" priority="1191" stopIfTrue="1">
      <formula>AR27=""</formula>
    </cfRule>
    <cfRule type="expression" dxfId="14579" priority="1192" stopIfTrue="1">
      <formula>AR27=CléPersonnalisée2</formula>
    </cfRule>
    <cfRule type="expression" dxfId="14578" priority="1193" stopIfTrue="1">
      <formula>AR27=CléPersonnalisée1</formula>
    </cfRule>
    <cfRule type="expression" dxfId="14577" priority="1194" stopIfTrue="1">
      <formula>AR27=CléMaladie</formula>
    </cfRule>
    <cfRule type="expression" dxfId="14576" priority="1195" stopIfTrue="1">
      <formula>AR27=CléPersonnelle</formula>
    </cfRule>
    <cfRule type="expression" dxfId="14575" priority="1196" stopIfTrue="1">
      <formula>AR27=CléCongés</formula>
    </cfRule>
  </conditionalFormatting>
  <conditionalFormatting sqref="AQ27">
    <cfRule type="expression" priority="1185" stopIfTrue="1">
      <formula>AQ27=""</formula>
    </cfRule>
    <cfRule type="expression" dxfId="14574" priority="1186" stopIfTrue="1">
      <formula>AQ27=CléPersonnalisée2</formula>
    </cfRule>
    <cfRule type="expression" dxfId="14573" priority="1187" stopIfTrue="1">
      <formula>AQ27=CléPersonnalisée1</formula>
    </cfRule>
    <cfRule type="expression" dxfId="14572" priority="1188" stopIfTrue="1">
      <formula>AQ27=CléMaladie</formula>
    </cfRule>
    <cfRule type="expression" dxfId="14571" priority="1189" stopIfTrue="1">
      <formula>AQ27=CléPersonnelle</formula>
    </cfRule>
    <cfRule type="expression" dxfId="14570" priority="1190" stopIfTrue="1">
      <formula>AQ27=CléCongés</formula>
    </cfRule>
  </conditionalFormatting>
  <conditionalFormatting sqref="AR31">
    <cfRule type="expression" priority="1179" stopIfTrue="1">
      <formula>AR31=""</formula>
    </cfRule>
    <cfRule type="expression" dxfId="14569" priority="1180" stopIfTrue="1">
      <formula>AR31=CléPersonnalisée2</formula>
    </cfRule>
    <cfRule type="expression" dxfId="14568" priority="1181" stopIfTrue="1">
      <formula>AR31=CléPersonnalisée1</formula>
    </cfRule>
    <cfRule type="expression" dxfId="14567" priority="1182" stopIfTrue="1">
      <formula>AR31=CléMaladie</formula>
    </cfRule>
    <cfRule type="expression" dxfId="14566" priority="1183" stopIfTrue="1">
      <formula>AR31=CléPersonnelle</formula>
    </cfRule>
    <cfRule type="expression" dxfId="14565" priority="1184" stopIfTrue="1">
      <formula>AR31=CléCongés</formula>
    </cfRule>
  </conditionalFormatting>
  <conditionalFormatting sqref="AQ31">
    <cfRule type="expression" priority="1173" stopIfTrue="1">
      <formula>AQ31=""</formula>
    </cfRule>
    <cfRule type="expression" dxfId="14564" priority="1174" stopIfTrue="1">
      <formula>AQ31=CléPersonnalisée2</formula>
    </cfRule>
    <cfRule type="expression" dxfId="14563" priority="1175" stopIfTrue="1">
      <formula>AQ31=CléPersonnalisée1</formula>
    </cfRule>
    <cfRule type="expression" dxfId="14562" priority="1176" stopIfTrue="1">
      <formula>AQ31=CléMaladie</formula>
    </cfRule>
    <cfRule type="expression" dxfId="14561" priority="1177" stopIfTrue="1">
      <formula>AQ31=CléPersonnelle</formula>
    </cfRule>
    <cfRule type="expression" dxfId="14560" priority="1178" stopIfTrue="1">
      <formula>AQ31=CléCongés</formula>
    </cfRule>
  </conditionalFormatting>
  <conditionalFormatting sqref="AR35">
    <cfRule type="expression" priority="1167" stopIfTrue="1">
      <formula>AR35=""</formula>
    </cfRule>
    <cfRule type="expression" dxfId="14559" priority="1168" stopIfTrue="1">
      <formula>AR35=CléPersonnalisée2</formula>
    </cfRule>
    <cfRule type="expression" dxfId="14558" priority="1169" stopIfTrue="1">
      <formula>AR35=CléPersonnalisée1</formula>
    </cfRule>
    <cfRule type="expression" dxfId="14557" priority="1170" stopIfTrue="1">
      <formula>AR35=CléMaladie</formula>
    </cfRule>
    <cfRule type="expression" dxfId="14556" priority="1171" stopIfTrue="1">
      <formula>AR35=CléPersonnelle</formula>
    </cfRule>
    <cfRule type="expression" dxfId="14555" priority="1172" stopIfTrue="1">
      <formula>AR35=CléCongés</formula>
    </cfRule>
  </conditionalFormatting>
  <conditionalFormatting sqref="AQ35">
    <cfRule type="expression" priority="1161" stopIfTrue="1">
      <formula>AQ35=""</formula>
    </cfRule>
    <cfRule type="expression" dxfId="14554" priority="1162" stopIfTrue="1">
      <formula>AQ35=CléPersonnalisée2</formula>
    </cfRule>
    <cfRule type="expression" dxfId="14553" priority="1163" stopIfTrue="1">
      <formula>AQ35=CléPersonnalisée1</formula>
    </cfRule>
    <cfRule type="expression" dxfId="14552" priority="1164" stopIfTrue="1">
      <formula>AQ35=CléMaladie</formula>
    </cfRule>
    <cfRule type="expression" dxfId="14551" priority="1165" stopIfTrue="1">
      <formula>AQ35=CléPersonnelle</formula>
    </cfRule>
    <cfRule type="expression" dxfId="14550" priority="1166" stopIfTrue="1">
      <formula>AQ35=CléCongés</formula>
    </cfRule>
  </conditionalFormatting>
  <conditionalFormatting sqref="AR39">
    <cfRule type="expression" priority="1155" stopIfTrue="1">
      <formula>AR39=""</formula>
    </cfRule>
    <cfRule type="expression" dxfId="14549" priority="1156" stopIfTrue="1">
      <formula>AR39=CléPersonnalisée2</formula>
    </cfRule>
    <cfRule type="expression" dxfId="14548" priority="1157" stopIfTrue="1">
      <formula>AR39=CléPersonnalisée1</formula>
    </cfRule>
    <cfRule type="expression" dxfId="14547" priority="1158" stopIfTrue="1">
      <formula>AR39=CléMaladie</formula>
    </cfRule>
    <cfRule type="expression" dxfId="14546" priority="1159" stopIfTrue="1">
      <formula>AR39=CléPersonnelle</formula>
    </cfRule>
    <cfRule type="expression" dxfId="14545" priority="1160" stopIfTrue="1">
      <formula>AR39=CléCongés</formula>
    </cfRule>
  </conditionalFormatting>
  <conditionalFormatting sqref="AQ39">
    <cfRule type="expression" priority="1149" stopIfTrue="1">
      <formula>AQ39=""</formula>
    </cfRule>
    <cfRule type="expression" dxfId="14544" priority="1150" stopIfTrue="1">
      <formula>AQ39=CléPersonnalisée2</formula>
    </cfRule>
    <cfRule type="expression" dxfId="14543" priority="1151" stopIfTrue="1">
      <formula>AQ39=CléPersonnalisée1</formula>
    </cfRule>
    <cfRule type="expression" dxfId="14542" priority="1152" stopIfTrue="1">
      <formula>AQ39=CléMaladie</formula>
    </cfRule>
    <cfRule type="expression" dxfId="14541" priority="1153" stopIfTrue="1">
      <formula>AQ39=CléPersonnelle</formula>
    </cfRule>
    <cfRule type="expression" dxfId="14540" priority="1154" stopIfTrue="1">
      <formula>AQ39=CléCongés</formula>
    </cfRule>
  </conditionalFormatting>
  <conditionalFormatting sqref="AR43">
    <cfRule type="expression" priority="1143" stopIfTrue="1">
      <formula>AR43=""</formula>
    </cfRule>
    <cfRule type="expression" dxfId="14539" priority="1144" stopIfTrue="1">
      <formula>AR43=CléPersonnalisée2</formula>
    </cfRule>
    <cfRule type="expression" dxfId="14538" priority="1145" stopIfTrue="1">
      <formula>AR43=CléPersonnalisée1</formula>
    </cfRule>
    <cfRule type="expression" dxfId="14537" priority="1146" stopIfTrue="1">
      <formula>AR43=CléMaladie</formula>
    </cfRule>
    <cfRule type="expression" dxfId="14536" priority="1147" stopIfTrue="1">
      <formula>AR43=CléPersonnelle</formula>
    </cfRule>
    <cfRule type="expression" dxfId="14535" priority="1148" stopIfTrue="1">
      <formula>AR43=CléCongés</formula>
    </cfRule>
  </conditionalFormatting>
  <conditionalFormatting sqref="AQ43">
    <cfRule type="expression" priority="1137" stopIfTrue="1">
      <formula>AQ43=""</formula>
    </cfRule>
    <cfRule type="expression" dxfId="14534" priority="1138" stopIfTrue="1">
      <formula>AQ43=CléPersonnalisée2</formula>
    </cfRule>
    <cfRule type="expression" dxfId="14533" priority="1139" stopIfTrue="1">
      <formula>AQ43=CléPersonnalisée1</formula>
    </cfRule>
    <cfRule type="expression" dxfId="14532" priority="1140" stopIfTrue="1">
      <formula>AQ43=CléMaladie</formula>
    </cfRule>
    <cfRule type="expression" dxfId="14531" priority="1141" stopIfTrue="1">
      <formula>AQ43=CléPersonnelle</formula>
    </cfRule>
    <cfRule type="expression" dxfId="14530" priority="1142" stopIfTrue="1">
      <formula>AQ43=CléCongés</formula>
    </cfRule>
  </conditionalFormatting>
  <conditionalFormatting sqref="AR47">
    <cfRule type="expression" priority="1131" stopIfTrue="1">
      <formula>AR47=""</formula>
    </cfRule>
    <cfRule type="expression" dxfId="14529" priority="1132" stopIfTrue="1">
      <formula>AR47=CléPersonnalisée2</formula>
    </cfRule>
    <cfRule type="expression" dxfId="14528" priority="1133" stopIfTrue="1">
      <formula>AR47=CléPersonnalisée1</formula>
    </cfRule>
    <cfRule type="expression" dxfId="14527" priority="1134" stopIfTrue="1">
      <formula>AR47=CléMaladie</formula>
    </cfRule>
    <cfRule type="expression" dxfId="14526" priority="1135" stopIfTrue="1">
      <formula>AR47=CléPersonnelle</formula>
    </cfRule>
    <cfRule type="expression" dxfId="14525" priority="1136" stopIfTrue="1">
      <formula>AR47=CléCongés</formula>
    </cfRule>
  </conditionalFormatting>
  <conditionalFormatting sqref="AQ47">
    <cfRule type="expression" priority="1125" stopIfTrue="1">
      <formula>AQ47=""</formula>
    </cfRule>
    <cfRule type="expression" dxfId="14524" priority="1126" stopIfTrue="1">
      <formula>AQ47=CléPersonnalisée2</formula>
    </cfRule>
    <cfRule type="expression" dxfId="14523" priority="1127" stopIfTrue="1">
      <formula>AQ47=CléPersonnalisée1</formula>
    </cfRule>
    <cfRule type="expression" dxfId="14522" priority="1128" stopIfTrue="1">
      <formula>AQ47=CléMaladie</formula>
    </cfRule>
    <cfRule type="expression" dxfId="14521" priority="1129" stopIfTrue="1">
      <formula>AQ47=CléPersonnelle</formula>
    </cfRule>
    <cfRule type="expression" dxfId="14520" priority="1130" stopIfTrue="1">
      <formula>AQ47=CléCongés</formula>
    </cfRule>
  </conditionalFormatting>
  <conditionalFormatting sqref="AR51">
    <cfRule type="expression" priority="1119" stopIfTrue="1">
      <formula>AR51=""</formula>
    </cfRule>
    <cfRule type="expression" dxfId="14519" priority="1120" stopIfTrue="1">
      <formula>AR51=CléPersonnalisée2</formula>
    </cfRule>
    <cfRule type="expression" dxfId="14518" priority="1121" stopIfTrue="1">
      <formula>AR51=CléPersonnalisée1</formula>
    </cfRule>
    <cfRule type="expression" dxfId="14517" priority="1122" stopIfTrue="1">
      <formula>AR51=CléMaladie</formula>
    </cfRule>
    <cfRule type="expression" dxfId="14516" priority="1123" stopIfTrue="1">
      <formula>AR51=CléPersonnelle</formula>
    </cfRule>
    <cfRule type="expression" dxfId="14515" priority="1124" stopIfTrue="1">
      <formula>AR51=CléCongés</formula>
    </cfRule>
  </conditionalFormatting>
  <conditionalFormatting sqref="AQ51">
    <cfRule type="expression" priority="1113" stopIfTrue="1">
      <formula>AQ51=""</formula>
    </cfRule>
    <cfRule type="expression" dxfId="14514" priority="1114" stopIfTrue="1">
      <formula>AQ51=CléPersonnalisée2</formula>
    </cfRule>
    <cfRule type="expression" dxfId="14513" priority="1115" stopIfTrue="1">
      <formula>AQ51=CléPersonnalisée1</formula>
    </cfRule>
    <cfRule type="expression" dxfId="14512" priority="1116" stopIfTrue="1">
      <formula>AQ51=CléMaladie</formula>
    </cfRule>
    <cfRule type="expression" dxfId="14511" priority="1117" stopIfTrue="1">
      <formula>AQ51=CléPersonnelle</formula>
    </cfRule>
    <cfRule type="expression" dxfId="14510" priority="1118" stopIfTrue="1">
      <formula>AQ51=CléCongés</formula>
    </cfRule>
  </conditionalFormatting>
  <conditionalFormatting sqref="AR55">
    <cfRule type="expression" priority="1107" stopIfTrue="1">
      <formula>AR55=""</formula>
    </cfRule>
    <cfRule type="expression" dxfId="14509" priority="1108" stopIfTrue="1">
      <formula>AR55=CléPersonnalisée2</formula>
    </cfRule>
    <cfRule type="expression" dxfId="14508" priority="1109" stopIfTrue="1">
      <formula>AR55=CléPersonnalisée1</formula>
    </cfRule>
    <cfRule type="expression" dxfId="14507" priority="1110" stopIfTrue="1">
      <formula>AR55=CléMaladie</formula>
    </cfRule>
    <cfRule type="expression" dxfId="14506" priority="1111" stopIfTrue="1">
      <formula>AR55=CléPersonnelle</formula>
    </cfRule>
    <cfRule type="expression" dxfId="14505" priority="1112" stopIfTrue="1">
      <formula>AR55=CléCongés</formula>
    </cfRule>
  </conditionalFormatting>
  <conditionalFormatting sqref="AQ55">
    <cfRule type="expression" priority="1101" stopIfTrue="1">
      <formula>AQ55=""</formula>
    </cfRule>
    <cfRule type="expression" dxfId="14504" priority="1102" stopIfTrue="1">
      <formula>AQ55=CléPersonnalisée2</formula>
    </cfRule>
    <cfRule type="expression" dxfId="14503" priority="1103" stopIfTrue="1">
      <formula>AQ55=CléPersonnalisée1</formula>
    </cfRule>
    <cfRule type="expression" dxfId="14502" priority="1104" stopIfTrue="1">
      <formula>AQ55=CléMaladie</formula>
    </cfRule>
    <cfRule type="expression" dxfId="14501" priority="1105" stopIfTrue="1">
      <formula>AQ55=CléPersonnelle</formula>
    </cfRule>
    <cfRule type="expression" dxfId="14500" priority="1106" stopIfTrue="1">
      <formula>AQ55=CléCongés</formula>
    </cfRule>
  </conditionalFormatting>
  <conditionalFormatting sqref="AR63">
    <cfRule type="expression" priority="1095" stopIfTrue="1">
      <formula>AR63=""</formula>
    </cfRule>
    <cfRule type="expression" dxfId="14499" priority="1096" stopIfTrue="1">
      <formula>AR63=CléPersonnalisée2</formula>
    </cfRule>
    <cfRule type="expression" dxfId="14498" priority="1097" stopIfTrue="1">
      <formula>AR63=CléPersonnalisée1</formula>
    </cfRule>
    <cfRule type="expression" dxfId="14497" priority="1098" stopIfTrue="1">
      <formula>AR63=CléMaladie</formula>
    </cfRule>
    <cfRule type="expression" dxfId="14496" priority="1099" stopIfTrue="1">
      <formula>AR63=CléPersonnelle</formula>
    </cfRule>
    <cfRule type="expression" dxfId="14495" priority="1100" stopIfTrue="1">
      <formula>AR63=CléCongés</formula>
    </cfRule>
  </conditionalFormatting>
  <conditionalFormatting sqref="AQ63">
    <cfRule type="expression" priority="1089" stopIfTrue="1">
      <formula>AQ63=""</formula>
    </cfRule>
    <cfRule type="expression" dxfId="14494" priority="1090" stopIfTrue="1">
      <formula>AQ63=CléPersonnalisée2</formula>
    </cfRule>
    <cfRule type="expression" dxfId="14493" priority="1091" stopIfTrue="1">
      <formula>AQ63=CléPersonnalisée1</formula>
    </cfRule>
    <cfRule type="expression" dxfId="14492" priority="1092" stopIfTrue="1">
      <formula>AQ63=CléMaladie</formula>
    </cfRule>
    <cfRule type="expression" dxfId="14491" priority="1093" stopIfTrue="1">
      <formula>AQ63=CléPersonnelle</formula>
    </cfRule>
    <cfRule type="expression" dxfId="14490" priority="1094" stopIfTrue="1">
      <formula>AQ63=CléCongés</formula>
    </cfRule>
  </conditionalFormatting>
  <conditionalFormatting sqref="AR67">
    <cfRule type="expression" priority="1083" stopIfTrue="1">
      <formula>AR67=""</formula>
    </cfRule>
    <cfRule type="expression" dxfId="14489" priority="1084" stopIfTrue="1">
      <formula>AR67=CléPersonnalisée2</formula>
    </cfRule>
    <cfRule type="expression" dxfId="14488" priority="1085" stopIfTrue="1">
      <formula>AR67=CléPersonnalisée1</formula>
    </cfRule>
    <cfRule type="expression" dxfId="14487" priority="1086" stopIfTrue="1">
      <formula>AR67=CléMaladie</formula>
    </cfRule>
    <cfRule type="expression" dxfId="14486" priority="1087" stopIfTrue="1">
      <formula>AR67=CléPersonnelle</formula>
    </cfRule>
    <cfRule type="expression" dxfId="14485" priority="1088" stopIfTrue="1">
      <formula>AR67=CléCongés</formula>
    </cfRule>
  </conditionalFormatting>
  <conditionalFormatting sqref="AQ67">
    <cfRule type="expression" priority="1077" stopIfTrue="1">
      <formula>AQ67=""</formula>
    </cfRule>
    <cfRule type="expression" dxfId="14484" priority="1078" stopIfTrue="1">
      <formula>AQ67=CléPersonnalisée2</formula>
    </cfRule>
    <cfRule type="expression" dxfId="14483" priority="1079" stopIfTrue="1">
      <formula>AQ67=CléPersonnalisée1</formula>
    </cfRule>
    <cfRule type="expression" dxfId="14482" priority="1080" stopIfTrue="1">
      <formula>AQ67=CléMaladie</formula>
    </cfRule>
    <cfRule type="expression" dxfId="14481" priority="1081" stopIfTrue="1">
      <formula>AQ67=CléPersonnelle</formula>
    </cfRule>
    <cfRule type="expression" dxfId="14480" priority="1082" stopIfTrue="1">
      <formula>AQ67=CléCongés</formula>
    </cfRule>
  </conditionalFormatting>
  <conditionalFormatting sqref="AR71">
    <cfRule type="expression" priority="1071" stopIfTrue="1">
      <formula>AR71=""</formula>
    </cfRule>
    <cfRule type="expression" dxfId="14479" priority="1072" stopIfTrue="1">
      <formula>AR71=CléPersonnalisée2</formula>
    </cfRule>
    <cfRule type="expression" dxfId="14478" priority="1073" stopIfTrue="1">
      <formula>AR71=CléPersonnalisée1</formula>
    </cfRule>
    <cfRule type="expression" dxfId="14477" priority="1074" stopIfTrue="1">
      <formula>AR71=CléMaladie</formula>
    </cfRule>
    <cfRule type="expression" dxfId="14476" priority="1075" stopIfTrue="1">
      <formula>AR71=CléPersonnelle</formula>
    </cfRule>
    <cfRule type="expression" dxfId="14475" priority="1076" stopIfTrue="1">
      <formula>AR71=CléCongés</formula>
    </cfRule>
  </conditionalFormatting>
  <conditionalFormatting sqref="C73:AG75">
    <cfRule type="expression" priority="1058" stopIfTrue="1">
      <formula>C73=""</formula>
    </cfRule>
    <cfRule type="expression" dxfId="14474" priority="1059" stopIfTrue="1">
      <formula>C73=CléPersonnalisée2</formula>
    </cfRule>
    <cfRule type="expression" dxfId="14473" priority="1060" stopIfTrue="1">
      <formula>C73=CléPersonnalisée1</formula>
    </cfRule>
    <cfRule type="expression" dxfId="14472" priority="1061" stopIfTrue="1">
      <formula>C73=CléMaladie</formula>
    </cfRule>
    <cfRule type="expression" dxfId="14471" priority="1062" stopIfTrue="1">
      <formula>C73=CléPersonnelle</formula>
    </cfRule>
    <cfRule type="expression" dxfId="14470" priority="1063" stopIfTrue="1">
      <formula>C73=CléCongés</formula>
    </cfRule>
  </conditionalFormatting>
  <conditionalFormatting sqref="AH75">
    <cfRule type="dataBar" priority="1064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{8F772B59-8BA0-46A9-B69A-6F7A0CC5463D}</x14:id>
        </ext>
      </extLst>
    </cfRule>
  </conditionalFormatting>
  <conditionalFormatting sqref="AI75:AL75">
    <cfRule type="expression" priority="1052" stopIfTrue="1">
      <formula>AI75=""</formula>
    </cfRule>
    <cfRule type="expression" dxfId="14469" priority="1053" stopIfTrue="1">
      <formula>AI75=CléPersonnalisée2</formula>
    </cfRule>
    <cfRule type="expression" dxfId="14468" priority="1054" stopIfTrue="1">
      <formula>AI75=CléPersonnalisée1</formula>
    </cfRule>
    <cfRule type="expression" dxfId="14467" priority="1055" stopIfTrue="1">
      <formula>AI75=CléMaladie</formula>
    </cfRule>
    <cfRule type="expression" dxfId="14466" priority="1056" stopIfTrue="1">
      <formula>AI75=CléPersonnelle</formula>
    </cfRule>
    <cfRule type="expression" dxfId="14465" priority="1057" stopIfTrue="1">
      <formula>AI75=CléCongés</formula>
    </cfRule>
  </conditionalFormatting>
  <conditionalFormatting sqref="AM73:AP74">
    <cfRule type="expression" priority="1046" stopIfTrue="1">
      <formula>AM73=""</formula>
    </cfRule>
    <cfRule type="expression" dxfId="14464" priority="1047" stopIfTrue="1">
      <formula>AM73=CléPersonnalisée2</formula>
    </cfRule>
    <cfRule type="expression" dxfId="14463" priority="1048" stopIfTrue="1">
      <formula>AM73=CléPersonnalisée1</formula>
    </cfRule>
    <cfRule type="expression" dxfId="14462" priority="1049" stopIfTrue="1">
      <formula>AM73=CléMaladie</formula>
    </cfRule>
    <cfRule type="expression" dxfId="14461" priority="1050" stopIfTrue="1">
      <formula>AM73=CléPersonnelle</formula>
    </cfRule>
    <cfRule type="expression" dxfId="14460" priority="1051" stopIfTrue="1">
      <formula>AM73=CléCongés</formula>
    </cfRule>
  </conditionalFormatting>
  <conditionalFormatting sqref="AQ73:AR74">
    <cfRule type="expression" priority="1040" stopIfTrue="1">
      <formula>AQ73=""</formula>
    </cfRule>
    <cfRule type="expression" dxfId="14459" priority="1041" stopIfTrue="1">
      <formula>AQ73=CléPersonnalisée2</formula>
    </cfRule>
    <cfRule type="expression" dxfId="14458" priority="1042" stopIfTrue="1">
      <formula>AQ73=CléPersonnalisée1</formula>
    </cfRule>
    <cfRule type="expression" dxfId="14457" priority="1043" stopIfTrue="1">
      <formula>AQ73=CléMaladie</formula>
    </cfRule>
    <cfRule type="expression" dxfId="14456" priority="1044" stopIfTrue="1">
      <formula>AQ73=CléPersonnelle</formula>
    </cfRule>
    <cfRule type="expression" dxfId="14455" priority="1045" stopIfTrue="1">
      <formula>AQ73=CléCongés</formula>
    </cfRule>
  </conditionalFormatting>
  <conditionalFormatting sqref="AM75 AP75">
    <cfRule type="expression" priority="1034" stopIfTrue="1">
      <formula>AM75=""</formula>
    </cfRule>
    <cfRule type="expression" dxfId="14454" priority="1035" stopIfTrue="1">
      <formula>AM75=CléPersonnalisée2</formula>
    </cfRule>
    <cfRule type="expression" dxfId="14453" priority="1036" stopIfTrue="1">
      <formula>AM75=CléPersonnalisée1</formula>
    </cfRule>
    <cfRule type="expression" dxfId="14452" priority="1037" stopIfTrue="1">
      <formula>AM75=CléMaladie</formula>
    </cfRule>
    <cfRule type="expression" dxfId="14451" priority="1038" stopIfTrue="1">
      <formula>AM75=CléPersonnelle</formula>
    </cfRule>
    <cfRule type="expression" dxfId="14450" priority="1039" stopIfTrue="1">
      <formula>AM75=CléCongés</formula>
    </cfRule>
  </conditionalFormatting>
  <conditionalFormatting sqref="AH73:AH74">
    <cfRule type="dataBar" priority="1033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{E94176C1-FA41-4723-831A-45E4F43B6423}</x14:id>
        </ext>
      </extLst>
    </cfRule>
  </conditionalFormatting>
  <conditionalFormatting sqref="AR75">
    <cfRule type="expression" priority="1027" stopIfTrue="1">
      <formula>AR75=""</formula>
    </cfRule>
    <cfRule type="expression" dxfId="14449" priority="1028" stopIfTrue="1">
      <formula>AR75=CléPersonnalisée2</formula>
    </cfRule>
    <cfRule type="expression" dxfId="14448" priority="1029" stopIfTrue="1">
      <formula>AR75=CléPersonnalisée1</formula>
    </cfRule>
    <cfRule type="expression" dxfId="14447" priority="1030" stopIfTrue="1">
      <formula>AR75=CléMaladie</formula>
    </cfRule>
    <cfRule type="expression" dxfId="14446" priority="1031" stopIfTrue="1">
      <formula>AR75=CléPersonnelle</formula>
    </cfRule>
    <cfRule type="expression" dxfId="14445" priority="1032" stopIfTrue="1">
      <formula>AR75=CléCongés</formula>
    </cfRule>
  </conditionalFormatting>
  <conditionalFormatting sqref="C81:AG83">
    <cfRule type="expression" priority="1020" stopIfTrue="1">
      <formula>C81=""</formula>
    </cfRule>
    <cfRule type="expression" dxfId="14444" priority="1021" stopIfTrue="1">
      <formula>C81=CléPersonnalisée2</formula>
    </cfRule>
    <cfRule type="expression" dxfId="14443" priority="1022" stopIfTrue="1">
      <formula>C81=CléPersonnalisée1</formula>
    </cfRule>
    <cfRule type="expression" dxfId="14442" priority="1023" stopIfTrue="1">
      <formula>C81=CléMaladie</formula>
    </cfRule>
    <cfRule type="expression" dxfId="14441" priority="1024" stopIfTrue="1">
      <formula>C81=CléPersonnelle</formula>
    </cfRule>
    <cfRule type="expression" dxfId="14440" priority="1025" stopIfTrue="1">
      <formula>C81=CléCongés</formula>
    </cfRule>
  </conditionalFormatting>
  <conditionalFormatting sqref="AH83">
    <cfRule type="dataBar" priority="1026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{08B152B3-44BD-4D65-956C-D8CBD1848D47}</x14:id>
        </ext>
      </extLst>
    </cfRule>
  </conditionalFormatting>
  <conditionalFormatting sqref="AI83:AL83">
    <cfRule type="expression" priority="1014" stopIfTrue="1">
      <formula>AI83=""</formula>
    </cfRule>
    <cfRule type="expression" dxfId="14439" priority="1015" stopIfTrue="1">
      <formula>AI83=CléPersonnalisée2</formula>
    </cfRule>
    <cfRule type="expression" dxfId="14438" priority="1016" stopIfTrue="1">
      <formula>AI83=CléPersonnalisée1</formula>
    </cfRule>
    <cfRule type="expression" dxfId="14437" priority="1017" stopIfTrue="1">
      <formula>AI83=CléMaladie</formula>
    </cfRule>
    <cfRule type="expression" dxfId="14436" priority="1018" stopIfTrue="1">
      <formula>AI83=CléPersonnelle</formula>
    </cfRule>
    <cfRule type="expression" dxfId="14435" priority="1019" stopIfTrue="1">
      <formula>AI83=CléCongés</formula>
    </cfRule>
  </conditionalFormatting>
  <conditionalFormatting sqref="AM81:AP82">
    <cfRule type="expression" priority="1008" stopIfTrue="1">
      <formula>AM81=""</formula>
    </cfRule>
    <cfRule type="expression" dxfId="14434" priority="1009" stopIfTrue="1">
      <formula>AM81=CléPersonnalisée2</formula>
    </cfRule>
    <cfRule type="expression" dxfId="14433" priority="1010" stopIfTrue="1">
      <formula>AM81=CléPersonnalisée1</formula>
    </cfRule>
    <cfRule type="expression" dxfId="14432" priority="1011" stopIfTrue="1">
      <formula>AM81=CléMaladie</formula>
    </cfRule>
    <cfRule type="expression" dxfId="14431" priority="1012" stopIfTrue="1">
      <formula>AM81=CléPersonnelle</formula>
    </cfRule>
    <cfRule type="expression" dxfId="14430" priority="1013" stopIfTrue="1">
      <formula>AM81=CléCongés</formula>
    </cfRule>
  </conditionalFormatting>
  <conditionalFormatting sqref="AQ81:AR82">
    <cfRule type="expression" priority="1002" stopIfTrue="1">
      <formula>AQ81=""</formula>
    </cfRule>
    <cfRule type="expression" dxfId="14429" priority="1003" stopIfTrue="1">
      <formula>AQ81=CléPersonnalisée2</formula>
    </cfRule>
    <cfRule type="expression" dxfId="14428" priority="1004" stopIfTrue="1">
      <formula>AQ81=CléPersonnalisée1</formula>
    </cfRule>
    <cfRule type="expression" dxfId="14427" priority="1005" stopIfTrue="1">
      <formula>AQ81=CléMaladie</formula>
    </cfRule>
    <cfRule type="expression" dxfId="14426" priority="1006" stopIfTrue="1">
      <formula>AQ81=CléPersonnelle</formula>
    </cfRule>
    <cfRule type="expression" dxfId="14425" priority="1007" stopIfTrue="1">
      <formula>AQ81=CléCongés</formula>
    </cfRule>
  </conditionalFormatting>
  <conditionalFormatting sqref="AM83 AP83">
    <cfRule type="expression" priority="996" stopIfTrue="1">
      <formula>AM83=""</formula>
    </cfRule>
    <cfRule type="expression" dxfId="14424" priority="997" stopIfTrue="1">
      <formula>AM83=CléPersonnalisée2</formula>
    </cfRule>
    <cfRule type="expression" dxfId="14423" priority="998" stopIfTrue="1">
      <formula>AM83=CléPersonnalisée1</formula>
    </cfRule>
    <cfRule type="expression" dxfId="14422" priority="999" stopIfTrue="1">
      <formula>AM83=CléMaladie</formula>
    </cfRule>
    <cfRule type="expression" dxfId="14421" priority="1000" stopIfTrue="1">
      <formula>AM83=CléPersonnelle</formula>
    </cfRule>
    <cfRule type="expression" dxfId="14420" priority="1001" stopIfTrue="1">
      <formula>AM83=CléCongés</formula>
    </cfRule>
  </conditionalFormatting>
  <conditionalFormatting sqref="AH81:AH82">
    <cfRule type="dataBar" priority="995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{AD9BA1E0-0F7C-4C5D-BB25-A092B835D6E4}</x14:id>
        </ext>
      </extLst>
    </cfRule>
  </conditionalFormatting>
  <conditionalFormatting sqref="AN83">
    <cfRule type="expression" priority="989" stopIfTrue="1">
      <formula>AN83=""</formula>
    </cfRule>
    <cfRule type="expression" dxfId="14419" priority="990" stopIfTrue="1">
      <formula>AN83=CléPersonnalisée2</formula>
    </cfRule>
    <cfRule type="expression" dxfId="14418" priority="991" stopIfTrue="1">
      <formula>AN83=CléPersonnalisée1</formula>
    </cfRule>
    <cfRule type="expression" dxfId="14417" priority="992" stopIfTrue="1">
      <formula>AN83=CléMaladie</formula>
    </cfRule>
    <cfRule type="expression" dxfId="14416" priority="993" stopIfTrue="1">
      <formula>AN83=CléPersonnelle</formula>
    </cfRule>
    <cfRule type="expression" dxfId="14415" priority="994" stopIfTrue="1">
      <formula>AN83=CléCongés</formula>
    </cfRule>
  </conditionalFormatting>
  <conditionalFormatting sqref="AR83">
    <cfRule type="expression" priority="983" stopIfTrue="1">
      <formula>AR83=""</formula>
    </cfRule>
    <cfRule type="expression" dxfId="14414" priority="984" stopIfTrue="1">
      <formula>AR83=CléPersonnalisée2</formula>
    </cfRule>
    <cfRule type="expression" dxfId="14413" priority="985" stopIfTrue="1">
      <formula>AR83=CléPersonnalisée1</formula>
    </cfRule>
    <cfRule type="expression" dxfId="14412" priority="986" stopIfTrue="1">
      <formula>AR83=CléMaladie</formula>
    </cfRule>
    <cfRule type="expression" dxfId="14411" priority="987" stopIfTrue="1">
      <formula>AR83=CléPersonnelle</formula>
    </cfRule>
    <cfRule type="expression" dxfId="14410" priority="988" stopIfTrue="1">
      <formula>AR83=CléCongés</formula>
    </cfRule>
  </conditionalFormatting>
  <conditionalFormatting sqref="AQ87">
    <cfRule type="expression" priority="927" stopIfTrue="1">
      <formula>AQ87=""</formula>
    </cfRule>
    <cfRule type="expression" dxfId="14409" priority="928" stopIfTrue="1">
      <formula>AQ87=CléPersonnalisée2</formula>
    </cfRule>
    <cfRule type="expression" dxfId="14408" priority="929" stopIfTrue="1">
      <formula>AQ87=CléPersonnalisée1</formula>
    </cfRule>
    <cfRule type="expression" dxfId="14407" priority="930" stopIfTrue="1">
      <formula>AQ87=CléMaladie</formula>
    </cfRule>
    <cfRule type="expression" dxfId="14406" priority="931" stopIfTrue="1">
      <formula>AQ87=CléPersonnelle</formula>
    </cfRule>
    <cfRule type="expression" dxfId="14405" priority="932" stopIfTrue="1">
      <formula>AQ87=CléCongés</formula>
    </cfRule>
  </conditionalFormatting>
  <conditionalFormatting sqref="C87:AG87 C85:R86">
    <cfRule type="expression" priority="970" stopIfTrue="1">
      <formula>C85=""</formula>
    </cfRule>
    <cfRule type="expression" dxfId="14404" priority="971" stopIfTrue="1">
      <formula>C85=CléPersonnalisée2</formula>
    </cfRule>
    <cfRule type="expression" dxfId="14403" priority="972" stopIfTrue="1">
      <formula>C85=CléPersonnalisée1</formula>
    </cfRule>
    <cfRule type="expression" dxfId="14402" priority="973" stopIfTrue="1">
      <formula>C85=CléMaladie</formula>
    </cfRule>
    <cfRule type="expression" dxfId="14401" priority="974" stopIfTrue="1">
      <formula>C85=CléPersonnelle</formula>
    </cfRule>
    <cfRule type="expression" dxfId="14400" priority="975" stopIfTrue="1">
      <formula>C85=CléCongés</formula>
    </cfRule>
  </conditionalFormatting>
  <conditionalFormatting sqref="AH87">
    <cfRule type="dataBar" priority="976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{A5C4B7D7-BD16-4854-B56A-FC432F97F111}</x14:id>
        </ext>
      </extLst>
    </cfRule>
  </conditionalFormatting>
  <conditionalFormatting sqref="AI87:AL87">
    <cfRule type="expression" priority="964" stopIfTrue="1">
      <formula>AI87=""</formula>
    </cfRule>
    <cfRule type="expression" dxfId="14399" priority="965" stopIfTrue="1">
      <formula>AI87=CléPersonnalisée2</formula>
    </cfRule>
    <cfRule type="expression" dxfId="14398" priority="966" stopIfTrue="1">
      <formula>AI87=CléPersonnalisée1</formula>
    </cfRule>
    <cfRule type="expression" dxfId="14397" priority="967" stopIfTrue="1">
      <formula>AI87=CléMaladie</formula>
    </cfRule>
    <cfRule type="expression" dxfId="14396" priority="968" stopIfTrue="1">
      <formula>AI87=CléPersonnelle</formula>
    </cfRule>
    <cfRule type="expression" dxfId="14395" priority="969" stopIfTrue="1">
      <formula>AI87=CléCongés</formula>
    </cfRule>
  </conditionalFormatting>
  <conditionalFormatting sqref="AM85:AP86">
    <cfRule type="expression" priority="958" stopIfTrue="1">
      <formula>AM85=""</formula>
    </cfRule>
    <cfRule type="expression" dxfId="14394" priority="959" stopIfTrue="1">
      <formula>AM85=CléPersonnalisée2</formula>
    </cfRule>
    <cfRule type="expression" dxfId="14393" priority="960" stopIfTrue="1">
      <formula>AM85=CléPersonnalisée1</formula>
    </cfRule>
    <cfRule type="expression" dxfId="14392" priority="961" stopIfTrue="1">
      <formula>AM85=CléMaladie</formula>
    </cfRule>
    <cfRule type="expression" dxfId="14391" priority="962" stopIfTrue="1">
      <formula>AM85=CléPersonnelle</formula>
    </cfRule>
    <cfRule type="expression" dxfId="14390" priority="963" stopIfTrue="1">
      <formula>AM85=CléCongés</formula>
    </cfRule>
  </conditionalFormatting>
  <conditionalFormatting sqref="AQ85:AR86">
    <cfRule type="expression" priority="952" stopIfTrue="1">
      <formula>AQ85=""</formula>
    </cfRule>
    <cfRule type="expression" dxfId="14389" priority="953" stopIfTrue="1">
      <formula>AQ85=CléPersonnalisée2</formula>
    </cfRule>
    <cfRule type="expression" dxfId="14388" priority="954" stopIfTrue="1">
      <formula>AQ85=CléPersonnalisée1</formula>
    </cfRule>
    <cfRule type="expression" dxfId="14387" priority="955" stopIfTrue="1">
      <formula>AQ85=CléMaladie</formula>
    </cfRule>
    <cfRule type="expression" dxfId="14386" priority="956" stopIfTrue="1">
      <formula>AQ85=CléPersonnelle</formula>
    </cfRule>
    <cfRule type="expression" dxfId="14385" priority="957" stopIfTrue="1">
      <formula>AQ85=CléCongés</formula>
    </cfRule>
  </conditionalFormatting>
  <conditionalFormatting sqref="AM87 AP87">
    <cfRule type="expression" priority="946" stopIfTrue="1">
      <formula>AM87=""</formula>
    </cfRule>
    <cfRule type="expression" dxfId="14384" priority="947" stopIfTrue="1">
      <formula>AM87=CléPersonnalisée2</formula>
    </cfRule>
    <cfRule type="expression" dxfId="14383" priority="948" stopIfTrue="1">
      <formula>AM87=CléPersonnalisée1</formula>
    </cfRule>
    <cfRule type="expression" dxfId="14382" priority="949" stopIfTrue="1">
      <formula>AM87=CléMaladie</formula>
    </cfRule>
    <cfRule type="expression" dxfId="14381" priority="950" stopIfTrue="1">
      <formula>AM87=CléPersonnelle</formula>
    </cfRule>
    <cfRule type="expression" dxfId="14380" priority="951" stopIfTrue="1">
      <formula>AM87=CléCongés</formula>
    </cfRule>
  </conditionalFormatting>
  <conditionalFormatting sqref="AH85:AH86">
    <cfRule type="dataBar" priority="945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{28134BC8-659D-4EA6-AD01-A5BE719824BE}</x14:id>
        </ext>
      </extLst>
    </cfRule>
  </conditionalFormatting>
  <conditionalFormatting sqref="AN87">
    <cfRule type="expression" priority="939" stopIfTrue="1">
      <formula>AN87=""</formula>
    </cfRule>
    <cfRule type="expression" dxfId="14379" priority="940" stopIfTrue="1">
      <formula>AN87=CléPersonnalisée2</formula>
    </cfRule>
    <cfRule type="expression" dxfId="14378" priority="941" stopIfTrue="1">
      <formula>AN87=CléPersonnalisée1</formula>
    </cfRule>
    <cfRule type="expression" dxfId="14377" priority="942" stopIfTrue="1">
      <formula>AN87=CléMaladie</formula>
    </cfRule>
    <cfRule type="expression" dxfId="14376" priority="943" stopIfTrue="1">
      <formula>AN87=CléPersonnelle</formula>
    </cfRule>
    <cfRule type="expression" dxfId="14375" priority="944" stopIfTrue="1">
      <formula>AN87=CléCongés</formula>
    </cfRule>
  </conditionalFormatting>
  <conditionalFormatting sqref="AR87">
    <cfRule type="expression" priority="933" stopIfTrue="1">
      <formula>AR87=""</formula>
    </cfRule>
    <cfRule type="expression" dxfId="14374" priority="934" stopIfTrue="1">
      <formula>AR87=CléPersonnalisée2</formula>
    </cfRule>
    <cfRule type="expression" dxfId="14373" priority="935" stopIfTrue="1">
      <formula>AR87=CléPersonnalisée1</formula>
    </cfRule>
    <cfRule type="expression" dxfId="14372" priority="936" stopIfTrue="1">
      <formula>AR87=CléMaladie</formula>
    </cfRule>
    <cfRule type="expression" dxfId="14371" priority="937" stopIfTrue="1">
      <formula>AR87=CléPersonnelle</formula>
    </cfRule>
    <cfRule type="expression" dxfId="14370" priority="938" stopIfTrue="1">
      <formula>AR87=CléCongés</formula>
    </cfRule>
  </conditionalFormatting>
  <conditionalFormatting sqref="C89:AG91">
    <cfRule type="expression" priority="920" stopIfTrue="1">
      <formula>C89=""</formula>
    </cfRule>
    <cfRule type="expression" dxfId="14369" priority="921" stopIfTrue="1">
      <formula>C89=CléPersonnalisée2</formula>
    </cfRule>
    <cfRule type="expression" dxfId="14368" priority="922" stopIfTrue="1">
      <formula>C89=CléPersonnalisée1</formula>
    </cfRule>
    <cfRule type="expression" dxfId="14367" priority="923" stopIfTrue="1">
      <formula>C89=CléMaladie</formula>
    </cfRule>
    <cfRule type="expression" dxfId="14366" priority="924" stopIfTrue="1">
      <formula>C89=CléPersonnelle</formula>
    </cfRule>
    <cfRule type="expression" dxfId="14365" priority="925" stopIfTrue="1">
      <formula>C89=CléCongés</formula>
    </cfRule>
  </conditionalFormatting>
  <conditionalFormatting sqref="AH91">
    <cfRule type="dataBar" priority="926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{34071EFD-5424-4001-AA9E-BAC89662033F}</x14:id>
        </ext>
      </extLst>
    </cfRule>
  </conditionalFormatting>
  <conditionalFormatting sqref="AI91:AL91">
    <cfRule type="expression" priority="914" stopIfTrue="1">
      <formula>AI91=""</formula>
    </cfRule>
    <cfRule type="expression" dxfId="14364" priority="915" stopIfTrue="1">
      <formula>AI91=CléPersonnalisée2</formula>
    </cfRule>
    <cfRule type="expression" dxfId="14363" priority="916" stopIfTrue="1">
      <formula>AI91=CléPersonnalisée1</formula>
    </cfRule>
    <cfRule type="expression" dxfId="14362" priority="917" stopIfTrue="1">
      <formula>AI91=CléMaladie</formula>
    </cfRule>
    <cfRule type="expression" dxfId="14361" priority="918" stopIfTrue="1">
      <formula>AI91=CléPersonnelle</formula>
    </cfRule>
    <cfRule type="expression" dxfId="14360" priority="919" stopIfTrue="1">
      <formula>AI91=CléCongés</formula>
    </cfRule>
  </conditionalFormatting>
  <conditionalFormatting sqref="AM89:AP90">
    <cfRule type="expression" priority="908" stopIfTrue="1">
      <formula>AM89=""</formula>
    </cfRule>
    <cfRule type="expression" dxfId="14359" priority="909" stopIfTrue="1">
      <formula>AM89=CléPersonnalisée2</formula>
    </cfRule>
    <cfRule type="expression" dxfId="14358" priority="910" stopIfTrue="1">
      <formula>AM89=CléPersonnalisée1</formula>
    </cfRule>
    <cfRule type="expression" dxfId="14357" priority="911" stopIfTrue="1">
      <formula>AM89=CléMaladie</formula>
    </cfRule>
    <cfRule type="expression" dxfId="14356" priority="912" stopIfTrue="1">
      <formula>AM89=CléPersonnelle</formula>
    </cfRule>
    <cfRule type="expression" dxfId="14355" priority="913" stopIfTrue="1">
      <formula>AM89=CléCongés</formula>
    </cfRule>
  </conditionalFormatting>
  <conditionalFormatting sqref="AQ89:AR90">
    <cfRule type="expression" priority="902" stopIfTrue="1">
      <formula>AQ89=""</formula>
    </cfRule>
    <cfRule type="expression" dxfId="14354" priority="903" stopIfTrue="1">
      <formula>AQ89=CléPersonnalisée2</formula>
    </cfRule>
    <cfRule type="expression" dxfId="14353" priority="904" stopIfTrue="1">
      <formula>AQ89=CléPersonnalisée1</formula>
    </cfRule>
    <cfRule type="expression" dxfId="14352" priority="905" stopIfTrue="1">
      <formula>AQ89=CléMaladie</formula>
    </cfRule>
    <cfRule type="expression" dxfId="14351" priority="906" stopIfTrue="1">
      <formula>AQ89=CléPersonnelle</formula>
    </cfRule>
    <cfRule type="expression" dxfId="14350" priority="907" stopIfTrue="1">
      <formula>AQ89=CléCongés</formula>
    </cfRule>
  </conditionalFormatting>
  <conditionalFormatting sqref="AM91 AP91">
    <cfRule type="expression" priority="896" stopIfTrue="1">
      <formula>AM91=""</formula>
    </cfRule>
    <cfRule type="expression" dxfId="14349" priority="897" stopIfTrue="1">
      <formula>AM91=CléPersonnalisée2</formula>
    </cfRule>
    <cfRule type="expression" dxfId="14348" priority="898" stopIfTrue="1">
      <formula>AM91=CléPersonnalisée1</formula>
    </cfRule>
    <cfRule type="expression" dxfId="14347" priority="899" stopIfTrue="1">
      <formula>AM91=CléMaladie</formula>
    </cfRule>
    <cfRule type="expression" dxfId="14346" priority="900" stopIfTrue="1">
      <formula>AM91=CléPersonnelle</formula>
    </cfRule>
    <cfRule type="expression" dxfId="14345" priority="901" stopIfTrue="1">
      <formula>AM91=CléCongés</formula>
    </cfRule>
  </conditionalFormatting>
  <conditionalFormatting sqref="AH89:AH90">
    <cfRule type="dataBar" priority="895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{682216FD-A7D4-4FD5-A107-5A696D3AFDE1}</x14:id>
        </ext>
      </extLst>
    </cfRule>
  </conditionalFormatting>
  <conditionalFormatting sqref="AR91">
    <cfRule type="expression" priority="889" stopIfTrue="1">
      <formula>AR91=""</formula>
    </cfRule>
    <cfRule type="expression" dxfId="14344" priority="890" stopIfTrue="1">
      <formula>AR91=CléPersonnalisée2</formula>
    </cfRule>
    <cfRule type="expression" dxfId="14343" priority="891" stopIfTrue="1">
      <formula>AR91=CléPersonnalisée1</formula>
    </cfRule>
    <cfRule type="expression" dxfId="14342" priority="892" stopIfTrue="1">
      <formula>AR91=CléMaladie</formula>
    </cfRule>
    <cfRule type="expression" dxfId="14341" priority="893" stopIfTrue="1">
      <formula>AR91=CléPersonnelle</formula>
    </cfRule>
    <cfRule type="expression" dxfId="14340" priority="894" stopIfTrue="1">
      <formula>AR91=CléCongés</formula>
    </cfRule>
  </conditionalFormatting>
  <conditionalFormatting sqref="AN75">
    <cfRule type="expression" priority="877" stopIfTrue="1">
      <formula>AN75=""</formula>
    </cfRule>
    <cfRule type="expression" dxfId="14339" priority="878" stopIfTrue="1">
      <formula>AN75=CléPersonnalisée2</formula>
    </cfRule>
    <cfRule type="expression" dxfId="14338" priority="879" stopIfTrue="1">
      <formula>AN75=CléPersonnalisée1</formula>
    </cfRule>
    <cfRule type="expression" dxfId="14337" priority="880" stopIfTrue="1">
      <formula>AN75=CléMaladie</formula>
    </cfRule>
    <cfRule type="expression" dxfId="14336" priority="881" stopIfTrue="1">
      <formula>AN75=CléPersonnelle</formula>
    </cfRule>
    <cfRule type="expression" dxfId="14335" priority="882" stopIfTrue="1">
      <formula>AN75=CléCongés</formula>
    </cfRule>
  </conditionalFormatting>
  <conditionalFormatting sqref="AQ124:AR124">
    <cfRule type="expression" priority="871" stopIfTrue="1">
      <formula>AQ124=""</formula>
    </cfRule>
    <cfRule type="expression" dxfId="14334" priority="872" stopIfTrue="1">
      <formula>AQ124=CléPersonnalisée2</formula>
    </cfRule>
    <cfRule type="expression" dxfId="14333" priority="873" stopIfTrue="1">
      <formula>AQ124=CléPersonnalisée1</formula>
    </cfRule>
    <cfRule type="expression" dxfId="14332" priority="874" stopIfTrue="1">
      <formula>AQ124=CléMaladie</formula>
    </cfRule>
    <cfRule type="expression" dxfId="14331" priority="875" stopIfTrue="1">
      <formula>AQ124=CléPersonnelle</formula>
    </cfRule>
    <cfRule type="expression" dxfId="14330" priority="876" stopIfTrue="1">
      <formula>AQ124=CléCongés</formula>
    </cfRule>
  </conditionalFormatting>
  <conditionalFormatting sqref="AQ104:AR104 AQ112:AR112 AQ116:AR116">
    <cfRule type="expression" priority="865" stopIfTrue="1">
      <formula>AQ104=""</formula>
    </cfRule>
    <cfRule type="expression" dxfId="14329" priority="866" stopIfTrue="1">
      <formula>AQ104=CléPersonnalisée2</formula>
    </cfRule>
    <cfRule type="expression" dxfId="14328" priority="867" stopIfTrue="1">
      <formula>AQ104=CléPersonnalisée1</formula>
    </cfRule>
    <cfRule type="expression" dxfId="14327" priority="868" stopIfTrue="1">
      <formula>AQ104=CléMaladie</formula>
    </cfRule>
    <cfRule type="expression" dxfId="14326" priority="869" stopIfTrue="1">
      <formula>AQ104=CléPersonnelle</formula>
    </cfRule>
    <cfRule type="expression" dxfId="14325" priority="870" stopIfTrue="1">
      <formula>AQ104=CléCongés</formula>
    </cfRule>
  </conditionalFormatting>
  <conditionalFormatting sqref="C93:AG95 C101:AG103 C97:AG99">
    <cfRule type="expression" priority="858" stopIfTrue="1">
      <formula>C93=""</formula>
    </cfRule>
    <cfRule type="expression" dxfId="14324" priority="859" stopIfTrue="1">
      <formula>C93=CléPersonnalisée2</formula>
    </cfRule>
    <cfRule type="expression" dxfId="14323" priority="860" stopIfTrue="1">
      <formula>C93=CléPersonnalisée1</formula>
    </cfRule>
    <cfRule type="expression" dxfId="14322" priority="861" stopIfTrue="1">
      <formula>C93=CléMaladie</formula>
    </cfRule>
    <cfRule type="expression" dxfId="14321" priority="862" stopIfTrue="1">
      <formula>C93=CléPersonnelle</formula>
    </cfRule>
    <cfRule type="expression" dxfId="14320" priority="863" stopIfTrue="1">
      <formula>C93=CléCongés</formula>
    </cfRule>
  </conditionalFormatting>
  <conditionalFormatting sqref="AH101:AH103 AH95 AH97:AH99">
    <cfRule type="dataBar" priority="864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{5C8F63A6-A70A-4800-9943-67CA1EC2E136}</x14:id>
        </ext>
      </extLst>
    </cfRule>
  </conditionalFormatting>
  <conditionalFormatting sqref="AI95:AL95 AI101:AL103 AI97:AL99">
    <cfRule type="expression" priority="852" stopIfTrue="1">
      <formula>AI95=""</formula>
    </cfRule>
    <cfRule type="expression" dxfId="14319" priority="853" stopIfTrue="1">
      <formula>AI95=CléPersonnalisée2</formula>
    </cfRule>
    <cfRule type="expression" dxfId="14318" priority="854" stopIfTrue="1">
      <formula>AI95=CléPersonnalisée1</formula>
    </cfRule>
    <cfRule type="expression" dxfId="14317" priority="855" stopIfTrue="1">
      <formula>AI95=CléMaladie</formula>
    </cfRule>
    <cfRule type="expression" dxfId="14316" priority="856" stopIfTrue="1">
      <formula>AI95=CléPersonnelle</formula>
    </cfRule>
    <cfRule type="expression" dxfId="14315" priority="857" stopIfTrue="1">
      <formula>AI95=CléCongés</formula>
    </cfRule>
  </conditionalFormatting>
  <conditionalFormatting sqref="AM93:AP94">
    <cfRule type="expression" priority="846" stopIfTrue="1">
      <formula>AM93=""</formula>
    </cfRule>
    <cfRule type="expression" dxfId="14314" priority="847" stopIfTrue="1">
      <formula>AM93=CléPersonnalisée2</formula>
    </cfRule>
    <cfRule type="expression" dxfId="14313" priority="848" stopIfTrue="1">
      <formula>AM93=CléPersonnalisée1</formula>
    </cfRule>
    <cfRule type="expression" dxfId="14312" priority="849" stopIfTrue="1">
      <formula>AM93=CléMaladie</formula>
    </cfRule>
    <cfRule type="expression" dxfId="14311" priority="850" stopIfTrue="1">
      <formula>AM93=CléPersonnelle</formula>
    </cfRule>
    <cfRule type="expression" dxfId="14310" priority="851" stopIfTrue="1">
      <formula>AM93=CléCongés</formula>
    </cfRule>
  </conditionalFormatting>
  <conditionalFormatting sqref="AQ93:AR94">
    <cfRule type="expression" priority="840" stopIfTrue="1">
      <formula>AQ93=""</formula>
    </cfRule>
    <cfRule type="expression" dxfId="14309" priority="841" stopIfTrue="1">
      <formula>AQ93=CléPersonnalisée2</formula>
    </cfRule>
    <cfRule type="expression" dxfId="14308" priority="842" stopIfTrue="1">
      <formula>AQ93=CléPersonnalisée1</formula>
    </cfRule>
    <cfRule type="expression" dxfId="14307" priority="843" stopIfTrue="1">
      <formula>AQ93=CléMaladie</formula>
    </cfRule>
    <cfRule type="expression" dxfId="14306" priority="844" stopIfTrue="1">
      <formula>AQ93=CléPersonnelle</formula>
    </cfRule>
    <cfRule type="expression" dxfId="14305" priority="845" stopIfTrue="1">
      <formula>AQ93=CléCongés</formula>
    </cfRule>
  </conditionalFormatting>
  <conditionalFormatting sqref="AP95 AP103 AM103 AP99 AM99">
    <cfRule type="expression" priority="834" stopIfTrue="1">
      <formula>AM95=""</formula>
    </cfRule>
    <cfRule type="expression" dxfId="14304" priority="835" stopIfTrue="1">
      <formula>AM95=CléPersonnalisée2</formula>
    </cfRule>
    <cfRule type="expression" dxfId="14303" priority="836" stopIfTrue="1">
      <formula>AM95=CléPersonnalisée1</formula>
    </cfRule>
    <cfRule type="expression" dxfId="14302" priority="837" stopIfTrue="1">
      <formula>AM95=CléMaladie</formula>
    </cfRule>
    <cfRule type="expression" dxfId="14301" priority="838" stopIfTrue="1">
      <formula>AM95=CléPersonnelle</formula>
    </cfRule>
    <cfRule type="expression" dxfId="14300" priority="839" stopIfTrue="1">
      <formula>AM95=CléCongés</formula>
    </cfRule>
  </conditionalFormatting>
  <conditionalFormatting sqref="AH93:AH94">
    <cfRule type="dataBar" priority="833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{387F1A66-DC66-4F4B-A17D-B524A7F50B55}</x14:id>
        </ext>
      </extLst>
    </cfRule>
  </conditionalFormatting>
  <conditionalFormatting sqref="AN95 AN103 AN99">
    <cfRule type="expression" priority="827" stopIfTrue="1">
      <formula>AN95=""</formula>
    </cfRule>
    <cfRule type="expression" dxfId="14299" priority="828" stopIfTrue="1">
      <formula>AN95=CléPersonnalisée2</formula>
    </cfRule>
    <cfRule type="expression" dxfId="14298" priority="829" stopIfTrue="1">
      <formula>AN95=CléPersonnalisée1</formula>
    </cfRule>
    <cfRule type="expression" dxfId="14297" priority="830" stopIfTrue="1">
      <formula>AN95=CléMaladie</formula>
    </cfRule>
    <cfRule type="expression" dxfId="14296" priority="831" stopIfTrue="1">
      <formula>AN95=CléPersonnelle</formula>
    </cfRule>
    <cfRule type="expression" dxfId="14295" priority="832" stopIfTrue="1">
      <formula>AN95=CléCongés</formula>
    </cfRule>
  </conditionalFormatting>
  <conditionalFormatting sqref="AR95 AR103 AR99">
    <cfRule type="expression" priority="821" stopIfTrue="1">
      <formula>AR95=""</formula>
    </cfRule>
    <cfRule type="expression" dxfId="14294" priority="822" stopIfTrue="1">
      <formula>AR95=CléPersonnalisée2</formula>
    </cfRule>
    <cfRule type="expression" dxfId="14293" priority="823" stopIfTrue="1">
      <formula>AR95=CléPersonnalisée1</formula>
    </cfRule>
    <cfRule type="expression" dxfId="14292" priority="824" stopIfTrue="1">
      <formula>AR95=CléMaladie</formula>
    </cfRule>
    <cfRule type="expression" dxfId="14291" priority="825" stopIfTrue="1">
      <formula>AR95=CléPersonnelle</formula>
    </cfRule>
    <cfRule type="expression" dxfId="14290" priority="826" stopIfTrue="1">
      <formula>AR95=CléCongés</formula>
    </cfRule>
  </conditionalFormatting>
  <conditionalFormatting sqref="C109:AG111">
    <cfRule type="expression" priority="814" stopIfTrue="1">
      <formula>C109=""</formula>
    </cfRule>
    <cfRule type="expression" dxfId="14289" priority="815" stopIfTrue="1">
      <formula>C109=CléPersonnalisée2</formula>
    </cfRule>
    <cfRule type="expression" dxfId="14288" priority="816" stopIfTrue="1">
      <formula>C109=CléPersonnalisée1</formula>
    </cfRule>
    <cfRule type="expression" dxfId="14287" priority="817" stopIfTrue="1">
      <formula>C109=CléMaladie</formula>
    </cfRule>
    <cfRule type="expression" dxfId="14286" priority="818" stopIfTrue="1">
      <formula>C109=CléPersonnelle</formula>
    </cfRule>
    <cfRule type="expression" dxfId="14285" priority="819" stopIfTrue="1">
      <formula>C109=CléCongés</formula>
    </cfRule>
  </conditionalFormatting>
  <conditionalFormatting sqref="AH111">
    <cfRule type="dataBar" priority="820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{8EE222F3-D415-472B-A102-EF1A69CD05CB}</x14:id>
        </ext>
      </extLst>
    </cfRule>
  </conditionalFormatting>
  <conditionalFormatting sqref="AI111:AL111">
    <cfRule type="expression" priority="808" stopIfTrue="1">
      <formula>AI111=""</formula>
    </cfRule>
    <cfRule type="expression" dxfId="14284" priority="809" stopIfTrue="1">
      <formula>AI111=CléPersonnalisée2</formula>
    </cfRule>
    <cfRule type="expression" dxfId="14283" priority="810" stopIfTrue="1">
      <formula>AI111=CléPersonnalisée1</formula>
    </cfRule>
    <cfRule type="expression" dxfId="14282" priority="811" stopIfTrue="1">
      <formula>AI111=CléMaladie</formula>
    </cfRule>
    <cfRule type="expression" dxfId="14281" priority="812" stopIfTrue="1">
      <formula>AI111=CléPersonnelle</formula>
    </cfRule>
    <cfRule type="expression" dxfId="14280" priority="813" stopIfTrue="1">
      <formula>AI111=CléCongés</formula>
    </cfRule>
  </conditionalFormatting>
  <conditionalFormatting sqref="AM109:AP110">
    <cfRule type="expression" priority="802" stopIfTrue="1">
      <formula>AM109=""</formula>
    </cfRule>
    <cfRule type="expression" dxfId="14279" priority="803" stopIfTrue="1">
      <formula>AM109=CléPersonnalisée2</formula>
    </cfRule>
    <cfRule type="expression" dxfId="14278" priority="804" stopIfTrue="1">
      <formula>AM109=CléPersonnalisée1</formula>
    </cfRule>
    <cfRule type="expression" dxfId="14277" priority="805" stopIfTrue="1">
      <formula>AM109=CléMaladie</formula>
    </cfRule>
    <cfRule type="expression" dxfId="14276" priority="806" stopIfTrue="1">
      <formula>AM109=CléPersonnelle</formula>
    </cfRule>
    <cfRule type="expression" dxfId="14275" priority="807" stopIfTrue="1">
      <formula>AM109=CléCongés</formula>
    </cfRule>
  </conditionalFormatting>
  <conditionalFormatting sqref="AQ109:AR110">
    <cfRule type="expression" priority="796" stopIfTrue="1">
      <formula>AQ109=""</formula>
    </cfRule>
    <cfRule type="expression" dxfId="14274" priority="797" stopIfTrue="1">
      <formula>AQ109=CléPersonnalisée2</formula>
    </cfRule>
    <cfRule type="expression" dxfId="14273" priority="798" stopIfTrue="1">
      <formula>AQ109=CléPersonnalisée1</formula>
    </cfRule>
    <cfRule type="expression" dxfId="14272" priority="799" stopIfTrue="1">
      <formula>AQ109=CléMaladie</formula>
    </cfRule>
    <cfRule type="expression" dxfId="14271" priority="800" stopIfTrue="1">
      <formula>AQ109=CléPersonnelle</formula>
    </cfRule>
    <cfRule type="expression" dxfId="14270" priority="801" stopIfTrue="1">
      <formula>AQ109=CléCongés</formula>
    </cfRule>
  </conditionalFormatting>
  <conditionalFormatting sqref="AM111 AP111">
    <cfRule type="expression" priority="790" stopIfTrue="1">
      <formula>AM111=""</formula>
    </cfRule>
    <cfRule type="expression" dxfId="14269" priority="791" stopIfTrue="1">
      <formula>AM111=CléPersonnalisée2</formula>
    </cfRule>
    <cfRule type="expression" dxfId="14268" priority="792" stopIfTrue="1">
      <formula>AM111=CléPersonnalisée1</formula>
    </cfRule>
    <cfRule type="expression" dxfId="14267" priority="793" stopIfTrue="1">
      <formula>AM111=CléMaladie</formula>
    </cfRule>
    <cfRule type="expression" dxfId="14266" priority="794" stopIfTrue="1">
      <formula>AM111=CléPersonnelle</formula>
    </cfRule>
    <cfRule type="expression" dxfId="14265" priority="795" stopIfTrue="1">
      <formula>AM111=CléCongés</formula>
    </cfRule>
  </conditionalFormatting>
  <conditionalFormatting sqref="AH109:AH110">
    <cfRule type="dataBar" priority="789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{2F90FB77-E276-4965-950F-FDB023543BB3}</x14:id>
        </ext>
      </extLst>
    </cfRule>
  </conditionalFormatting>
  <conditionalFormatting sqref="AN111">
    <cfRule type="expression" priority="783" stopIfTrue="1">
      <formula>AN111=""</formula>
    </cfRule>
    <cfRule type="expression" dxfId="14264" priority="784" stopIfTrue="1">
      <formula>AN111=CléPersonnalisée2</formula>
    </cfRule>
    <cfRule type="expression" dxfId="14263" priority="785" stopIfTrue="1">
      <formula>AN111=CléPersonnalisée1</formula>
    </cfRule>
    <cfRule type="expression" dxfId="14262" priority="786" stopIfTrue="1">
      <formula>AN111=CléMaladie</formula>
    </cfRule>
    <cfRule type="expression" dxfId="14261" priority="787" stopIfTrue="1">
      <formula>AN111=CléPersonnelle</formula>
    </cfRule>
    <cfRule type="expression" dxfId="14260" priority="788" stopIfTrue="1">
      <formula>AN111=CléCongés</formula>
    </cfRule>
  </conditionalFormatting>
  <conditionalFormatting sqref="AR111">
    <cfRule type="expression" priority="777" stopIfTrue="1">
      <formula>AR111=""</formula>
    </cfRule>
    <cfRule type="expression" dxfId="14259" priority="778" stopIfTrue="1">
      <formula>AR111=CléPersonnalisée2</formula>
    </cfRule>
    <cfRule type="expression" dxfId="14258" priority="779" stopIfTrue="1">
      <formula>AR111=CléPersonnalisée1</formula>
    </cfRule>
    <cfRule type="expression" dxfId="14257" priority="780" stopIfTrue="1">
      <formula>AR111=CléMaladie</formula>
    </cfRule>
    <cfRule type="expression" dxfId="14256" priority="781" stopIfTrue="1">
      <formula>AR111=CléPersonnelle</formula>
    </cfRule>
    <cfRule type="expression" dxfId="14255" priority="782" stopIfTrue="1">
      <formula>AR111=CléCongés</formula>
    </cfRule>
  </conditionalFormatting>
  <conditionalFormatting sqref="C121:AG123">
    <cfRule type="expression" priority="770" stopIfTrue="1">
      <formula>C121=""</formula>
    </cfRule>
    <cfRule type="expression" dxfId="14254" priority="771" stopIfTrue="1">
      <formula>C121=CléPersonnalisée2</formula>
    </cfRule>
    <cfRule type="expression" dxfId="14253" priority="772" stopIfTrue="1">
      <formula>C121=CléPersonnalisée1</formula>
    </cfRule>
    <cfRule type="expression" dxfId="14252" priority="773" stopIfTrue="1">
      <formula>C121=CléMaladie</formula>
    </cfRule>
    <cfRule type="expression" dxfId="14251" priority="774" stopIfTrue="1">
      <formula>C121=CléPersonnelle</formula>
    </cfRule>
    <cfRule type="expression" dxfId="14250" priority="775" stopIfTrue="1">
      <formula>C121=CléCongés</formula>
    </cfRule>
  </conditionalFormatting>
  <conditionalFormatting sqref="AH123">
    <cfRule type="dataBar" priority="776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{62D3805D-81C4-4403-B786-661E72B1EF2D}</x14:id>
        </ext>
      </extLst>
    </cfRule>
  </conditionalFormatting>
  <conditionalFormatting sqref="AI123:AL123">
    <cfRule type="expression" priority="764" stopIfTrue="1">
      <formula>AI123=""</formula>
    </cfRule>
    <cfRule type="expression" dxfId="14249" priority="765" stopIfTrue="1">
      <formula>AI123=CléPersonnalisée2</formula>
    </cfRule>
    <cfRule type="expression" dxfId="14248" priority="766" stopIfTrue="1">
      <formula>AI123=CléPersonnalisée1</formula>
    </cfRule>
    <cfRule type="expression" dxfId="14247" priority="767" stopIfTrue="1">
      <formula>AI123=CléMaladie</formula>
    </cfRule>
    <cfRule type="expression" dxfId="14246" priority="768" stopIfTrue="1">
      <formula>AI123=CléPersonnelle</formula>
    </cfRule>
    <cfRule type="expression" dxfId="14245" priority="769" stopIfTrue="1">
      <formula>AI123=CléCongés</formula>
    </cfRule>
  </conditionalFormatting>
  <conditionalFormatting sqref="AM121:AP122">
    <cfRule type="expression" priority="758" stopIfTrue="1">
      <formula>AM121=""</formula>
    </cfRule>
    <cfRule type="expression" dxfId="14244" priority="759" stopIfTrue="1">
      <formula>AM121=CléPersonnalisée2</formula>
    </cfRule>
    <cfRule type="expression" dxfId="14243" priority="760" stopIfTrue="1">
      <formula>AM121=CléPersonnalisée1</formula>
    </cfRule>
    <cfRule type="expression" dxfId="14242" priority="761" stopIfTrue="1">
      <formula>AM121=CléMaladie</formula>
    </cfRule>
    <cfRule type="expression" dxfId="14241" priority="762" stopIfTrue="1">
      <formula>AM121=CléPersonnelle</formula>
    </cfRule>
    <cfRule type="expression" dxfId="14240" priority="763" stopIfTrue="1">
      <formula>AM121=CléCongés</formula>
    </cfRule>
  </conditionalFormatting>
  <conditionalFormatting sqref="AQ121:AR122">
    <cfRule type="expression" priority="752" stopIfTrue="1">
      <formula>AQ121=""</formula>
    </cfRule>
    <cfRule type="expression" dxfId="14239" priority="753" stopIfTrue="1">
      <formula>AQ121=CléPersonnalisée2</formula>
    </cfRule>
    <cfRule type="expression" dxfId="14238" priority="754" stopIfTrue="1">
      <formula>AQ121=CléPersonnalisée1</formula>
    </cfRule>
    <cfRule type="expression" dxfId="14237" priority="755" stopIfTrue="1">
      <formula>AQ121=CléMaladie</formula>
    </cfRule>
    <cfRule type="expression" dxfId="14236" priority="756" stopIfTrue="1">
      <formula>AQ121=CléPersonnelle</formula>
    </cfRule>
    <cfRule type="expression" dxfId="14235" priority="757" stopIfTrue="1">
      <formula>AQ121=CléCongés</formula>
    </cfRule>
  </conditionalFormatting>
  <conditionalFormatting sqref="AM123 AP123">
    <cfRule type="expression" priority="746" stopIfTrue="1">
      <formula>AM123=""</formula>
    </cfRule>
    <cfRule type="expression" dxfId="14234" priority="747" stopIfTrue="1">
      <formula>AM123=CléPersonnalisée2</formula>
    </cfRule>
    <cfRule type="expression" dxfId="14233" priority="748" stopIfTrue="1">
      <formula>AM123=CléPersonnalisée1</formula>
    </cfRule>
    <cfRule type="expression" dxfId="14232" priority="749" stopIfTrue="1">
      <formula>AM123=CléMaladie</formula>
    </cfRule>
    <cfRule type="expression" dxfId="14231" priority="750" stopIfTrue="1">
      <formula>AM123=CléPersonnelle</formula>
    </cfRule>
    <cfRule type="expression" dxfId="14230" priority="751" stopIfTrue="1">
      <formula>AM123=CléCongés</formula>
    </cfRule>
  </conditionalFormatting>
  <conditionalFormatting sqref="AH121:AH122">
    <cfRule type="dataBar" priority="745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{78509D13-5159-41B1-A2AD-D614AC067B22}</x14:id>
        </ext>
      </extLst>
    </cfRule>
  </conditionalFormatting>
  <conditionalFormatting sqref="AN123">
    <cfRule type="expression" priority="739" stopIfTrue="1">
      <formula>AN123=""</formula>
    </cfRule>
    <cfRule type="expression" dxfId="14229" priority="740" stopIfTrue="1">
      <formula>AN123=CléPersonnalisée2</formula>
    </cfRule>
    <cfRule type="expression" dxfId="14228" priority="741" stopIfTrue="1">
      <formula>AN123=CléPersonnalisée1</formula>
    </cfRule>
    <cfRule type="expression" dxfId="14227" priority="742" stopIfTrue="1">
      <formula>AN123=CléMaladie</formula>
    </cfRule>
    <cfRule type="expression" dxfId="14226" priority="743" stopIfTrue="1">
      <formula>AN123=CléPersonnelle</formula>
    </cfRule>
    <cfRule type="expression" dxfId="14225" priority="744" stopIfTrue="1">
      <formula>AN123=CléCongés</formula>
    </cfRule>
  </conditionalFormatting>
  <conditionalFormatting sqref="AR123">
    <cfRule type="expression" priority="733" stopIfTrue="1">
      <formula>AR123=""</formula>
    </cfRule>
    <cfRule type="expression" dxfId="14224" priority="734" stopIfTrue="1">
      <formula>AR123=CléPersonnalisée2</formula>
    </cfRule>
    <cfRule type="expression" dxfId="14223" priority="735" stopIfTrue="1">
      <formula>AR123=CléPersonnalisée1</formula>
    </cfRule>
    <cfRule type="expression" dxfId="14222" priority="736" stopIfTrue="1">
      <formula>AR123=CléMaladie</formula>
    </cfRule>
    <cfRule type="expression" dxfId="14221" priority="737" stopIfTrue="1">
      <formula>AR123=CléPersonnelle</formula>
    </cfRule>
    <cfRule type="expression" dxfId="14220" priority="738" stopIfTrue="1">
      <formula>AR123=CléCongés</formula>
    </cfRule>
  </conditionalFormatting>
  <conditionalFormatting sqref="AQ95 AQ103 AQ99">
    <cfRule type="expression" priority="727" stopIfTrue="1">
      <formula>AQ95=""</formula>
    </cfRule>
    <cfRule type="expression" dxfId="14219" priority="728" stopIfTrue="1">
      <formula>AQ95=CléPersonnalisée2</formula>
    </cfRule>
    <cfRule type="expression" dxfId="14218" priority="729" stopIfTrue="1">
      <formula>AQ95=CléPersonnalisée1</formula>
    </cfRule>
    <cfRule type="expression" dxfId="14217" priority="730" stopIfTrue="1">
      <formula>AQ95=CléMaladie</formula>
    </cfRule>
    <cfRule type="expression" dxfId="14216" priority="731" stopIfTrue="1">
      <formula>AQ95=CléPersonnelle</formula>
    </cfRule>
    <cfRule type="expression" dxfId="14215" priority="732" stopIfTrue="1">
      <formula>AQ95=CléCongés</formula>
    </cfRule>
  </conditionalFormatting>
  <conditionalFormatting sqref="AQ111">
    <cfRule type="expression" priority="721" stopIfTrue="1">
      <formula>AQ111=""</formula>
    </cfRule>
    <cfRule type="expression" dxfId="14214" priority="722" stopIfTrue="1">
      <formula>AQ111=CléPersonnalisée2</formula>
    </cfRule>
    <cfRule type="expression" dxfId="14213" priority="723" stopIfTrue="1">
      <formula>AQ111=CléPersonnalisée1</formula>
    </cfRule>
    <cfRule type="expression" dxfId="14212" priority="724" stopIfTrue="1">
      <formula>AQ111=CléMaladie</formula>
    </cfRule>
    <cfRule type="expression" dxfId="14211" priority="725" stopIfTrue="1">
      <formula>AQ111=CléPersonnelle</formula>
    </cfRule>
    <cfRule type="expression" dxfId="14210" priority="726" stopIfTrue="1">
      <formula>AQ111=CléCongés</formula>
    </cfRule>
  </conditionalFormatting>
  <conditionalFormatting sqref="AQ123">
    <cfRule type="expression" priority="715" stopIfTrue="1">
      <formula>AQ123=""</formula>
    </cfRule>
    <cfRule type="expression" dxfId="14209" priority="716" stopIfTrue="1">
      <formula>AQ123=CléPersonnalisée2</formula>
    </cfRule>
    <cfRule type="expression" dxfId="14208" priority="717" stopIfTrue="1">
      <formula>AQ123=CléPersonnalisée1</formula>
    </cfRule>
    <cfRule type="expression" dxfId="14207" priority="718" stopIfTrue="1">
      <formula>AQ123=CléMaladie</formula>
    </cfRule>
    <cfRule type="expression" dxfId="14206" priority="719" stopIfTrue="1">
      <formula>AQ123=CléPersonnelle</formula>
    </cfRule>
    <cfRule type="expression" dxfId="14205" priority="720" stopIfTrue="1">
      <formula>AQ123=CléCongés</formula>
    </cfRule>
  </conditionalFormatting>
  <conditionalFormatting sqref="AQ75">
    <cfRule type="expression" priority="709" stopIfTrue="1">
      <formula>AQ75=""</formula>
    </cfRule>
    <cfRule type="expression" dxfId="14204" priority="710" stopIfTrue="1">
      <formula>AQ75=CléPersonnalisée2</formula>
    </cfRule>
    <cfRule type="expression" dxfId="14203" priority="711" stopIfTrue="1">
      <formula>AQ75=CléPersonnalisée1</formula>
    </cfRule>
    <cfRule type="expression" dxfId="14202" priority="712" stopIfTrue="1">
      <formula>AQ75=CléMaladie</formula>
    </cfRule>
    <cfRule type="expression" dxfId="14201" priority="713" stopIfTrue="1">
      <formula>AQ75=CléPersonnelle</formula>
    </cfRule>
    <cfRule type="expression" dxfId="14200" priority="714" stopIfTrue="1">
      <formula>AQ75=CléCongés</formula>
    </cfRule>
  </conditionalFormatting>
  <conditionalFormatting sqref="AN91">
    <cfRule type="expression" priority="703" stopIfTrue="1">
      <formula>AN91=""</formula>
    </cfRule>
    <cfRule type="expression" dxfId="14199" priority="704" stopIfTrue="1">
      <formula>AN91=CléPersonnalisée2</formula>
    </cfRule>
    <cfRule type="expression" dxfId="14198" priority="705" stopIfTrue="1">
      <formula>AN91=CléPersonnalisée1</formula>
    </cfRule>
    <cfRule type="expression" dxfId="14197" priority="706" stopIfTrue="1">
      <formula>AN91=CléMaladie</formula>
    </cfRule>
    <cfRule type="expression" dxfId="14196" priority="707" stopIfTrue="1">
      <formula>AN91=CléPersonnelle</formula>
    </cfRule>
    <cfRule type="expression" dxfId="14195" priority="708" stopIfTrue="1">
      <formula>AN91=CléCongés</formula>
    </cfRule>
  </conditionalFormatting>
  <conditionalFormatting sqref="C113:AG115">
    <cfRule type="expression" priority="696" stopIfTrue="1">
      <formula>C113=""</formula>
    </cfRule>
    <cfRule type="expression" dxfId="14194" priority="697" stopIfTrue="1">
      <formula>C113=CléPersonnalisée2</formula>
    </cfRule>
    <cfRule type="expression" dxfId="14193" priority="698" stopIfTrue="1">
      <formula>C113=CléPersonnalisée1</formula>
    </cfRule>
    <cfRule type="expression" dxfId="14192" priority="699" stopIfTrue="1">
      <formula>C113=CléMaladie</formula>
    </cfRule>
    <cfRule type="expression" dxfId="14191" priority="700" stopIfTrue="1">
      <formula>C113=CléPersonnelle</formula>
    </cfRule>
    <cfRule type="expression" dxfId="14190" priority="701" stopIfTrue="1">
      <formula>C113=CléCongés</formula>
    </cfRule>
  </conditionalFormatting>
  <conditionalFormatting sqref="AH115">
    <cfRule type="dataBar" priority="702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{F97CE21C-A813-47F9-9977-62BD4632D879}</x14:id>
        </ext>
      </extLst>
    </cfRule>
  </conditionalFormatting>
  <conditionalFormatting sqref="AI115:AL115">
    <cfRule type="expression" priority="690" stopIfTrue="1">
      <formula>AI115=""</formula>
    </cfRule>
    <cfRule type="expression" dxfId="14189" priority="691" stopIfTrue="1">
      <formula>AI115=CléPersonnalisée2</formula>
    </cfRule>
    <cfRule type="expression" dxfId="14188" priority="692" stopIfTrue="1">
      <formula>AI115=CléPersonnalisée1</formula>
    </cfRule>
    <cfRule type="expression" dxfId="14187" priority="693" stopIfTrue="1">
      <formula>AI115=CléMaladie</formula>
    </cfRule>
    <cfRule type="expression" dxfId="14186" priority="694" stopIfTrue="1">
      <formula>AI115=CléPersonnelle</formula>
    </cfRule>
    <cfRule type="expression" dxfId="14185" priority="695" stopIfTrue="1">
      <formula>AI115=CléCongés</formula>
    </cfRule>
  </conditionalFormatting>
  <conditionalFormatting sqref="AM113:AP114">
    <cfRule type="expression" priority="684" stopIfTrue="1">
      <formula>AM113=""</formula>
    </cfRule>
    <cfRule type="expression" dxfId="14184" priority="685" stopIfTrue="1">
      <formula>AM113=CléPersonnalisée2</formula>
    </cfRule>
    <cfRule type="expression" dxfId="14183" priority="686" stopIfTrue="1">
      <formula>AM113=CléPersonnalisée1</formula>
    </cfRule>
    <cfRule type="expression" dxfId="14182" priority="687" stopIfTrue="1">
      <formula>AM113=CléMaladie</formula>
    </cfRule>
    <cfRule type="expression" dxfId="14181" priority="688" stopIfTrue="1">
      <formula>AM113=CléPersonnelle</formula>
    </cfRule>
    <cfRule type="expression" dxfId="14180" priority="689" stopIfTrue="1">
      <formula>AM113=CléCongés</formula>
    </cfRule>
  </conditionalFormatting>
  <conditionalFormatting sqref="AQ113:AR114">
    <cfRule type="expression" priority="678" stopIfTrue="1">
      <formula>AQ113=""</formula>
    </cfRule>
    <cfRule type="expression" dxfId="14179" priority="679" stopIfTrue="1">
      <formula>AQ113=CléPersonnalisée2</formula>
    </cfRule>
    <cfRule type="expression" dxfId="14178" priority="680" stopIfTrue="1">
      <formula>AQ113=CléPersonnalisée1</formula>
    </cfRule>
    <cfRule type="expression" dxfId="14177" priority="681" stopIfTrue="1">
      <formula>AQ113=CléMaladie</formula>
    </cfRule>
    <cfRule type="expression" dxfId="14176" priority="682" stopIfTrue="1">
      <formula>AQ113=CléPersonnelle</formula>
    </cfRule>
    <cfRule type="expression" dxfId="14175" priority="683" stopIfTrue="1">
      <formula>AQ113=CléCongés</formula>
    </cfRule>
  </conditionalFormatting>
  <conditionalFormatting sqref="AM115 AP115">
    <cfRule type="expression" priority="672" stopIfTrue="1">
      <formula>AM115=""</formula>
    </cfRule>
    <cfRule type="expression" dxfId="14174" priority="673" stopIfTrue="1">
      <formula>AM115=CléPersonnalisée2</formula>
    </cfRule>
    <cfRule type="expression" dxfId="14173" priority="674" stopIfTrue="1">
      <formula>AM115=CléPersonnalisée1</formula>
    </cfRule>
    <cfRule type="expression" dxfId="14172" priority="675" stopIfTrue="1">
      <formula>AM115=CléMaladie</formula>
    </cfRule>
    <cfRule type="expression" dxfId="14171" priority="676" stopIfTrue="1">
      <formula>AM115=CléPersonnelle</formula>
    </cfRule>
    <cfRule type="expression" dxfId="14170" priority="677" stopIfTrue="1">
      <formula>AM115=CléCongés</formula>
    </cfRule>
  </conditionalFormatting>
  <conditionalFormatting sqref="AH113:AH114">
    <cfRule type="dataBar" priority="671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{09419AB3-23E6-4F45-B7EF-07A793CDDE47}</x14:id>
        </ext>
      </extLst>
    </cfRule>
  </conditionalFormatting>
  <conditionalFormatting sqref="AN115">
    <cfRule type="expression" priority="665" stopIfTrue="1">
      <formula>AN115=""</formula>
    </cfRule>
    <cfRule type="expression" dxfId="14169" priority="666" stopIfTrue="1">
      <formula>AN115=CléPersonnalisée2</formula>
    </cfRule>
    <cfRule type="expression" dxfId="14168" priority="667" stopIfTrue="1">
      <formula>AN115=CléPersonnalisée1</formula>
    </cfRule>
    <cfRule type="expression" dxfId="14167" priority="668" stopIfTrue="1">
      <formula>AN115=CléMaladie</formula>
    </cfRule>
    <cfRule type="expression" dxfId="14166" priority="669" stopIfTrue="1">
      <formula>AN115=CléPersonnelle</formula>
    </cfRule>
    <cfRule type="expression" dxfId="14165" priority="670" stopIfTrue="1">
      <formula>AN115=CléCongés</formula>
    </cfRule>
  </conditionalFormatting>
  <conditionalFormatting sqref="AR115">
    <cfRule type="expression" priority="659" stopIfTrue="1">
      <formula>AR115=""</formula>
    </cfRule>
    <cfRule type="expression" dxfId="14164" priority="660" stopIfTrue="1">
      <formula>AR115=CléPersonnalisée2</formula>
    </cfRule>
    <cfRule type="expression" dxfId="14163" priority="661" stopIfTrue="1">
      <formula>AR115=CléPersonnalisée1</formula>
    </cfRule>
    <cfRule type="expression" dxfId="14162" priority="662" stopIfTrue="1">
      <formula>AR115=CléMaladie</formula>
    </cfRule>
    <cfRule type="expression" dxfId="14161" priority="663" stopIfTrue="1">
      <formula>AR115=CléPersonnelle</formula>
    </cfRule>
    <cfRule type="expression" dxfId="14160" priority="664" stopIfTrue="1">
      <formula>AR115=CléCongés</formula>
    </cfRule>
  </conditionalFormatting>
  <conditionalFormatting sqref="AQ115">
    <cfRule type="expression" priority="653" stopIfTrue="1">
      <formula>AQ115=""</formula>
    </cfRule>
    <cfRule type="expression" dxfId="14159" priority="654" stopIfTrue="1">
      <formula>AQ115=CléPersonnalisée2</formula>
    </cfRule>
    <cfRule type="expression" dxfId="14158" priority="655" stopIfTrue="1">
      <formula>AQ115=CléPersonnalisée1</formula>
    </cfRule>
    <cfRule type="expression" dxfId="14157" priority="656" stopIfTrue="1">
      <formula>AQ115=CléMaladie</formula>
    </cfRule>
    <cfRule type="expression" dxfId="14156" priority="657" stopIfTrue="1">
      <formula>AQ115=CléPersonnelle</formula>
    </cfRule>
    <cfRule type="expression" dxfId="14155" priority="658" stopIfTrue="1">
      <formula>AQ115=CléCongés</formula>
    </cfRule>
  </conditionalFormatting>
  <conditionalFormatting sqref="L49:L50">
    <cfRule type="expression" priority="647" stopIfTrue="1">
      <formula>L49=""</formula>
    </cfRule>
    <cfRule type="expression" dxfId="14154" priority="648" stopIfTrue="1">
      <formula>L49=CléPersonnalisée2</formula>
    </cfRule>
    <cfRule type="expression" dxfId="14153" priority="649" stopIfTrue="1">
      <formula>L49=CléPersonnalisée1</formula>
    </cfRule>
    <cfRule type="expression" dxfId="14152" priority="650" stopIfTrue="1">
      <formula>L49=CléMaladie</formula>
    </cfRule>
    <cfRule type="expression" dxfId="14151" priority="651" stopIfTrue="1">
      <formula>L49=CléPersonnelle</formula>
    </cfRule>
    <cfRule type="expression" dxfId="14150" priority="652" stopIfTrue="1">
      <formula>L49=CléCongés</formula>
    </cfRule>
  </conditionalFormatting>
  <conditionalFormatting sqref="C13:AG15">
    <cfRule type="expression" priority="640" stopIfTrue="1">
      <formula>C13=""</formula>
    </cfRule>
    <cfRule type="expression" dxfId="14149" priority="641" stopIfTrue="1">
      <formula>C13=CléPersonnalisée2</formula>
    </cfRule>
    <cfRule type="expression" dxfId="14148" priority="642" stopIfTrue="1">
      <formula>C13=CléPersonnalisée1</formula>
    </cfRule>
    <cfRule type="expression" dxfId="14147" priority="643" stopIfTrue="1">
      <formula>C13=CléMaladie</formula>
    </cfRule>
    <cfRule type="expression" dxfId="14146" priority="644" stopIfTrue="1">
      <formula>C13=CléPersonnelle</formula>
    </cfRule>
    <cfRule type="expression" dxfId="14145" priority="645" stopIfTrue="1">
      <formula>C13=CléCongés</formula>
    </cfRule>
  </conditionalFormatting>
  <conditionalFormatting sqref="AH15">
    <cfRule type="dataBar" priority="646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{91C9FB7B-2F0F-437B-9D41-AF1CF685F58C}</x14:id>
        </ext>
      </extLst>
    </cfRule>
  </conditionalFormatting>
  <conditionalFormatting sqref="AI15:AL15">
    <cfRule type="expression" priority="634" stopIfTrue="1">
      <formula>AI15=""</formula>
    </cfRule>
    <cfRule type="expression" dxfId="14144" priority="635" stopIfTrue="1">
      <formula>AI15=CléPersonnalisée2</formula>
    </cfRule>
    <cfRule type="expression" dxfId="14143" priority="636" stopIfTrue="1">
      <formula>AI15=CléPersonnalisée1</formula>
    </cfRule>
    <cfRule type="expression" dxfId="14142" priority="637" stopIfTrue="1">
      <formula>AI15=CléMaladie</formula>
    </cfRule>
    <cfRule type="expression" dxfId="14141" priority="638" stopIfTrue="1">
      <formula>AI15=CléPersonnelle</formula>
    </cfRule>
    <cfRule type="expression" dxfId="14140" priority="639" stopIfTrue="1">
      <formula>AI15=CléCongés</formula>
    </cfRule>
  </conditionalFormatting>
  <conditionalFormatting sqref="AM13:AP14">
    <cfRule type="expression" priority="628" stopIfTrue="1">
      <formula>AM13=""</formula>
    </cfRule>
    <cfRule type="expression" dxfId="14139" priority="629" stopIfTrue="1">
      <formula>AM13=CléPersonnalisée2</formula>
    </cfRule>
    <cfRule type="expression" dxfId="14138" priority="630" stopIfTrue="1">
      <formula>AM13=CléPersonnalisée1</formula>
    </cfRule>
    <cfRule type="expression" dxfId="14137" priority="631" stopIfTrue="1">
      <formula>AM13=CléMaladie</formula>
    </cfRule>
    <cfRule type="expression" dxfId="14136" priority="632" stopIfTrue="1">
      <formula>AM13=CléPersonnelle</formula>
    </cfRule>
    <cfRule type="expression" dxfId="14135" priority="633" stopIfTrue="1">
      <formula>AM13=CléCongés</formula>
    </cfRule>
  </conditionalFormatting>
  <conditionalFormatting sqref="AQ13:AR14">
    <cfRule type="expression" priority="622" stopIfTrue="1">
      <formula>AQ13=""</formula>
    </cfRule>
    <cfRule type="expression" dxfId="14134" priority="623" stopIfTrue="1">
      <formula>AQ13=CléPersonnalisée2</formula>
    </cfRule>
    <cfRule type="expression" dxfId="14133" priority="624" stopIfTrue="1">
      <formula>AQ13=CléPersonnalisée1</formula>
    </cfRule>
    <cfRule type="expression" dxfId="14132" priority="625" stopIfTrue="1">
      <formula>AQ13=CléMaladie</formula>
    </cfRule>
    <cfRule type="expression" dxfId="14131" priority="626" stopIfTrue="1">
      <formula>AQ13=CléPersonnelle</formula>
    </cfRule>
    <cfRule type="expression" dxfId="14130" priority="627" stopIfTrue="1">
      <formula>AQ13=CléCongés</formula>
    </cfRule>
  </conditionalFormatting>
  <conditionalFormatting sqref="AM15 AP15">
    <cfRule type="expression" priority="616" stopIfTrue="1">
      <formula>AM15=""</formula>
    </cfRule>
    <cfRule type="expression" dxfId="14129" priority="617" stopIfTrue="1">
      <formula>AM15=CléPersonnalisée2</formula>
    </cfRule>
    <cfRule type="expression" dxfId="14128" priority="618" stopIfTrue="1">
      <formula>AM15=CléPersonnalisée1</formula>
    </cfRule>
    <cfRule type="expression" dxfId="14127" priority="619" stopIfTrue="1">
      <formula>AM15=CléMaladie</formula>
    </cfRule>
    <cfRule type="expression" dxfId="14126" priority="620" stopIfTrue="1">
      <formula>AM15=CléPersonnelle</formula>
    </cfRule>
    <cfRule type="expression" dxfId="14125" priority="621" stopIfTrue="1">
      <formula>AM15=CléCongés</formula>
    </cfRule>
  </conditionalFormatting>
  <conditionalFormatting sqref="AH13:AH14">
    <cfRule type="dataBar" priority="615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{D4394437-960A-479D-ADA0-1BCAECB8A78A}</x14:id>
        </ext>
      </extLst>
    </cfRule>
  </conditionalFormatting>
  <conditionalFormatting sqref="AN15">
    <cfRule type="expression" priority="609" stopIfTrue="1">
      <formula>AN15=""</formula>
    </cfRule>
    <cfRule type="expression" dxfId="14124" priority="610" stopIfTrue="1">
      <formula>AN15=CléPersonnalisée2</formula>
    </cfRule>
    <cfRule type="expression" dxfId="14123" priority="611" stopIfTrue="1">
      <formula>AN15=CléPersonnalisée1</formula>
    </cfRule>
    <cfRule type="expression" dxfId="14122" priority="612" stopIfTrue="1">
      <formula>AN15=CléMaladie</formula>
    </cfRule>
    <cfRule type="expression" dxfId="14121" priority="613" stopIfTrue="1">
      <formula>AN15=CléPersonnelle</formula>
    </cfRule>
    <cfRule type="expression" dxfId="14120" priority="614" stopIfTrue="1">
      <formula>AN15=CléCongés</formula>
    </cfRule>
  </conditionalFormatting>
  <conditionalFormatting sqref="AR15">
    <cfRule type="expression" priority="603" stopIfTrue="1">
      <formula>AR15=""</formula>
    </cfRule>
    <cfRule type="expression" dxfId="14119" priority="604" stopIfTrue="1">
      <formula>AR15=CléPersonnalisée2</formula>
    </cfRule>
    <cfRule type="expression" dxfId="14118" priority="605" stopIfTrue="1">
      <formula>AR15=CléPersonnalisée1</formula>
    </cfRule>
    <cfRule type="expression" dxfId="14117" priority="606" stopIfTrue="1">
      <formula>AR15=CléMaladie</formula>
    </cfRule>
    <cfRule type="expression" dxfId="14116" priority="607" stopIfTrue="1">
      <formula>AR15=CléPersonnelle</formula>
    </cfRule>
    <cfRule type="expression" dxfId="14115" priority="608" stopIfTrue="1">
      <formula>AR15=CléCongés</formula>
    </cfRule>
  </conditionalFormatting>
  <conditionalFormatting sqref="AQ15">
    <cfRule type="expression" priority="597" stopIfTrue="1">
      <formula>AQ15=""</formula>
    </cfRule>
    <cfRule type="expression" dxfId="14114" priority="598" stopIfTrue="1">
      <formula>AQ15=CléPersonnalisée2</formula>
    </cfRule>
    <cfRule type="expression" dxfId="14113" priority="599" stopIfTrue="1">
      <formula>AQ15=CléPersonnalisée1</formula>
    </cfRule>
    <cfRule type="expression" dxfId="14112" priority="600" stopIfTrue="1">
      <formula>AQ15=CléMaladie</formula>
    </cfRule>
    <cfRule type="expression" dxfId="14111" priority="601" stopIfTrue="1">
      <formula>AQ15=CléPersonnelle</formula>
    </cfRule>
    <cfRule type="expression" dxfId="14110" priority="602" stopIfTrue="1">
      <formula>AQ15=CléCongés</formula>
    </cfRule>
  </conditionalFormatting>
  <conditionalFormatting sqref="AO95 AO103 AO99">
    <cfRule type="expression" priority="591" stopIfTrue="1">
      <formula>AO95=""</formula>
    </cfRule>
    <cfRule type="expression" dxfId="14109" priority="592" stopIfTrue="1">
      <formula>AO95=CléPersonnalisée2</formula>
    </cfRule>
    <cfRule type="expression" dxfId="14108" priority="593" stopIfTrue="1">
      <formula>AO95=CléPersonnalisée1</formula>
    </cfRule>
    <cfRule type="expression" dxfId="14107" priority="594" stopIfTrue="1">
      <formula>AO95=CléMaladie</formula>
    </cfRule>
    <cfRule type="expression" dxfId="14106" priority="595" stopIfTrue="1">
      <formula>AO95=CléPersonnelle</formula>
    </cfRule>
    <cfRule type="expression" dxfId="14105" priority="596" stopIfTrue="1">
      <formula>AO95=CléCongés</formula>
    </cfRule>
  </conditionalFormatting>
  <conditionalFormatting sqref="S85:AG86">
    <cfRule type="expression" priority="585" stopIfTrue="1">
      <formula>S85=""</formula>
    </cfRule>
    <cfRule type="expression" dxfId="14104" priority="586" stopIfTrue="1">
      <formula>S85=CléPersonnalisée2</formula>
    </cfRule>
    <cfRule type="expression" dxfId="14103" priority="587" stopIfTrue="1">
      <formula>S85=CléPersonnalisée1</formula>
    </cfRule>
    <cfRule type="expression" dxfId="14102" priority="588" stopIfTrue="1">
      <formula>S85=CléMaladie</formula>
    </cfRule>
    <cfRule type="expression" dxfId="14101" priority="589" stopIfTrue="1">
      <formula>S85=CléPersonnelle</formula>
    </cfRule>
    <cfRule type="expression" dxfId="14100" priority="590" stopIfTrue="1">
      <formula>S85=CléCongés</formula>
    </cfRule>
  </conditionalFormatting>
  <conditionalFormatting sqref="AI13:AL14">
    <cfRule type="expression" priority="579" stopIfTrue="1">
      <formula>AI13=""</formula>
    </cfRule>
    <cfRule type="expression" dxfId="14099" priority="580" stopIfTrue="1">
      <formula>AI13=CléPersonnalisée2</formula>
    </cfRule>
    <cfRule type="expression" dxfId="14098" priority="581" stopIfTrue="1">
      <formula>AI13=CléPersonnalisée1</formula>
    </cfRule>
    <cfRule type="expression" dxfId="14097" priority="582" stopIfTrue="1">
      <formula>AI13=CléMaladie</formula>
    </cfRule>
    <cfRule type="expression" dxfId="14096" priority="583" stopIfTrue="1">
      <formula>AI13=CléPersonnelle</formula>
    </cfRule>
    <cfRule type="expression" dxfId="14095" priority="584" stopIfTrue="1">
      <formula>AI13=CléCongés</formula>
    </cfRule>
  </conditionalFormatting>
  <conditionalFormatting sqref="AI17:AL18">
    <cfRule type="expression" priority="573" stopIfTrue="1">
      <formula>AI17=""</formula>
    </cfRule>
    <cfRule type="expression" dxfId="14094" priority="574" stopIfTrue="1">
      <formula>AI17=CléPersonnalisée2</formula>
    </cfRule>
    <cfRule type="expression" dxfId="14093" priority="575" stopIfTrue="1">
      <formula>AI17=CléPersonnalisée1</formula>
    </cfRule>
    <cfRule type="expression" dxfId="14092" priority="576" stopIfTrue="1">
      <formula>AI17=CléMaladie</formula>
    </cfRule>
    <cfRule type="expression" dxfId="14091" priority="577" stopIfTrue="1">
      <formula>AI17=CléPersonnelle</formula>
    </cfRule>
    <cfRule type="expression" dxfId="14090" priority="578" stopIfTrue="1">
      <formula>AI17=CléCongés</formula>
    </cfRule>
  </conditionalFormatting>
  <conditionalFormatting sqref="AI21:AL22">
    <cfRule type="expression" priority="567" stopIfTrue="1">
      <formula>AI21=""</formula>
    </cfRule>
    <cfRule type="expression" dxfId="14089" priority="568" stopIfTrue="1">
      <formula>AI21=CléPersonnalisée2</formula>
    </cfRule>
    <cfRule type="expression" dxfId="14088" priority="569" stopIfTrue="1">
      <formula>AI21=CléPersonnalisée1</formula>
    </cfRule>
    <cfRule type="expression" dxfId="14087" priority="570" stopIfTrue="1">
      <formula>AI21=CléMaladie</formula>
    </cfRule>
    <cfRule type="expression" dxfId="14086" priority="571" stopIfTrue="1">
      <formula>AI21=CléPersonnelle</formula>
    </cfRule>
    <cfRule type="expression" dxfId="14085" priority="572" stopIfTrue="1">
      <formula>AI21=CléCongés</formula>
    </cfRule>
  </conditionalFormatting>
  <conditionalFormatting sqref="AI25:AL26">
    <cfRule type="expression" priority="561" stopIfTrue="1">
      <formula>AI25=""</formula>
    </cfRule>
    <cfRule type="expression" dxfId="14084" priority="562" stopIfTrue="1">
      <formula>AI25=CléPersonnalisée2</formula>
    </cfRule>
    <cfRule type="expression" dxfId="14083" priority="563" stopIfTrue="1">
      <formula>AI25=CléPersonnalisée1</formula>
    </cfRule>
    <cfRule type="expression" dxfId="14082" priority="564" stopIfTrue="1">
      <formula>AI25=CléMaladie</formula>
    </cfRule>
    <cfRule type="expression" dxfId="14081" priority="565" stopIfTrue="1">
      <formula>AI25=CléPersonnelle</formula>
    </cfRule>
    <cfRule type="expression" dxfId="14080" priority="566" stopIfTrue="1">
      <formula>AI25=CléCongés</formula>
    </cfRule>
  </conditionalFormatting>
  <conditionalFormatting sqref="AI29:AL30">
    <cfRule type="expression" priority="555" stopIfTrue="1">
      <formula>AI29=""</formula>
    </cfRule>
    <cfRule type="expression" dxfId="14079" priority="556" stopIfTrue="1">
      <formula>AI29=CléPersonnalisée2</formula>
    </cfRule>
    <cfRule type="expression" dxfId="14078" priority="557" stopIfTrue="1">
      <formula>AI29=CléPersonnalisée1</formula>
    </cfRule>
    <cfRule type="expression" dxfId="14077" priority="558" stopIfTrue="1">
      <formula>AI29=CléMaladie</formula>
    </cfRule>
    <cfRule type="expression" dxfId="14076" priority="559" stopIfTrue="1">
      <formula>AI29=CléPersonnelle</formula>
    </cfRule>
    <cfRule type="expression" dxfId="14075" priority="560" stopIfTrue="1">
      <formula>AI29=CléCongés</formula>
    </cfRule>
  </conditionalFormatting>
  <conditionalFormatting sqref="AI33:AL34">
    <cfRule type="expression" priority="549" stopIfTrue="1">
      <formula>AI33=""</formula>
    </cfRule>
    <cfRule type="expression" dxfId="14074" priority="550" stopIfTrue="1">
      <formula>AI33=CléPersonnalisée2</formula>
    </cfRule>
    <cfRule type="expression" dxfId="14073" priority="551" stopIfTrue="1">
      <formula>AI33=CléPersonnalisée1</formula>
    </cfRule>
    <cfRule type="expression" dxfId="14072" priority="552" stopIfTrue="1">
      <formula>AI33=CléMaladie</formula>
    </cfRule>
    <cfRule type="expression" dxfId="14071" priority="553" stopIfTrue="1">
      <formula>AI33=CléPersonnelle</formula>
    </cfRule>
    <cfRule type="expression" dxfId="14070" priority="554" stopIfTrue="1">
      <formula>AI33=CléCongés</formula>
    </cfRule>
  </conditionalFormatting>
  <conditionalFormatting sqref="AI37:AL38">
    <cfRule type="expression" priority="543" stopIfTrue="1">
      <formula>AI37=""</formula>
    </cfRule>
    <cfRule type="expression" dxfId="14069" priority="544" stopIfTrue="1">
      <formula>AI37=CléPersonnalisée2</formula>
    </cfRule>
    <cfRule type="expression" dxfId="14068" priority="545" stopIfTrue="1">
      <formula>AI37=CléPersonnalisée1</formula>
    </cfRule>
    <cfRule type="expression" dxfId="14067" priority="546" stopIfTrue="1">
      <formula>AI37=CléMaladie</formula>
    </cfRule>
    <cfRule type="expression" dxfId="14066" priority="547" stopIfTrue="1">
      <formula>AI37=CléPersonnelle</formula>
    </cfRule>
    <cfRule type="expression" dxfId="14065" priority="548" stopIfTrue="1">
      <formula>AI37=CléCongés</formula>
    </cfRule>
  </conditionalFormatting>
  <conditionalFormatting sqref="AI41:AL42">
    <cfRule type="expression" priority="537" stopIfTrue="1">
      <formula>AI41=""</formula>
    </cfRule>
    <cfRule type="expression" dxfId="14064" priority="538" stopIfTrue="1">
      <formula>AI41=CléPersonnalisée2</formula>
    </cfRule>
    <cfRule type="expression" dxfId="14063" priority="539" stopIfTrue="1">
      <formula>AI41=CléPersonnalisée1</formula>
    </cfRule>
    <cfRule type="expression" dxfId="14062" priority="540" stopIfTrue="1">
      <formula>AI41=CléMaladie</formula>
    </cfRule>
    <cfRule type="expression" dxfId="14061" priority="541" stopIfTrue="1">
      <formula>AI41=CléPersonnelle</formula>
    </cfRule>
    <cfRule type="expression" dxfId="14060" priority="542" stopIfTrue="1">
      <formula>AI41=CléCongés</formula>
    </cfRule>
  </conditionalFormatting>
  <conditionalFormatting sqref="AI45:AL46">
    <cfRule type="expression" priority="531" stopIfTrue="1">
      <formula>AI45=""</formula>
    </cfRule>
    <cfRule type="expression" dxfId="14059" priority="532" stopIfTrue="1">
      <formula>AI45=CléPersonnalisée2</formula>
    </cfRule>
    <cfRule type="expression" dxfId="14058" priority="533" stopIfTrue="1">
      <formula>AI45=CléPersonnalisée1</formula>
    </cfRule>
    <cfRule type="expression" dxfId="14057" priority="534" stopIfTrue="1">
      <formula>AI45=CléMaladie</formula>
    </cfRule>
    <cfRule type="expression" dxfId="14056" priority="535" stopIfTrue="1">
      <formula>AI45=CléPersonnelle</formula>
    </cfRule>
    <cfRule type="expression" dxfId="14055" priority="536" stopIfTrue="1">
      <formula>AI45=CléCongés</formula>
    </cfRule>
  </conditionalFormatting>
  <conditionalFormatting sqref="AI49:AL50">
    <cfRule type="expression" priority="525" stopIfTrue="1">
      <formula>AI49=""</formula>
    </cfRule>
    <cfRule type="expression" dxfId="14054" priority="526" stopIfTrue="1">
      <formula>AI49=CléPersonnalisée2</formula>
    </cfRule>
    <cfRule type="expression" dxfId="14053" priority="527" stopIfTrue="1">
      <formula>AI49=CléPersonnalisée1</formula>
    </cfRule>
    <cfRule type="expression" dxfId="14052" priority="528" stopIfTrue="1">
      <formula>AI49=CléMaladie</formula>
    </cfRule>
    <cfRule type="expression" dxfId="14051" priority="529" stopIfTrue="1">
      <formula>AI49=CléPersonnelle</formula>
    </cfRule>
    <cfRule type="expression" dxfId="14050" priority="530" stopIfTrue="1">
      <formula>AI49=CléCongés</formula>
    </cfRule>
  </conditionalFormatting>
  <conditionalFormatting sqref="AI53:AL54">
    <cfRule type="expression" priority="519" stopIfTrue="1">
      <formula>AI53=""</formula>
    </cfRule>
    <cfRule type="expression" dxfId="14049" priority="520" stopIfTrue="1">
      <formula>AI53=CléPersonnalisée2</formula>
    </cfRule>
    <cfRule type="expression" dxfId="14048" priority="521" stopIfTrue="1">
      <formula>AI53=CléPersonnalisée1</formula>
    </cfRule>
    <cfRule type="expression" dxfId="14047" priority="522" stopIfTrue="1">
      <formula>AI53=CléMaladie</formula>
    </cfRule>
    <cfRule type="expression" dxfId="14046" priority="523" stopIfTrue="1">
      <formula>AI53=CléPersonnelle</formula>
    </cfRule>
    <cfRule type="expression" dxfId="14045" priority="524" stopIfTrue="1">
      <formula>AI53=CléCongés</formula>
    </cfRule>
  </conditionalFormatting>
  <conditionalFormatting sqref="AI61:AL62">
    <cfRule type="expression" priority="513" stopIfTrue="1">
      <formula>AI61=""</formula>
    </cfRule>
    <cfRule type="expression" dxfId="14044" priority="514" stopIfTrue="1">
      <formula>AI61=CléPersonnalisée2</formula>
    </cfRule>
    <cfRule type="expression" dxfId="14043" priority="515" stopIfTrue="1">
      <formula>AI61=CléPersonnalisée1</formula>
    </cfRule>
    <cfRule type="expression" dxfId="14042" priority="516" stopIfTrue="1">
      <formula>AI61=CléMaladie</formula>
    </cfRule>
    <cfRule type="expression" dxfId="14041" priority="517" stopIfTrue="1">
      <formula>AI61=CléPersonnelle</formula>
    </cfRule>
    <cfRule type="expression" dxfId="14040" priority="518" stopIfTrue="1">
      <formula>AI61=CléCongés</formula>
    </cfRule>
  </conditionalFormatting>
  <conditionalFormatting sqref="AI65:AL66">
    <cfRule type="expression" priority="507" stopIfTrue="1">
      <formula>AI65=""</formula>
    </cfRule>
    <cfRule type="expression" dxfId="14039" priority="508" stopIfTrue="1">
      <formula>AI65=CléPersonnalisée2</formula>
    </cfRule>
    <cfRule type="expression" dxfId="14038" priority="509" stopIfTrue="1">
      <formula>AI65=CléPersonnalisée1</formula>
    </cfRule>
    <cfRule type="expression" dxfId="14037" priority="510" stopIfTrue="1">
      <formula>AI65=CléMaladie</formula>
    </cfRule>
    <cfRule type="expression" dxfId="14036" priority="511" stopIfTrue="1">
      <formula>AI65=CléPersonnelle</formula>
    </cfRule>
    <cfRule type="expression" dxfId="14035" priority="512" stopIfTrue="1">
      <formula>AI65=CléCongés</formula>
    </cfRule>
  </conditionalFormatting>
  <conditionalFormatting sqref="AI69:AL70">
    <cfRule type="expression" priority="501" stopIfTrue="1">
      <formula>AI69=""</formula>
    </cfRule>
    <cfRule type="expression" dxfId="14034" priority="502" stopIfTrue="1">
      <formula>AI69=CléPersonnalisée2</formula>
    </cfRule>
    <cfRule type="expression" dxfId="14033" priority="503" stopIfTrue="1">
      <formula>AI69=CléPersonnalisée1</formula>
    </cfRule>
    <cfRule type="expression" dxfId="14032" priority="504" stopIfTrue="1">
      <formula>AI69=CléMaladie</formula>
    </cfRule>
    <cfRule type="expression" dxfId="14031" priority="505" stopIfTrue="1">
      <formula>AI69=CléPersonnelle</formula>
    </cfRule>
    <cfRule type="expression" dxfId="14030" priority="506" stopIfTrue="1">
      <formula>AI69=CléCongés</formula>
    </cfRule>
  </conditionalFormatting>
  <conditionalFormatting sqref="AI73:AL74">
    <cfRule type="expression" priority="495" stopIfTrue="1">
      <formula>AI73=""</formula>
    </cfRule>
    <cfRule type="expression" dxfId="14029" priority="496" stopIfTrue="1">
      <formula>AI73=CléPersonnalisée2</formula>
    </cfRule>
    <cfRule type="expression" dxfId="14028" priority="497" stopIfTrue="1">
      <formula>AI73=CléPersonnalisée1</formula>
    </cfRule>
    <cfRule type="expression" dxfId="14027" priority="498" stopIfTrue="1">
      <formula>AI73=CléMaladie</formula>
    </cfRule>
    <cfRule type="expression" dxfId="14026" priority="499" stopIfTrue="1">
      <formula>AI73=CléPersonnelle</formula>
    </cfRule>
    <cfRule type="expression" dxfId="14025" priority="500" stopIfTrue="1">
      <formula>AI73=CléCongés</formula>
    </cfRule>
  </conditionalFormatting>
  <conditionalFormatting sqref="AI81:AL82">
    <cfRule type="expression" priority="489" stopIfTrue="1">
      <formula>AI81=""</formula>
    </cfRule>
    <cfRule type="expression" dxfId="14024" priority="490" stopIfTrue="1">
      <formula>AI81=CléPersonnalisée2</formula>
    </cfRule>
    <cfRule type="expression" dxfId="14023" priority="491" stopIfTrue="1">
      <formula>AI81=CléPersonnalisée1</formula>
    </cfRule>
    <cfRule type="expression" dxfId="14022" priority="492" stopIfTrue="1">
      <formula>AI81=CléMaladie</formula>
    </cfRule>
    <cfRule type="expression" dxfId="14021" priority="493" stopIfTrue="1">
      <formula>AI81=CléPersonnelle</formula>
    </cfRule>
    <cfRule type="expression" dxfId="14020" priority="494" stopIfTrue="1">
      <formula>AI81=CléCongés</formula>
    </cfRule>
  </conditionalFormatting>
  <conditionalFormatting sqref="AI85:AL86">
    <cfRule type="expression" priority="483" stopIfTrue="1">
      <formula>AI85=""</formula>
    </cfRule>
    <cfRule type="expression" dxfId="14019" priority="484" stopIfTrue="1">
      <formula>AI85=CléPersonnalisée2</formula>
    </cfRule>
    <cfRule type="expression" dxfId="14018" priority="485" stopIfTrue="1">
      <formula>AI85=CléPersonnalisée1</formula>
    </cfRule>
    <cfRule type="expression" dxfId="14017" priority="486" stopIfTrue="1">
      <formula>AI85=CléMaladie</formula>
    </cfRule>
    <cfRule type="expression" dxfId="14016" priority="487" stopIfTrue="1">
      <formula>AI85=CléPersonnelle</formula>
    </cfRule>
    <cfRule type="expression" dxfId="14015" priority="488" stopIfTrue="1">
      <formula>AI85=CléCongés</formula>
    </cfRule>
  </conditionalFormatting>
  <conditionalFormatting sqref="AI89:AL90">
    <cfRule type="expression" priority="477" stopIfTrue="1">
      <formula>AI89=""</formula>
    </cfRule>
    <cfRule type="expression" dxfId="14014" priority="478" stopIfTrue="1">
      <formula>AI89=CléPersonnalisée2</formula>
    </cfRule>
    <cfRule type="expression" dxfId="14013" priority="479" stopIfTrue="1">
      <formula>AI89=CléPersonnalisée1</formula>
    </cfRule>
    <cfRule type="expression" dxfId="14012" priority="480" stopIfTrue="1">
      <formula>AI89=CléMaladie</formula>
    </cfRule>
    <cfRule type="expression" dxfId="14011" priority="481" stopIfTrue="1">
      <formula>AI89=CléPersonnelle</formula>
    </cfRule>
    <cfRule type="expression" dxfId="14010" priority="482" stopIfTrue="1">
      <formula>AI89=CléCongés</formula>
    </cfRule>
  </conditionalFormatting>
  <conditionalFormatting sqref="AI93:AL94">
    <cfRule type="expression" priority="471" stopIfTrue="1">
      <formula>AI93=""</formula>
    </cfRule>
    <cfRule type="expression" dxfId="14009" priority="472" stopIfTrue="1">
      <formula>AI93=CléPersonnalisée2</formula>
    </cfRule>
    <cfRule type="expression" dxfId="14008" priority="473" stopIfTrue="1">
      <formula>AI93=CléPersonnalisée1</formula>
    </cfRule>
    <cfRule type="expression" dxfId="14007" priority="474" stopIfTrue="1">
      <formula>AI93=CléMaladie</formula>
    </cfRule>
    <cfRule type="expression" dxfId="14006" priority="475" stopIfTrue="1">
      <formula>AI93=CléPersonnelle</formula>
    </cfRule>
    <cfRule type="expression" dxfId="14005" priority="476" stopIfTrue="1">
      <formula>AI93=CléCongés</formula>
    </cfRule>
  </conditionalFormatting>
  <conditionalFormatting sqref="AI109:AL110">
    <cfRule type="expression" priority="465" stopIfTrue="1">
      <formula>AI109=""</formula>
    </cfRule>
    <cfRule type="expression" dxfId="14004" priority="466" stopIfTrue="1">
      <formula>AI109=CléPersonnalisée2</formula>
    </cfRule>
    <cfRule type="expression" dxfId="14003" priority="467" stopIfTrue="1">
      <formula>AI109=CléPersonnalisée1</formula>
    </cfRule>
    <cfRule type="expression" dxfId="14002" priority="468" stopIfTrue="1">
      <formula>AI109=CléMaladie</formula>
    </cfRule>
    <cfRule type="expression" dxfId="14001" priority="469" stopIfTrue="1">
      <formula>AI109=CléPersonnelle</formula>
    </cfRule>
    <cfRule type="expression" dxfId="14000" priority="470" stopIfTrue="1">
      <formula>AI109=CléCongés</formula>
    </cfRule>
  </conditionalFormatting>
  <conditionalFormatting sqref="AI113:AL114">
    <cfRule type="expression" priority="459" stopIfTrue="1">
      <formula>AI113=""</formula>
    </cfRule>
    <cfRule type="expression" dxfId="13999" priority="460" stopIfTrue="1">
      <formula>AI113=CléPersonnalisée2</formula>
    </cfRule>
    <cfRule type="expression" dxfId="13998" priority="461" stopIfTrue="1">
      <formula>AI113=CléPersonnalisée1</formula>
    </cfRule>
    <cfRule type="expression" dxfId="13997" priority="462" stopIfTrue="1">
      <formula>AI113=CléMaladie</formula>
    </cfRule>
    <cfRule type="expression" dxfId="13996" priority="463" stopIfTrue="1">
      <formula>AI113=CléPersonnelle</formula>
    </cfRule>
    <cfRule type="expression" dxfId="13995" priority="464" stopIfTrue="1">
      <formula>AI113=CléCongés</formula>
    </cfRule>
  </conditionalFormatting>
  <conditionalFormatting sqref="AI121:AL122">
    <cfRule type="expression" priority="453" stopIfTrue="1">
      <formula>AI121=""</formula>
    </cfRule>
    <cfRule type="expression" dxfId="13994" priority="454" stopIfTrue="1">
      <formula>AI121=CléPersonnalisée2</formula>
    </cfRule>
    <cfRule type="expression" dxfId="13993" priority="455" stopIfTrue="1">
      <formula>AI121=CléPersonnalisée1</formula>
    </cfRule>
    <cfRule type="expression" dxfId="13992" priority="456" stopIfTrue="1">
      <formula>AI121=CléMaladie</formula>
    </cfRule>
    <cfRule type="expression" dxfId="13991" priority="457" stopIfTrue="1">
      <formula>AI121=CléPersonnelle</formula>
    </cfRule>
    <cfRule type="expression" dxfId="13990" priority="458" stopIfTrue="1">
      <formula>AI121=CléCongés</formula>
    </cfRule>
  </conditionalFormatting>
  <conditionalFormatting sqref="AO11">
    <cfRule type="expression" priority="447" stopIfTrue="1">
      <formula>AO11=""</formula>
    </cfRule>
    <cfRule type="expression" dxfId="13989" priority="448" stopIfTrue="1">
      <formula>AO11=CléPersonnalisée2</formula>
    </cfRule>
    <cfRule type="expression" dxfId="13988" priority="449" stopIfTrue="1">
      <formula>AO11=CléPersonnalisée1</formula>
    </cfRule>
    <cfRule type="expression" dxfId="13987" priority="450" stopIfTrue="1">
      <formula>AO11=CléMaladie</formula>
    </cfRule>
    <cfRule type="expression" dxfId="13986" priority="451" stopIfTrue="1">
      <formula>AO11=CléPersonnelle</formula>
    </cfRule>
    <cfRule type="expression" dxfId="13985" priority="452" stopIfTrue="1">
      <formula>AO11=CléCongés</formula>
    </cfRule>
  </conditionalFormatting>
  <conditionalFormatting sqref="AO15">
    <cfRule type="expression" priority="441" stopIfTrue="1">
      <formula>AO15=""</formula>
    </cfRule>
    <cfRule type="expression" dxfId="13984" priority="442" stopIfTrue="1">
      <formula>AO15=CléPersonnalisée2</formula>
    </cfRule>
    <cfRule type="expression" dxfId="13983" priority="443" stopIfTrue="1">
      <formula>AO15=CléPersonnalisée1</formula>
    </cfRule>
    <cfRule type="expression" dxfId="13982" priority="444" stopIfTrue="1">
      <formula>AO15=CléMaladie</formula>
    </cfRule>
    <cfRule type="expression" dxfId="13981" priority="445" stopIfTrue="1">
      <formula>AO15=CléPersonnelle</formula>
    </cfRule>
    <cfRule type="expression" dxfId="13980" priority="446" stopIfTrue="1">
      <formula>AO15=CléCongés</formula>
    </cfRule>
  </conditionalFormatting>
  <conditionalFormatting sqref="AO19">
    <cfRule type="expression" priority="435" stopIfTrue="1">
      <formula>AO19=""</formula>
    </cfRule>
    <cfRule type="expression" dxfId="13979" priority="436" stopIfTrue="1">
      <formula>AO19=CléPersonnalisée2</formula>
    </cfRule>
    <cfRule type="expression" dxfId="13978" priority="437" stopIfTrue="1">
      <formula>AO19=CléPersonnalisée1</formula>
    </cfRule>
    <cfRule type="expression" dxfId="13977" priority="438" stopIfTrue="1">
      <formula>AO19=CléMaladie</formula>
    </cfRule>
    <cfRule type="expression" dxfId="13976" priority="439" stopIfTrue="1">
      <formula>AO19=CléPersonnelle</formula>
    </cfRule>
    <cfRule type="expression" dxfId="13975" priority="440" stopIfTrue="1">
      <formula>AO19=CléCongés</formula>
    </cfRule>
  </conditionalFormatting>
  <conditionalFormatting sqref="AO23">
    <cfRule type="expression" priority="429" stopIfTrue="1">
      <formula>AO23=""</formula>
    </cfRule>
    <cfRule type="expression" dxfId="13974" priority="430" stopIfTrue="1">
      <formula>AO23=CléPersonnalisée2</formula>
    </cfRule>
    <cfRule type="expression" dxfId="13973" priority="431" stopIfTrue="1">
      <formula>AO23=CléPersonnalisée1</formula>
    </cfRule>
    <cfRule type="expression" dxfId="13972" priority="432" stopIfTrue="1">
      <formula>AO23=CléMaladie</formula>
    </cfRule>
    <cfRule type="expression" dxfId="13971" priority="433" stopIfTrue="1">
      <formula>AO23=CléPersonnelle</formula>
    </cfRule>
    <cfRule type="expression" dxfId="13970" priority="434" stopIfTrue="1">
      <formula>AO23=CléCongés</formula>
    </cfRule>
  </conditionalFormatting>
  <conditionalFormatting sqref="AO27">
    <cfRule type="expression" priority="423" stopIfTrue="1">
      <formula>AO27=""</formula>
    </cfRule>
    <cfRule type="expression" dxfId="13969" priority="424" stopIfTrue="1">
      <formula>AO27=CléPersonnalisée2</formula>
    </cfRule>
    <cfRule type="expression" dxfId="13968" priority="425" stopIfTrue="1">
      <formula>AO27=CléPersonnalisée1</formula>
    </cfRule>
    <cfRule type="expression" dxfId="13967" priority="426" stopIfTrue="1">
      <formula>AO27=CléMaladie</formula>
    </cfRule>
    <cfRule type="expression" dxfId="13966" priority="427" stopIfTrue="1">
      <formula>AO27=CléPersonnelle</formula>
    </cfRule>
    <cfRule type="expression" dxfId="13965" priority="428" stopIfTrue="1">
      <formula>AO27=CléCongés</formula>
    </cfRule>
  </conditionalFormatting>
  <conditionalFormatting sqref="AO31">
    <cfRule type="expression" priority="417" stopIfTrue="1">
      <formula>AO31=""</formula>
    </cfRule>
    <cfRule type="expression" dxfId="13964" priority="418" stopIfTrue="1">
      <formula>AO31=CléPersonnalisée2</formula>
    </cfRule>
    <cfRule type="expression" dxfId="13963" priority="419" stopIfTrue="1">
      <formula>AO31=CléPersonnalisée1</formula>
    </cfRule>
    <cfRule type="expression" dxfId="13962" priority="420" stopIfTrue="1">
      <formula>AO31=CléMaladie</formula>
    </cfRule>
    <cfRule type="expression" dxfId="13961" priority="421" stopIfTrue="1">
      <formula>AO31=CléPersonnelle</formula>
    </cfRule>
    <cfRule type="expression" dxfId="13960" priority="422" stopIfTrue="1">
      <formula>AO31=CléCongés</formula>
    </cfRule>
  </conditionalFormatting>
  <conditionalFormatting sqref="AO35">
    <cfRule type="expression" priority="411" stopIfTrue="1">
      <formula>AO35=""</formula>
    </cfRule>
    <cfRule type="expression" dxfId="13959" priority="412" stopIfTrue="1">
      <formula>AO35=CléPersonnalisée2</formula>
    </cfRule>
    <cfRule type="expression" dxfId="13958" priority="413" stopIfTrue="1">
      <formula>AO35=CléPersonnalisée1</formula>
    </cfRule>
    <cfRule type="expression" dxfId="13957" priority="414" stopIfTrue="1">
      <formula>AO35=CléMaladie</formula>
    </cfRule>
    <cfRule type="expression" dxfId="13956" priority="415" stopIfTrue="1">
      <formula>AO35=CléPersonnelle</formula>
    </cfRule>
    <cfRule type="expression" dxfId="13955" priority="416" stopIfTrue="1">
      <formula>AO35=CléCongés</formula>
    </cfRule>
  </conditionalFormatting>
  <conditionalFormatting sqref="AO39">
    <cfRule type="expression" priority="405" stopIfTrue="1">
      <formula>AO39=""</formula>
    </cfRule>
    <cfRule type="expression" dxfId="13954" priority="406" stopIfTrue="1">
      <formula>AO39=CléPersonnalisée2</formula>
    </cfRule>
    <cfRule type="expression" dxfId="13953" priority="407" stopIfTrue="1">
      <formula>AO39=CléPersonnalisée1</formula>
    </cfRule>
    <cfRule type="expression" dxfId="13952" priority="408" stopIfTrue="1">
      <formula>AO39=CléMaladie</formula>
    </cfRule>
    <cfRule type="expression" dxfId="13951" priority="409" stopIfTrue="1">
      <formula>AO39=CléPersonnelle</formula>
    </cfRule>
    <cfRule type="expression" dxfId="13950" priority="410" stopIfTrue="1">
      <formula>AO39=CléCongés</formula>
    </cfRule>
  </conditionalFormatting>
  <conditionalFormatting sqref="AO43">
    <cfRule type="expression" priority="399" stopIfTrue="1">
      <formula>AO43=""</formula>
    </cfRule>
    <cfRule type="expression" dxfId="13949" priority="400" stopIfTrue="1">
      <formula>AO43=CléPersonnalisée2</formula>
    </cfRule>
    <cfRule type="expression" dxfId="13948" priority="401" stopIfTrue="1">
      <formula>AO43=CléPersonnalisée1</formula>
    </cfRule>
    <cfRule type="expression" dxfId="13947" priority="402" stopIfTrue="1">
      <formula>AO43=CléMaladie</formula>
    </cfRule>
    <cfRule type="expression" dxfId="13946" priority="403" stopIfTrue="1">
      <formula>AO43=CléPersonnelle</formula>
    </cfRule>
    <cfRule type="expression" dxfId="13945" priority="404" stopIfTrue="1">
      <formula>AO43=CléCongés</formula>
    </cfRule>
  </conditionalFormatting>
  <conditionalFormatting sqref="AO47">
    <cfRule type="expression" priority="393" stopIfTrue="1">
      <formula>AO47=""</formula>
    </cfRule>
    <cfRule type="expression" dxfId="13944" priority="394" stopIfTrue="1">
      <formula>AO47=CléPersonnalisée2</formula>
    </cfRule>
    <cfRule type="expression" dxfId="13943" priority="395" stopIfTrue="1">
      <formula>AO47=CléPersonnalisée1</formula>
    </cfRule>
    <cfRule type="expression" dxfId="13942" priority="396" stopIfTrue="1">
      <formula>AO47=CléMaladie</formula>
    </cfRule>
    <cfRule type="expression" dxfId="13941" priority="397" stopIfTrue="1">
      <formula>AO47=CléPersonnelle</formula>
    </cfRule>
    <cfRule type="expression" dxfId="13940" priority="398" stopIfTrue="1">
      <formula>AO47=CléCongés</formula>
    </cfRule>
  </conditionalFormatting>
  <conditionalFormatting sqref="AO51">
    <cfRule type="expression" priority="387" stopIfTrue="1">
      <formula>AO51=""</formula>
    </cfRule>
    <cfRule type="expression" dxfId="13939" priority="388" stopIfTrue="1">
      <formula>AO51=CléPersonnalisée2</formula>
    </cfRule>
    <cfRule type="expression" dxfId="13938" priority="389" stopIfTrue="1">
      <formula>AO51=CléPersonnalisée1</formula>
    </cfRule>
    <cfRule type="expression" dxfId="13937" priority="390" stopIfTrue="1">
      <formula>AO51=CléMaladie</formula>
    </cfRule>
    <cfRule type="expression" dxfId="13936" priority="391" stopIfTrue="1">
      <formula>AO51=CléPersonnelle</formula>
    </cfRule>
    <cfRule type="expression" dxfId="13935" priority="392" stopIfTrue="1">
      <formula>AO51=CléCongés</formula>
    </cfRule>
  </conditionalFormatting>
  <conditionalFormatting sqref="AO55">
    <cfRule type="expression" priority="381" stopIfTrue="1">
      <formula>AO55=""</formula>
    </cfRule>
    <cfRule type="expression" dxfId="13934" priority="382" stopIfTrue="1">
      <formula>AO55=CléPersonnalisée2</formula>
    </cfRule>
    <cfRule type="expression" dxfId="13933" priority="383" stopIfTrue="1">
      <formula>AO55=CléPersonnalisée1</formula>
    </cfRule>
    <cfRule type="expression" dxfId="13932" priority="384" stopIfTrue="1">
      <formula>AO55=CléMaladie</formula>
    </cfRule>
    <cfRule type="expression" dxfId="13931" priority="385" stopIfTrue="1">
      <formula>AO55=CléPersonnelle</formula>
    </cfRule>
    <cfRule type="expression" dxfId="13930" priority="386" stopIfTrue="1">
      <formula>AO55=CléCongés</formula>
    </cfRule>
  </conditionalFormatting>
  <conditionalFormatting sqref="AO63">
    <cfRule type="expression" priority="375" stopIfTrue="1">
      <formula>AO63=""</formula>
    </cfRule>
    <cfRule type="expression" dxfId="13929" priority="376" stopIfTrue="1">
      <formula>AO63=CléPersonnalisée2</formula>
    </cfRule>
    <cfRule type="expression" dxfId="13928" priority="377" stopIfTrue="1">
      <formula>AO63=CléPersonnalisée1</formula>
    </cfRule>
    <cfRule type="expression" dxfId="13927" priority="378" stopIfTrue="1">
      <formula>AO63=CléMaladie</formula>
    </cfRule>
    <cfRule type="expression" dxfId="13926" priority="379" stopIfTrue="1">
      <formula>AO63=CléPersonnelle</formula>
    </cfRule>
    <cfRule type="expression" dxfId="13925" priority="380" stopIfTrue="1">
      <formula>AO63=CléCongés</formula>
    </cfRule>
  </conditionalFormatting>
  <conditionalFormatting sqref="AO67">
    <cfRule type="expression" priority="369" stopIfTrue="1">
      <formula>AO67=""</formula>
    </cfRule>
    <cfRule type="expression" dxfId="13924" priority="370" stopIfTrue="1">
      <formula>AO67=CléPersonnalisée2</formula>
    </cfRule>
    <cfRule type="expression" dxfId="13923" priority="371" stopIfTrue="1">
      <formula>AO67=CléPersonnalisée1</formula>
    </cfRule>
    <cfRule type="expression" dxfId="13922" priority="372" stopIfTrue="1">
      <formula>AO67=CléMaladie</formula>
    </cfRule>
    <cfRule type="expression" dxfId="13921" priority="373" stopIfTrue="1">
      <formula>AO67=CléPersonnelle</formula>
    </cfRule>
    <cfRule type="expression" dxfId="13920" priority="374" stopIfTrue="1">
      <formula>AO67=CléCongés</formula>
    </cfRule>
  </conditionalFormatting>
  <conditionalFormatting sqref="AO71">
    <cfRule type="expression" priority="363" stopIfTrue="1">
      <formula>AO71=""</formula>
    </cfRule>
    <cfRule type="expression" dxfId="13919" priority="364" stopIfTrue="1">
      <formula>AO71=CléPersonnalisée2</formula>
    </cfRule>
    <cfRule type="expression" dxfId="13918" priority="365" stopIfTrue="1">
      <formula>AO71=CléPersonnalisée1</formula>
    </cfRule>
    <cfRule type="expression" dxfId="13917" priority="366" stopIfTrue="1">
      <formula>AO71=CléMaladie</formula>
    </cfRule>
    <cfRule type="expression" dxfId="13916" priority="367" stopIfTrue="1">
      <formula>AO71=CléPersonnelle</formula>
    </cfRule>
    <cfRule type="expression" dxfId="13915" priority="368" stopIfTrue="1">
      <formula>AO71=CléCongés</formula>
    </cfRule>
  </conditionalFormatting>
  <conditionalFormatting sqref="AO83">
    <cfRule type="expression" priority="357" stopIfTrue="1">
      <formula>AO83=""</formula>
    </cfRule>
    <cfRule type="expression" dxfId="13914" priority="358" stopIfTrue="1">
      <formula>AO83=CléPersonnalisée2</formula>
    </cfRule>
    <cfRule type="expression" dxfId="13913" priority="359" stopIfTrue="1">
      <formula>AO83=CléPersonnalisée1</formula>
    </cfRule>
    <cfRule type="expression" dxfId="13912" priority="360" stopIfTrue="1">
      <formula>AO83=CléMaladie</formula>
    </cfRule>
    <cfRule type="expression" dxfId="13911" priority="361" stopIfTrue="1">
      <formula>AO83=CléPersonnelle</formula>
    </cfRule>
    <cfRule type="expression" dxfId="13910" priority="362" stopIfTrue="1">
      <formula>AO83=CléCongés</formula>
    </cfRule>
  </conditionalFormatting>
  <conditionalFormatting sqref="AO87">
    <cfRule type="expression" priority="351" stopIfTrue="1">
      <formula>AO87=""</formula>
    </cfRule>
    <cfRule type="expression" dxfId="13909" priority="352" stopIfTrue="1">
      <formula>AO87=CléPersonnalisée2</formula>
    </cfRule>
    <cfRule type="expression" dxfId="13908" priority="353" stopIfTrue="1">
      <formula>AO87=CléPersonnalisée1</formula>
    </cfRule>
    <cfRule type="expression" dxfId="13907" priority="354" stopIfTrue="1">
      <formula>AO87=CléMaladie</formula>
    </cfRule>
    <cfRule type="expression" dxfId="13906" priority="355" stopIfTrue="1">
      <formula>AO87=CléPersonnelle</formula>
    </cfRule>
    <cfRule type="expression" dxfId="13905" priority="356" stopIfTrue="1">
      <formula>AO87=CléCongés</formula>
    </cfRule>
  </conditionalFormatting>
  <conditionalFormatting sqref="AO91">
    <cfRule type="expression" priority="345" stopIfTrue="1">
      <formula>AO91=""</formula>
    </cfRule>
    <cfRule type="expression" dxfId="13904" priority="346" stopIfTrue="1">
      <formula>AO91=CléPersonnalisée2</formula>
    </cfRule>
    <cfRule type="expression" dxfId="13903" priority="347" stopIfTrue="1">
      <formula>AO91=CléPersonnalisée1</formula>
    </cfRule>
    <cfRule type="expression" dxfId="13902" priority="348" stopIfTrue="1">
      <formula>AO91=CléMaladie</formula>
    </cfRule>
    <cfRule type="expression" dxfId="13901" priority="349" stopIfTrue="1">
      <formula>AO91=CléPersonnelle</formula>
    </cfRule>
    <cfRule type="expression" dxfId="13900" priority="350" stopIfTrue="1">
      <formula>AO91=CléCongés</formula>
    </cfRule>
  </conditionalFormatting>
  <conditionalFormatting sqref="AO111">
    <cfRule type="expression" priority="339" stopIfTrue="1">
      <formula>AO111=""</formula>
    </cfRule>
    <cfRule type="expression" dxfId="13899" priority="340" stopIfTrue="1">
      <formula>AO111=CléPersonnalisée2</formula>
    </cfRule>
    <cfRule type="expression" dxfId="13898" priority="341" stopIfTrue="1">
      <formula>AO111=CléPersonnalisée1</formula>
    </cfRule>
    <cfRule type="expression" dxfId="13897" priority="342" stopIfTrue="1">
      <formula>AO111=CléMaladie</formula>
    </cfRule>
    <cfRule type="expression" dxfId="13896" priority="343" stopIfTrue="1">
      <formula>AO111=CléPersonnelle</formula>
    </cfRule>
    <cfRule type="expression" dxfId="13895" priority="344" stopIfTrue="1">
      <formula>AO111=CléCongés</formula>
    </cfRule>
  </conditionalFormatting>
  <conditionalFormatting sqref="AO115">
    <cfRule type="expression" priority="333" stopIfTrue="1">
      <formula>AO115=""</formula>
    </cfRule>
    <cfRule type="expression" dxfId="13894" priority="334" stopIfTrue="1">
      <formula>AO115=CléPersonnalisée2</formula>
    </cfRule>
    <cfRule type="expression" dxfId="13893" priority="335" stopIfTrue="1">
      <formula>AO115=CléPersonnalisée1</formula>
    </cfRule>
    <cfRule type="expression" dxfId="13892" priority="336" stopIfTrue="1">
      <formula>AO115=CléMaladie</formula>
    </cfRule>
    <cfRule type="expression" dxfId="13891" priority="337" stopIfTrue="1">
      <formula>AO115=CléPersonnelle</formula>
    </cfRule>
    <cfRule type="expression" dxfId="13890" priority="338" stopIfTrue="1">
      <formula>AO115=CléCongés</formula>
    </cfRule>
  </conditionalFormatting>
  <conditionalFormatting sqref="AO123">
    <cfRule type="expression" priority="327" stopIfTrue="1">
      <formula>AO123=""</formula>
    </cfRule>
    <cfRule type="expression" dxfId="13889" priority="328" stopIfTrue="1">
      <formula>AO123=CléPersonnalisée2</formula>
    </cfRule>
    <cfRule type="expression" dxfId="13888" priority="329" stopIfTrue="1">
      <formula>AO123=CléPersonnalisée1</formula>
    </cfRule>
    <cfRule type="expression" dxfId="13887" priority="330" stopIfTrue="1">
      <formula>AO123=CléMaladie</formula>
    </cfRule>
    <cfRule type="expression" dxfId="13886" priority="331" stopIfTrue="1">
      <formula>AO123=CléPersonnelle</formula>
    </cfRule>
    <cfRule type="expression" dxfId="13885" priority="332" stopIfTrue="1">
      <formula>AO123=CléCongés</formula>
    </cfRule>
  </conditionalFormatting>
  <conditionalFormatting sqref="AO75">
    <cfRule type="expression" priority="321" stopIfTrue="1">
      <formula>AO75=""</formula>
    </cfRule>
    <cfRule type="expression" dxfId="13884" priority="322" stopIfTrue="1">
      <formula>AO75=CléPersonnalisée2</formula>
    </cfRule>
    <cfRule type="expression" dxfId="13883" priority="323" stopIfTrue="1">
      <formula>AO75=CléPersonnalisée1</formula>
    </cfRule>
    <cfRule type="expression" dxfId="13882" priority="324" stopIfTrue="1">
      <formula>AO75=CléMaladie</formula>
    </cfRule>
    <cfRule type="expression" dxfId="13881" priority="325" stopIfTrue="1">
      <formula>AO75=CléPersonnelle</formula>
    </cfRule>
    <cfRule type="expression" dxfId="13880" priority="326" stopIfTrue="1">
      <formula>AO75=CléCongés</formula>
    </cfRule>
  </conditionalFormatting>
  <conditionalFormatting sqref="AQ100:AR100">
    <cfRule type="expression" priority="315" stopIfTrue="1">
      <formula>AQ100=""</formula>
    </cfRule>
    <cfRule type="expression" dxfId="13879" priority="316" stopIfTrue="1">
      <formula>AQ100=CléPersonnalisée2</formula>
    </cfRule>
    <cfRule type="expression" dxfId="13878" priority="317" stopIfTrue="1">
      <formula>AQ100=CléPersonnalisée1</formula>
    </cfRule>
    <cfRule type="expression" dxfId="13877" priority="318" stopIfTrue="1">
      <formula>AQ100=CléMaladie</formula>
    </cfRule>
    <cfRule type="expression" dxfId="13876" priority="319" stopIfTrue="1">
      <formula>AQ100=CléPersonnelle</formula>
    </cfRule>
    <cfRule type="expression" dxfId="13875" priority="320" stopIfTrue="1">
      <formula>AQ100=CléCongés</formula>
    </cfRule>
  </conditionalFormatting>
  <conditionalFormatting sqref="AQ96:AR96">
    <cfRule type="expression" priority="309" stopIfTrue="1">
      <formula>AQ96=""</formula>
    </cfRule>
    <cfRule type="expression" dxfId="13874" priority="310" stopIfTrue="1">
      <formula>AQ96=CléPersonnalisée2</formula>
    </cfRule>
    <cfRule type="expression" dxfId="13873" priority="311" stopIfTrue="1">
      <formula>AQ96=CléPersonnalisée1</formula>
    </cfRule>
    <cfRule type="expression" dxfId="13872" priority="312" stopIfTrue="1">
      <formula>AQ96=CléMaladie</formula>
    </cfRule>
    <cfRule type="expression" dxfId="13871" priority="313" stopIfTrue="1">
      <formula>AQ96=CléPersonnelle</formula>
    </cfRule>
    <cfRule type="expression" dxfId="13870" priority="314" stopIfTrue="1">
      <formula>AQ96=CléCongés</formula>
    </cfRule>
  </conditionalFormatting>
  <conditionalFormatting sqref="AQ120:AR120">
    <cfRule type="expression" priority="303" stopIfTrue="1">
      <formula>AQ120=""</formula>
    </cfRule>
    <cfRule type="expression" dxfId="13869" priority="304" stopIfTrue="1">
      <formula>AQ120=CléPersonnalisée2</formula>
    </cfRule>
    <cfRule type="expression" dxfId="13868" priority="305" stopIfTrue="1">
      <formula>AQ120=CléPersonnalisée1</formula>
    </cfRule>
    <cfRule type="expression" dxfId="13867" priority="306" stopIfTrue="1">
      <formula>AQ120=CléMaladie</formula>
    </cfRule>
    <cfRule type="expression" dxfId="13866" priority="307" stopIfTrue="1">
      <formula>AQ120=CléPersonnelle</formula>
    </cfRule>
    <cfRule type="expression" dxfId="13865" priority="308" stopIfTrue="1">
      <formula>AQ120=CléCongés</formula>
    </cfRule>
  </conditionalFormatting>
  <conditionalFormatting sqref="C117:AG119">
    <cfRule type="expression" priority="296" stopIfTrue="1">
      <formula>C117=""</formula>
    </cfRule>
    <cfRule type="expression" dxfId="13864" priority="297" stopIfTrue="1">
      <formula>C117=CléPersonnalisée2</formula>
    </cfRule>
    <cfRule type="expression" dxfId="13863" priority="298" stopIfTrue="1">
      <formula>C117=CléPersonnalisée1</formula>
    </cfRule>
    <cfRule type="expression" dxfId="13862" priority="299" stopIfTrue="1">
      <formula>C117=CléMaladie</formula>
    </cfRule>
    <cfRule type="expression" dxfId="13861" priority="300" stopIfTrue="1">
      <formula>C117=CléPersonnelle</formula>
    </cfRule>
    <cfRule type="expression" dxfId="13860" priority="301" stopIfTrue="1">
      <formula>C117=CléCongés</formula>
    </cfRule>
  </conditionalFormatting>
  <conditionalFormatting sqref="AH119">
    <cfRule type="dataBar" priority="302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{591D8C46-5E84-4A8F-9759-39C9B4557A60}</x14:id>
        </ext>
      </extLst>
    </cfRule>
  </conditionalFormatting>
  <conditionalFormatting sqref="AI119:AL119">
    <cfRule type="expression" priority="290" stopIfTrue="1">
      <formula>AI119=""</formula>
    </cfRule>
    <cfRule type="expression" dxfId="13859" priority="291" stopIfTrue="1">
      <formula>AI119=CléPersonnalisée2</formula>
    </cfRule>
    <cfRule type="expression" dxfId="13858" priority="292" stopIfTrue="1">
      <formula>AI119=CléPersonnalisée1</formula>
    </cfRule>
    <cfRule type="expression" dxfId="13857" priority="293" stopIfTrue="1">
      <formula>AI119=CléMaladie</formula>
    </cfRule>
    <cfRule type="expression" dxfId="13856" priority="294" stopIfTrue="1">
      <formula>AI119=CléPersonnelle</formula>
    </cfRule>
    <cfRule type="expression" dxfId="13855" priority="295" stopIfTrue="1">
      <formula>AI119=CléCongés</formula>
    </cfRule>
  </conditionalFormatting>
  <conditionalFormatting sqref="AM117:AP118">
    <cfRule type="expression" priority="284" stopIfTrue="1">
      <formula>AM117=""</formula>
    </cfRule>
    <cfRule type="expression" dxfId="13854" priority="285" stopIfTrue="1">
      <formula>AM117=CléPersonnalisée2</formula>
    </cfRule>
    <cfRule type="expression" dxfId="13853" priority="286" stopIfTrue="1">
      <formula>AM117=CléPersonnalisée1</formula>
    </cfRule>
    <cfRule type="expression" dxfId="13852" priority="287" stopIfTrue="1">
      <formula>AM117=CléMaladie</formula>
    </cfRule>
    <cfRule type="expression" dxfId="13851" priority="288" stopIfTrue="1">
      <formula>AM117=CléPersonnelle</formula>
    </cfRule>
    <cfRule type="expression" dxfId="13850" priority="289" stopIfTrue="1">
      <formula>AM117=CléCongés</formula>
    </cfRule>
  </conditionalFormatting>
  <conditionalFormatting sqref="AQ117:AR118">
    <cfRule type="expression" priority="278" stopIfTrue="1">
      <formula>AQ117=""</formula>
    </cfRule>
    <cfRule type="expression" dxfId="13849" priority="279" stopIfTrue="1">
      <formula>AQ117=CléPersonnalisée2</formula>
    </cfRule>
    <cfRule type="expression" dxfId="13848" priority="280" stopIfTrue="1">
      <formula>AQ117=CléPersonnalisée1</formula>
    </cfRule>
    <cfRule type="expression" dxfId="13847" priority="281" stopIfTrue="1">
      <formula>AQ117=CléMaladie</formula>
    </cfRule>
    <cfRule type="expression" dxfId="13846" priority="282" stopIfTrue="1">
      <formula>AQ117=CléPersonnelle</formula>
    </cfRule>
    <cfRule type="expression" dxfId="13845" priority="283" stopIfTrue="1">
      <formula>AQ117=CléCongés</formula>
    </cfRule>
  </conditionalFormatting>
  <conditionalFormatting sqref="AM119 AP119">
    <cfRule type="expression" priority="272" stopIfTrue="1">
      <formula>AM119=""</formula>
    </cfRule>
    <cfRule type="expression" dxfId="13844" priority="273" stopIfTrue="1">
      <formula>AM119=CléPersonnalisée2</formula>
    </cfRule>
    <cfRule type="expression" dxfId="13843" priority="274" stopIfTrue="1">
      <formula>AM119=CléPersonnalisée1</formula>
    </cfRule>
    <cfRule type="expression" dxfId="13842" priority="275" stopIfTrue="1">
      <formula>AM119=CléMaladie</formula>
    </cfRule>
    <cfRule type="expression" dxfId="13841" priority="276" stopIfTrue="1">
      <formula>AM119=CléPersonnelle</formula>
    </cfRule>
    <cfRule type="expression" dxfId="13840" priority="277" stopIfTrue="1">
      <formula>AM119=CléCongés</formula>
    </cfRule>
  </conditionalFormatting>
  <conditionalFormatting sqref="AH117:AH118">
    <cfRule type="dataBar" priority="271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{232844FA-5269-4B59-B6EC-8DEC67182BC4}</x14:id>
        </ext>
      </extLst>
    </cfRule>
  </conditionalFormatting>
  <conditionalFormatting sqref="AN119">
    <cfRule type="expression" priority="265" stopIfTrue="1">
      <formula>AN119=""</formula>
    </cfRule>
    <cfRule type="expression" dxfId="13839" priority="266" stopIfTrue="1">
      <formula>AN119=CléPersonnalisée2</formula>
    </cfRule>
    <cfRule type="expression" dxfId="13838" priority="267" stopIfTrue="1">
      <formula>AN119=CléPersonnalisée1</formula>
    </cfRule>
    <cfRule type="expression" dxfId="13837" priority="268" stopIfTrue="1">
      <formula>AN119=CléMaladie</formula>
    </cfRule>
    <cfRule type="expression" dxfId="13836" priority="269" stopIfTrue="1">
      <formula>AN119=CléPersonnelle</formula>
    </cfRule>
    <cfRule type="expression" dxfId="13835" priority="270" stopIfTrue="1">
      <formula>AN119=CléCongés</formula>
    </cfRule>
  </conditionalFormatting>
  <conditionalFormatting sqref="AR119">
    <cfRule type="expression" priority="259" stopIfTrue="1">
      <formula>AR119=""</formula>
    </cfRule>
    <cfRule type="expression" dxfId="13834" priority="260" stopIfTrue="1">
      <formula>AR119=CléPersonnalisée2</formula>
    </cfRule>
    <cfRule type="expression" dxfId="13833" priority="261" stopIfTrue="1">
      <formula>AR119=CléPersonnalisée1</formula>
    </cfRule>
    <cfRule type="expression" dxfId="13832" priority="262" stopIfTrue="1">
      <formula>AR119=CléMaladie</formula>
    </cfRule>
    <cfRule type="expression" dxfId="13831" priority="263" stopIfTrue="1">
      <formula>AR119=CléPersonnelle</formula>
    </cfRule>
    <cfRule type="expression" dxfId="13830" priority="264" stopIfTrue="1">
      <formula>AR119=CléCongés</formula>
    </cfRule>
  </conditionalFormatting>
  <conditionalFormatting sqref="AQ119">
    <cfRule type="expression" priority="253" stopIfTrue="1">
      <formula>AQ119=""</formula>
    </cfRule>
    <cfRule type="expression" dxfId="13829" priority="254" stopIfTrue="1">
      <formula>AQ119=CléPersonnalisée2</formula>
    </cfRule>
    <cfRule type="expression" dxfId="13828" priority="255" stopIfTrue="1">
      <formula>AQ119=CléPersonnalisée1</formula>
    </cfRule>
    <cfRule type="expression" dxfId="13827" priority="256" stopIfTrue="1">
      <formula>AQ119=CléMaladie</formula>
    </cfRule>
    <cfRule type="expression" dxfId="13826" priority="257" stopIfTrue="1">
      <formula>AQ119=CléPersonnelle</formula>
    </cfRule>
    <cfRule type="expression" dxfId="13825" priority="258" stopIfTrue="1">
      <formula>AQ119=CléCongés</formula>
    </cfRule>
  </conditionalFormatting>
  <conditionalFormatting sqref="AI117:AL118">
    <cfRule type="expression" priority="247" stopIfTrue="1">
      <formula>AI117=""</formula>
    </cfRule>
    <cfRule type="expression" dxfId="13824" priority="248" stopIfTrue="1">
      <formula>AI117=CléPersonnalisée2</formula>
    </cfRule>
    <cfRule type="expression" dxfId="13823" priority="249" stopIfTrue="1">
      <formula>AI117=CléPersonnalisée1</formula>
    </cfRule>
    <cfRule type="expression" dxfId="13822" priority="250" stopIfTrue="1">
      <formula>AI117=CléMaladie</formula>
    </cfRule>
    <cfRule type="expression" dxfId="13821" priority="251" stopIfTrue="1">
      <formula>AI117=CléPersonnelle</formula>
    </cfRule>
    <cfRule type="expression" dxfId="13820" priority="252" stopIfTrue="1">
      <formula>AI117=CléCongés</formula>
    </cfRule>
  </conditionalFormatting>
  <conditionalFormatting sqref="AO119">
    <cfRule type="expression" priority="241" stopIfTrue="1">
      <formula>AO119=""</formula>
    </cfRule>
    <cfRule type="expression" dxfId="13819" priority="242" stopIfTrue="1">
      <formula>AO119=CléPersonnalisée2</formula>
    </cfRule>
    <cfRule type="expression" dxfId="13818" priority="243" stopIfTrue="1">
      <formula>AO119=CléPersonnalisée1</formula>
    </cfRule>
    <cfRule type="expression" dxfId="13817" priority="244" stopIfTrue="1">
      <formula>AO119=CléMaladie</formula>
    </cfRule>
    <cfRule type="expression" dxfId="13816" priority="245" stopIfTrue="1">
      <formula>AO119=CléPersonnelle</formula>
    </cfRule>
    <cfRule type="expression" dxfId="13815" priority="246" stopIfTrue="1">
      <formula>AO119=CléCongés</formula>
    </cfRule>
  </conditionalFormatting>
  <conditionalFormatting sqref="AQ108:AR108">
    <cfRule type="expression" priority="235" stopIfTrue="1">
      <formula>AQ108=""</formula>
    </cfRule>
    <cfRule type="expression" dxfId="13814" priority="236" stopIfTrue="1">
      <formula>AQ108=CléPersonnalisée2</formula>
    </cfRule>
    <cfRule type="expression" dxfId="13813" priority="237" stopIfTrue="1">
      <formula>AQ108=CléPersonnalisée1</formula>
    </cfRule>
    <cfRule type="expression" dxfId="13812" priority="238" stopIfTrue="1">
      <formula>AQ108=CléMaladie</formula>
    </cfRule>
    <cfRule type="expression" dxfId="13811" priority="239" stopIfTrue="1">
      <formula>AQ108=CléPersonnelle</formula>
    </cfRule>
    <cfRule type="expression" dxfId="13810" priority="240" stopIfTrue="1">
      <formula>AQ108=CléCongés</formula>
    </cfRule>
  </conditionalFormatting>
  <conditionalFormatting sqref="C105:AG107">
    <cfRule type="expression" priority="228" stopIfTrue="1">
      <formula>C105=""</formula>
    </cfRule>
    <cfRule type="expression" dxfId="13809" priority="229" stopIfTrue="1">
      <formula>C105=CléPersonnalisée2</formula>
    </cfRule>
    <cfRule type="expression" dxfId="13808" priority="230" stopIfTrue="1">
      <formula>C105=CléPersonnalisée1</formula>
    </cfRule>
    <cfRule type="expression" dxfId="13807" priority="231" stopIfTrue="1">
      <formula>C105=CléMaladie</formula>
    </cfRule>
    <cfRule type="expression" dxfId="13806" priority="232" stopIfTrue="1">
      <formula>C105=CléPersonnelle</formula>
    </cfRule>
    <cfRule type="expression" dxfId="13805" priority="233" stopIfTrue="1">
      <formula>C105=CléCongés</formula>
    </cfRule>
  </conditionalFormatting>
  <conditionalFormatting sqref="AH107">
    <cfRule type="dataBar" priority="234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{37FD967D-32D1-436B-8C49-E5A1AFB1B778}</x14:id>
        </ext>
      </extLst>
    </cfRule>
  </conditionalFormatting>
  <conditionalFormatting sqref="AI107:AL107">
    <cfRule type="expression" priority="222" stopIfTrue="1">
      <formula>AI107=""</formula>
    </cfRule>
    <cfRule type="expression" dxfId="13804" priority="223" stopIfTrue="1">
      <formula>AI107=CléPersonnalisée2</formula>
    </cfRule>
    <cfRule type="expression" dxfId="13803" priority="224" stopIfTrue="1">
      <formula>AI107=CléPersonnalisée1</formula>
    </cfRule>
    <cfRule type="expression" dxfId="13802" priority="225" stopIfTrue="1">
      <formula>AI107=CléMaladie</formula>
    </cfRule>
    <cfRule type="expression" dxfId="13801" priority="226" stopIfTrue="1">
      <formula>AI107=CléPersonnelle</formula>
    </cfRule>
    <cfRule type="expression" dxfId="13800" priority="227" stopIfTrue="1">
      <formula>AI107=CléCongés</formula>
    </cfRule>
  </conditionalFormatting>
  <conditionalFormatting sqref="AM105:AP106">
    <cfRule type="expression" priority="216" stopIfTrue="1">
      <formula>AM105=""</formula>
    </cfRule>
    <cfRule type="expression" dxfId="13799" priority="217" stopIfTrue="1">
      <formula>AM105=CléPersonnalisée2</formula>
    </cfRule>
    <cfRule type="expression" dxfId="13798" priority="218" stopIfTrue="1">
      <formula>AM105=CléPersonnalisée1</formula>
    </cfRule>
    <cfRule type="expression" dxfId="13797" priority="219" stopIfTrue="1">
      <formula>AM105=CléMaladie</formula>
    </cfRule>
    <cfRule type="expression" dxfId="13796" priority="220" stopIfTrue="1">
      <formula>AM105=CléPersonnelle</formula>
    </cfRule>
    <cfRule type="expression" dxfId="13795" priority="221" stopIfTrue="1">
      <formula>AM105=CléCongés</formula>
    </cfRule>
  </conditionalFormatting>
  <conditionalFormatting sqref="AQ105:AR106">
    <cfRule type="expression" priority="210" stopIfTrue="1">
      <formula>AQ105=""</formula>
    </cfRule>
    <cfRule type="expression" dxfId="13794" priority="211" stopIfTrue="1">
      <formula>AQ105=CléPersonnalisée2</formula>
    </cfRule>
    <cfRule type="expression" dxfId="13793" priority="212" stopIfTrue="1">
      <formula>AQ105=CléPersonnalisée1</formula>
    </cfRule>
    <cfRule type="expression" dxfId="13792" priority="213" stopIfTrue="1">
      <formula>AQ105=CléMaladie</formula>
    </cfRule>
    <cfRule type="expression" dxfId="13791" priority="214" stopIfTrue="1">
      <formula>AQ105=CléPersonnelle</formula>
    </cfRule>
    <cfRule type="expression" dxfId="13790" priority="215" stopIfTrue="1">
      <formula>AQ105=CléCongés</formula>
    </cfRule>
  </conditionalFormatting>
  <conditionalFormatting sqref="AM107 AP107">
    <cfRule type="expression" priority="204" stopIfTrue="1">
      <formula>AM107=""</formula>
    </cfRule>
    <cfRule type="expression" dxfId="13789" priority="205" stopIfTrue="1">
      <formula>AM107=CléPersonnalisée2</formula>
    </cfRule>
    <cfRule type="expression" dxfId="13788" priority="206" stopIfTrue="1">
      <formula>AM107=CléPersonnalisée1</formula>
    </cfRule>
    <cfRule type="expression" dxfId="13787" priority="207" stopIfTrue="1">
      <formula>AM107=CléMaladie</formula>
    </cfRule>
    <cfRule type="expression" dxfId="13786" priority="208" stopIfTrue="1">
      <formula>AM107=CléPersonnelle</formula>
    </cfRule>
    <cfRule type="expression" dxfId="13785" priority="209" stopIfTrue="1">
      <formula>AM107=CléCongés</formula>
    </cfRule>
  </conditionalFormatting>
  <conditionalFormatting sqref="AH105:AH106">
    <cfRule type="dataBar" priority="203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{C169696E-1A30-42DD-AA02-CB191783F1A7}</x14:id>
        </ext>
      </extLst>
    </cfRule>
  </conditionalFormatting>
  <conditionalFormatting sqref="AN107">
    <cfRule type="expression" priority="197" stopIfTrue="1">
      <formula>AN107=""</formula>
    </cfRule>
    <cfRule type="expression" dxfId="13784" priority="198" stopIfTrue="1">
      <formula>AN107=CléPersonnalisée2</formula>
    </cfRule>
    <cfRule type="expression" dxfId="13783" priority="199" stopIfTrue="1">
      <formula>AN107=CléPersonnalisée1</formula>
    </cfRule>
    <cfRule type="expression" dxfId="13782" priority="200" stopIfTrue="1">
      <formula>AN107=CléMaladie</formula>
    </cfRule>
    <cfRule type="expression" dxfId="13781" priority="201" stopIfTrue="1">
      <formula>AN107=CléPersonnelle</formula>
    </cfRule>
    <cfRule type="expression" dxfId="13780" priority="202" stopIfTrue="1">
      <formula>AN107=CléCongés</formula>
    </cfRule>
  </conditionalFormatting>
  <conditionalFormatting sqref="AR107">
    <cfRule type="expression" priority="191" stopIfTrue="1">
      <formula>AR107=""</formula>
    </cfRule>
    <cfRule type="expression" dxfId="13779" priority="192" stopIfTrue="1">
      <formula>AR107=CléPersonnalisée2</formula>
    </cfRule>
    <cfRule type="expression" dxfId="13778" priority="193" stopIfTrue="1">
      <formula>AR107=CléPersonnalisée1</formula>
    </cfRule>
    <cfRule type="expression" dxfId="13777" priority="194" stopIfTrue="1">
      <formula>AR107=CléMaladie</formula>
    </cfRule>
    <cfRule type="expression" dxfId="13776" priority="195" stopIfTrue="1">
      <formula>AR107=CléPersonnelle</formula>
    </cfRule>
    <cfRule type="expression" dxfId="13775" priority="196" stopIfTrue="1">
      <formula>AR107=CléCongés</formula>
    </cfRule>
  </conditionalFormatting>
  <conditionalFormatting sqref="AQ107">
    <cfRule type="expression" priority="185" stopIfTrue="1">
      <formula>AQ107=""</formula>
    </cfRule>
    <cfRule type="expression" dxfId="13774" priority="186" stopIfTrue="1">
      <formula>AQ107=CléPersonnalisée2</formula>
    </cfRule>
    <cfRule type="expression" dxfId="13773" priority="187" stopIfTrue="1">
      <formula>AQ107=CléPersonnalisée1</formula>
    </cfRule>
    <cfRule type="expression" dxfId="13772" priority="188" stopIfTrue="1">
      <formula>AQ107=CléMaladie</formula>
    </cfRule>
    <cfRule type="expression" dxfId="13771" priority="189" stopIfTrue="1">
      <formula>AQ107=CléPersonnelle</formula>
    </cfRule>
    <cfRule type="expression" dxfId="13770" priority="190" stopIfTrue="1">
      <formula>AQ107=CléCongés</formula>
    </cfRule>
  </conditionalFormatting>
  <conditionalFormatting sqref="AI105:AL106">
    <cfRule type="expression" priority="179" stopIfTrue="1">
      <formula>AI105=""</formula>
    </cfRule>
    <cfRule type="expression" dxfId="13769" priority="180" stopIfTrue="1">
      <formula>AI105=CléPersonnalisée2</formula>
    </cfRule>
    <cfRule type="expression" dxfId="13768" priority="181" stopIfTrue="1">
      <formula>AI105=CléPersonnalisée1</formula>
    </cfRule>
    <cfRule type="expression" dxfId="13767" priority="182" stopIfTrue="1">
      <formula>AI105=CléMaladie</formula>
    </cfRule>
    <cfRule type="expression" dxfId="13766" priority="183" stopIfTrue="1">
      <formula>AI105=CléPersonnelle</formula>
    </cfRule>
    <cfRule type="expression" dxfId="13765" priority="184" stopIfTrue="1">
      <formula>AI105=CléCongés</formula>
    </cfRule>
  </conditionalFormatting>
  <conditionalFormatting sqref="AO107">
    <cfRule type="expression" priority="173" stopIfTrue="1">
      <formula>AO107=""</formula>
    </cfRule>
    <cfRule type="expression" dxfId="13764" priority="174" stopIfTrue="1">
      <formula>AO107=CléPersonnalisée2</formula>
    </cfRule>
    <cfRule type="expression" dxfId="13763" priority="175" stopIfTrue="1">
      <formula>AO107=CléPersonnalisée1</formula>
    </cfRule>
    <cfRule type="expression" dxfId="13762" priority="176" stopIfTrue="1">
      <formula>AO107=CléMaladie</formula>
    </cfRule>
    <cfRule type="expression" dxfId="13761" priority="177" stopIfTrue="1">
      <formula>AO107=CléPersonnelle</formula>
    </cfRule>
    <cfRule type="expression" dxfId="13760" priority="178" stopIfTrue="1">
      <formula>AO107=CléCongés</formula>
    </cfRule>
  </conditionalFormatting>
  <conditionalFormatting sqref="C57:AG59">
    <cfRule type="expression" priority="166" stopIfTrue="1">
      <formula>C57=""</formula>
    </cfRule>
    <cfRule type="expression" dxfId="13759" priority="167" stopIfTrue="1">
      <formula>C57=CléPersonnalisée2</formula>
    </cfRule>
    <cfRule type="expression" dxfId="13758" priority="168" stopIfTrue="1">
      <formula>C57=CléPersonnalisée1</formula>
    </cfRule>
    <cfRule type="expression" dxfId="13757" priority="169" stopIfTrue="1">
      <formula>C57=CléMaladie</formula>
    </cfRule>
    <cfRule type="expression" dxfId="13756" priority="170" stopIfTrue="1">
      <formula>C57=CléPersonnelle</formula>
    </cfRule>
    <cfRule type="expression" dxfId="13755" priority="171" stopIfTrue="1">
      <formula>C57=CléCongés</formula>
    </cfRule>
  </conditionalFormatting>
  <conditionalFormatting sqref="AH59">
    <cfRule type="dataBar" priority="172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{B999E63F-751A-4422-AD53-3168E91F70DD}</x14:id>
        </ext>
      </extLst>
    </cfRule>
  </conditionalFormatting>
  <conditionalFormatting sqref="AI59:AL59">
    <cfRule type="expression" priority="160" stopIfTrue="1">
      <formula>AI59=""</formula>
    </cfRule>
    <cfRule type="expression" dxfId="13754" priority="161" stopIfTrue="1">
      <formula>AI59=CléPersonnalisée2</formula>
    </cfRule>
    <cfRule type="expression" dxfId="13753" priority="162" stopIfTrue="1">
      <formula>AI59=CléPersonnalisée1</formula>
    </cfRule>
    <cfRule type="expression" dxfId="13752" priority="163" stopIfTrue="1">
      <formula>AI59=CléMaladie</formula>
    </cfRule>
    <cfRule type="expression" dxfId="13751" priority="164" stopIfTrue="1">
      <formula>AI59=CléPersonnelle</formula>
    </cfRule>
    <cfRule type="expression" dxfId="13750" priority="165" stopIfTrue="1">
      <formula>AI59=CléCongés</formula>
    </cfRule>
  </conditionalFormatting>
  <conditionalFormatting sqref="AM57:AP58">
    <cfRule type="expression" priority="154" stopIfTrue="1">
      <formula>AM57=""</formula>
    </cfRule>
    <cfRule type="expression" dxfId="13749" priority="155" stopIfTrue="1">
      <formula>AM57=CléPersonnalisée2</formula>
    </cfRule>
    <cfRule type="expression" dxfId="13748" priority="156" stopIfTrue="1">
      <formula>AM57=CléPersonnalisée1</formula>
    </cfRule>
    <cfRule type="expression" dxfId="13747" priority="157" stopIfTrue="1">
      <formula>AM57=CléMaladie</formula>
    </cfRule>
    <cfRule type="expression" dxfId="13746" priority="158" stopIfTrue="1">
      <formula>AM57=CléPersonnelle</formula>
    </cfRule>
    <cfRule type="expression" dxfId="13745" priority="159" stopIfTrue="1">
      <formula>AM57=CléCongés</formula>
    </cfRule>
  </conditionalFormatting>
  <conditionalFormatting sqref="AQ57:AR58">
    <cfRule type="expression" priority="148" stopIfTrue="1">
      <formula>AQ57=""</formula>
    </cfRule>
    <cfRule type="expression" dxfId="13744" priority="149" stopIfTrue="1">
      <formula>AQ57=CléPersonnalisée2</formula>
    </cfRule>
    <cfRule type="expression" dxfId="13743" priority="150" stopIfTrue="1">
      <formula>AQ57=CléPersonnalisée1</formula>
    </cfRule>
    <cfRule type="expression" dxfId="13742" priority="151" stopIfTrue="1">
      <formula>AQ57=CléMaladie</formula>
    </cfRule>
    <cfRule type="expression" dxfId="13741" priority="152" stopIfTrue="1">
      <formula>AQ57=CléPersonnelle</formula>
    </cfRule>
    <cfRule type="expression" dxfId="13740" priority="153" stopIfTrue="1">
      <formula>AQ57=CléCongés</formula>
    </cfRule>
  </conditionalFormatting>
  <conditionalFormatting sqref="AM59 AP59">
    <cfRule type="expression" priority="142" stopIfTrue="1">
      <formula>AM59=""</formula>
    </cfRule>
    <cfRule type="expression" dxfId="13739" priority="143" stopIfTrue="1">
      <formula>AM59=CléPersonnalisée2</formula>
    </cfRule>
    <cfRule type="expression" dxfId="13738" priority="144" stopIfTrue="1">
      <formula>AM59=CléPersonnalisée1</formula>
    </cfRule>
    <cfRule type="expression" dxfId="13737" priority="145" stopIfTrue="1">
      <formula>AM59=CléMaladie</formula>
    </cfRule>
    <cfRule type="expression" dxfId="13736" priority="146" stopIfTrue="1">
      <formula>AM59=CléPersonnelle</formula>
    </cfRule>
    <cfRule type="expression" dxfId="13735" priority="147" stopIfTrue="1">
      <formula>AM59=CléCongés</formula>
    </cfRule>
  </conditionalFormatting>
  <conditionalFormatting sqref="AH57:AH58">
    <cfRule type="dataBar" priority="141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{B383F977-43EB-4BBD-A63B-C61D42B89724}</x14:id>
        </ext>
      </extLst>
    </cfRule>
  </conditionalFormatting>
  <conditionalFormatting sqref="AN59">
    <cfRule type="expression" priority="135" stopIfTrue="1">
      <formula>AN59=""</formula>
    </cfRule>
    <cfRule type="expression" dxfId="13734" priority="136" stopIfTrue="1">
      <formula>AN59=CléPersonnalisée2</formula>
    </cfRule>
    <cfRule type="expression" dxfId="13733" priority="137" stopIfTrue="1">
      <formula>AN59=CléPersonnalisée1</formula>
    </cfRule>
    <cfRule type="expression" dxfId="13732" priority="138" stopIfTrue="1">
      <formula>AN59=CléMaladie</formula>
    </cfRule>
    <cfRule type="expression" dxfId="13731" priority="139" stopIfTrue="1">
      <formula>AN59=CléPersonnelle</formula>
    </cfRule>
    <cfRule type="expression" dxfId="13730" priority="140" stopIfTrue="1">
      <formula>AN59=CléCongés</formula>
    </cfRule>
  </conditionalFormatting>
  <conditionalFormatting sqref="AR59">
    <cfRule type="expression" priority="129" stopIfTrue="1">
      <formula>AR59=""</formula>
    </cfRule>
    <cfRule type="expression" dxfId="13729" priority="130" stopIfTrue="1">
      <formula>AR59=CléPersonnalisée2</formula>
    </cfRule>
    <cfRule type="expression" dxfId="13728" priority="131" stopIfTrue="1">
      <formula>AR59=CléPersonnalisée1</formula>
    </cfRule>
    <cfRule type="expression" dxfId="13727" priority="132" stopIfTrue="1">
      <formula>AR59=CléMaladie</formula>
    </cfRule>
    <cfRule type="expression" dxfId="13726" priority="133" stopIfTrue="1">
      <formula>AR59=CléPersonnelle</formula>
    </cfRule>
    <cfRule type="expression" dxfId="13725" priority="134" stopIfTrue="1">
      <formula>AR59=CléCongés</formula>
    </cfRule>
  </conditionalFormatting>
  <conditionalFormatting sqref="AQ59">
    <cfRule type="expression" priority="123" stopIfTrue="1">
      <formula>AQ59=""</formula>
    </cfRule>
    <cfRule type="expression" dxfId="13724" priority="124" stopIfTrue="1">
      <formula>AQ59=CléPersonnalisée2</formula>
    </cfRule>
    <cfRule type="expression" dxfId="13723" priority="125" stopIfTrue="1">
      <formula>AQ59=CléPersonnalisée1</formula>
    </cfRule>
    <cfRule type="expression" dxfId="13722" priority="126" stopIfTrue="1">
      <formula>AQ59=CléMaladie</formula>
    </cfRule>
    <cfRule type="expression" dxfId="13721" priority="127" stopIfTrue="1">
      <formula>AQ59=CléPersonnelle</formula>
    </cfRule>
    <cfRule type="expression" dxfId="13720" priority="128" stopIfTrue="1">
      <formula>AQ59=CléCongés</formula>
    </cfRule>
  </conditionalFormatting>
  <conditionalFormatting sqref="AI57:AL58">
    <cfRule type="expression" priority="117" stopIfTrue="1">
      <formula>AI57=""</formula>
    </cfRule>
    <cfRule type="expression" dxfId="13719" priority="118" stopIfTrue="1">
      <formula>AI57=CléPersonnalisée2</formula>
    </cfRule>
    <cfRule type="expression" dxfId="13718" priority="119" stopIfTrue="1">
      <formula>AI57=CléPersonnalisée1</formula>
    </cfRule>
    <cfRule type="expression" dxfId="13717" priority="120" stopIfTrue="1">
      <formula>AI57=CléMaladie</formula>
    </cfRule>
    <cfRule type="expression" dxfId="13716" priority="121" stopIfTrue="1">
      <formula>AI57=CléPersonnelle</formula>
    </cfRule>
    <cfRule type="expression" dxfId="13715" priority="122" stopIfTrue="1">
      <formula>AI57=CléCongés</formula>
    </cfRule>
  </conditionalFormatting>
  <conditionalFormatting sqref="AO59">
    <cfRule type="expression" priority="111" stopIfTrue="1">
      <formula>AO59=""</formula>
    </cfRule>
    <cfRule type="expression" dxfId="13714" priority="112" stopIfTrue="1">
      <formula>AO59=CléPersonnalisée2</formula>
    </cfRule>
    <cfRule type="expression" dxfId="13713" priority="113" stopIfTrue="1">
      <formula>AO59=CléPersonnalisée1</formula>
    </cfRule>
    <cfRule type="expression" dxfId="13712" priority="114" stopIfTrue="1">
      <formula>AO59=CléMaladie</formula>
    </cfRule>
    <cfRule type="expression" dxfId="13711" priority="115" stopIfTrue="1">
      <formula>AO59=CléPersonnelle</formula>
    </cfRule>
    <cfRule type="expression" dxfId="13710" priority="116" stopIfTrue="1">
      <formula>AO59=CléCongés</formula>
    </cfRule>
  </conditionalFormatting>
  <conditionalFormatting sqref="C77:AG79">
    <cfRule type="expression" priority="104" stopIfTrue="1">
      <formula>C77=""</formula>
    </cfRule>
    <cfRule type="expression" dxfId="13709" priority="105" stopIfTrue="1">
      <formula>C77=CléPersonnalisée2</formula>
    </cfRule>
    <cfRule type="expression" dxfId="13708" priority="106" stopIfTrue="1">
      <formula>C77=CléPersonnalisée1</formula>
    </cfRule>
    <cfRule type="expression" dxfId="13707" priority="107" stopIfTrue="1">
      <formula>C77=CléMaladie</formula>
    </cfRule>
    <cfRule type="expression" dxfId="13706" priority="108" stopIfTrue="1">
      <formula>C77=CléPersonnelle</formula>
    </cfRule>
    <cfRule type="expression" dxfId="13705" priority="109" stopIfTrue="1">
      <formula>C77=CléCongés</formula>
    </cfRule>
  </conditionalFormatting>
  <conditionalFormatting sqref="AH79">
    <cfRule type="dataBar" priority="110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{988D5674-ECF2-43FF-8988-1A7559642D2C}</x14:id>
        </ext>
      </extLst>
    </cfRule>
  </conditionalFormatting>
  <conditionalFormatting sqref="AI79:AL79">
    <cfRule type="expression" priority="98" stopIfTrue="1">
      <formula>AI79=""</formula>
    </cfRule>
    <cfRule type="expression" dxfId="13704" priority="99" stopIfTrue="1">
      <formula>AI79=CléPersonnalisée2</formula>
    </cfRule>
    <cfRule type="expression" dxfId="13703" priority="100" stopIfTrue="1">
      <formula>AI79=CléPersonnalisée1</formula>
    </cfRule>
    <cfRule type="expression" dxfId="13702" priority="101" stopIfTrue="1">
      <formula>AI79=CléMaladie</formula>
    </cfRule>
    <cfRule type="expression" dxfId="13701" priority="102" stopIfTrue="1">
      <formula>AI79=CléPersonnelle</formula>
    </cfRule>
    <cfRule type="expression" dxfId="13700" priority="103" stopIfTrue="1">
      <formula>AI79=CléCongés</formula>
    </cfRule>
  </conditionalFormatting>
  <conditionalFormatting sqref="AM77:AP78">
    <cfRule type="expression" priority="92" stopIfTrue="1">
      <formula>AM77=""</formula>
    </cfRule>
    <cfRule type="expression" dxfId="13699" priority="93" stopIfTrue="1">
      <formula>AM77=CléPersonnalisée2</formula>
    </cfRule>
    <cfRule type="expression" dxfId="13698" priority="94" stopIfTrue="1">
      <formula>AM77=CléPersonnalisée1</formula>
    </cfRule>
    <cfRule type="expression" dxfId="13697" priority="95" stopIfTrue="1">
      <formula>AM77=CléMaladie</formula>
    </cfRule>
    <cfRule type="expression" dxfId="13696" priority="96" stopIfTrue="1">
      <formula>AM77=CléPersonnelle</formula>
    </cfRule>
    <cfRule type="expression" dxfId="13695" priority="97" stopIfTrue="1">
      <formula>AM77=CléCongés</formula>
    </cfRule>
  </conditionalFormatting>
  <conditionalFormatting sqref="AQ77:AR78">
    <cfRule type="expression" priority="86" stopIfTrue="1">
      <formula>AQ77=""</formula>
    </cfRule>
    <cfRule type="expression" dxfId="13694" priority="87" stopIfTrue="1">
      <formula>AQ77=CléPersonnalisée2</formula>
    </cfRule>
    <cfRule type="expression" dxfId="13693" priority="88" stopIfTrue="1">
      <formula>AQ77=CléPersonnalisée1</formula>
    </cfRule>
    <cfRule type="expression" dxfId="13692" priority="89" stopIfTrue="1">
      <formula>AQ77=CléMaladie</formula>
    </cfRule>
    <cfRule type="expression" dxfId="13691" priority="90" stopIfTrue="1">
      <formula>AQ77=CléPersonnelle</formula>
    </cfRule>
    <cfRule type="expression" dxfId="13690" priority="91" stopIfTrue="1">
      <formula>AQ77=CléCongés</formula>
    </cfRule>
  </conditionalFormatting>
  <conditionalFormatting sqref="AM79 AP79">
    <cfRule type="expression" priority="80" stopIfTrue="1">
      <formula>AM79=""</formula>
    </cfRule>
    <cfRule type="expression" dxfId="13689" priority="81" stopIfTrue="1">
      <formula>AM79=CléPersonnalisée2</formula>
    </cfRule>
    <cfRule type="expression" dxfId="13688" priority="82" stopIfTrue="1">
      <formula>AM79=CléPersonnalisée1</formula>
    </cfRule>
    <cfRule type="expression" dxfId="13687" priority="83" stopIfTrue="1">
      <formula>AM79=CléMaladie</formula>
    </cfRule>
    <cfRule type="expression" dxfId="13686" priority="84" stopIfTrue="1">
      <formula>AM79=CléPersonnelle</formula>
    </cfRule>
    <cfRule type="expression" dxfId="13685" priority="85" stopIfTrue="1">
      <formula>AM79=CléCongés</formula>
    </cfRule>
  </conditionalFormatting>
  <conditionalFormatting sqref="AH77:AH78">
    <cfRule type="dataBar" priority="79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{5132E2B7-93AA-4EA5-9FD1-A4F7491EE724}</x14:id>
        </ext>
      </extLst>
    </cfRule>
  </conditionalFormatting>
  <conditionalFormatting sqref="AR79">
    <cfRule type="expression" priority="73" stopIfTrue="1">
      <formula>AR79=""</formula>
    </cfRule>
    <cfRule type="expression" dxfId="13684" priority="74" stopIfTrue="1">
      <formula>AR79=CléPersonnalisée2</formula>
    </cfRule>
    <cfRule type="expression" dxfId="13683" priority="75" stopIfTrue="1">
      <formula>AR79=CléPersonnalisée1</formula>
    </cfRule>
    <cfRule type="expression" dxfId="13682" priority="76" stopIfTrue="1">
      <formula>AR79=CléMaladie</formula>
    </cfRule>
    <cfRule type="expression" dxfId="13681" priority="77" stopIfTrue="1">
      <formula>AR79=CléPersonnelle</formula>
    </cfRule>
    <cfRule type="expression" dxfId="13680" priority="78" stopIfTrue="1">
      <formula>AR79=CléCongés</formula>
    </cfRule>
  </conditionalFormatting>
  <conditionalFormatting sqref="AN79">
    <cfRule type="expression" priority="67" stopIfTrue="1">
      <formula>AN79=""</formula>
    </cfRule>
    <cfRule type="expression" dxfId="13679" priority="68" stopIfTrue="1">
      <formula>AN79=CléPersonnalisée2</formula>
    </cfRule>
    <cfRule type="expression" dxfId="13678" priority="69" stopIfTrue="1">
      <formula>AN79=CléPersonnalisée1</formula>
    </cfRule>
    <cfRule type="expression" dxfId="13677" priority="70" stopIfTrue="1">
      <formula>AN79=CléMaladie</formula>
    </cfRule>
    <cfRule type="expression" dxfId="13676" priority="71" stopIfTrue="1">
      <formula>AN79=CléPersonnelle</formula>
    </cfRule>
    <cfRule type="expression" dxfId="13675" priority="72" stopIfTrue="1">
      <formula>AN79=CléCongés</formula>
    </cfRule>
  </conditionalFormatting>
  <conditionalFormatting sqref="AQ79">
    <cfRule type="expression" priority="61" stopIfTrue="1">
      <formula>AQ79=""</formula>
    </cfRule>
    <cfRule type="expression" dxfId="13674" priority="62" stopIfTrue="1">
      <formula>AQ79=CléPersonnalisée2</formula>
    </cfRule>
    <cfRule type="expression" dxfId="13673" priority="63" stopIfTrue="1">
      <formula>AQ79=CléPersonnalisée1</formula>
    </cfRule>
    <cfRule type="expression" dxfId="13672" priority="64" stopIfTrue="1">
      <formula>AQ79=CléMaladie</formula>
    </cfRule>
    <cfRule type="expression" dxfId="13671" priority="65" stopIfTrue="1">
      <formula>AQ79=CléPersonnelle</formula>
    </cfRule>
    <cfRule type="expression" dxfId="13670" priority="66" stopIfTrue="1">
      <formula>AQ79=CléCongés</formula>
    </cfRule>
  </conditionalFormatting>
  <conditionalFormatting sqref="AI77:AL78">
    <cfRule type="expression" priority="55" stopIfTrue="1">
      <formula>AI77=""</formula>
    </cfRule>
    <cfRule type="expression" dxfId="13669" priority="56" stopIfTrue="1">
      <formula>AI77=CléPersonnalisée2</formula>
    </cfRule>
    <cfRule type="expression" dxfId="13668" priority="57" stopIfTrue="1">
      <formula>AI77=CléPersonnalisée1</formula>
    </cfRule>
    <cfRule type="expression" dxfId="13667" priority="58" stopIfTrue="1">
      <formula>AI77=CléMaladie</formula>
    </cfRule>
    <cfRule type="expression" dxfId="13666" priority="59" stopIfTrue="1">
      <formula>AI77=CléPersonnelle</formula>
    </cfRule>
    <cfRule type="expression" dxfId="13665" priority="60" stopIfTrue="1">
      <formula>AI77=CléCongés</formula>
    </cfRule>
  </conditionalFormatting>
  <conditionalFormatting sqref="AO79">
    <cfRule type="expression" priority="49" stopIfTrue="1">
      <formula>AO79=""</formula>
    </cfRule>
    <cfRule type="expression" dxfId="13664" priority="50" stopIfTrue="1">
      <formula>AO79=CléPersonnalisée2</formula>
    </cfRule>
    <cfRule type="expression" dxfId="13663" priority="51" stopIfTrue="1">
      <formula>AO79=CléPersonnalisée1</formula>
    </cfRule>
    <cfRule type="expression" dxfId="13662" priority="52" stopIfTrue="1">
      <formula>AO79=CléMaladie</formula>
    </cfRule>
    <cfRule type="expression" dxfId="13661" priority="53" stopIfTrue="1">
      <formula>AO79=CléPersonnelle</formula>
    </cfRule>
    <cfRule type="expression" dxfId="13660" priority="54" stopIfTrue="1">
      <formula>AO79=CléCongés</formula>
    </cfRule>
  </conditionalFormatting>
  <conditionalFormatting sqref="AM95">
    <cfRule type="expression" priority="43" stopIfTrue="1">
      <formula>AM95=""</formula>
    </cfRule>
    <cfRule type="expression" dxfId="13659" priority="44" stopIfTrue="1">
      <formula>AM95=CléPersonnalisée2</formula>
    </cfRule>
    <cfRule type="expression" dxfId="13658" priority="45" stopIfTrue="1">
      <formula>AM95=CléPersonnalisée1</formula>
    </cfRule>
    <cfRule type="expression" dxfId="13657" priority="46" stopIfTrue="1">
      <formula>AM95=CléMaladie</formula>
    </cfRule>
    <cfRule type="expression" dxfId="13656" priority="47" stopIfTrue="1">
      <formula>AM95=CléPersonnelle</formula>
    </cfRule>
    <cfRule type="expression" dxfId="13655" priority="48" stopIfTrue="1">
      <formula>AM95=CléCongés</formula>
    </cfRule>
  </conditionalFormatting>
  <conditionalFormatting sqref="AM97:AP98">
    <cfRule type="expression" priority="37" stopIfTrue="1">
      <formula>AM97=""</formula>
    </cfRule>
    <cfRule type="expression" dxfId="13654" priority="38" stopIfTrue="1">
      <formula>AM97=CléPersonnalisée2</formula>
    </cfRule>
    <cfRule type="expression" dxfId="13653" priority="39" stopIfTrue="1">
      <formula>AM97=CléPersonnalisée1</formula>
    </cfRule>
    <cfRule type="expression" dxfId="13652" priority="40" stopIfTrue="1">
      <formula>AM97=CléMaladie</formula>
    </cfRule>
    <cfRule type="expression" dxfId="13651" priority="41" stopIfTrue="1">
      <formula>AM97=CléPersonnelle</formula>
    </cfRule>
    <cfRule type="expression" dxfId="13650" priority="42" stopIfTrue="1">
      <formula>AM97=CléCongés</formula>
    </cfRule>
  </conditionalFormatting>
  <conditionalFormatting sqref="AQ97:AR98">
    <cfRule type="expression" priority="31" stopIfTrue="1">
      <formula>AQ97=""</formula>
    </cfRule>
    <cfRule type="expression" dxfId="13649" priority="32" stopIfTrue="1">
      <formula>AQ97=CléPersonnalisée2</formula>
    </cfRule>
    <cfRule type="expression" dxfId="13648" priority="33" stopIfTrue="1">
      <formula>AQ97=CléPersonnalisée1</formula>
    </cfRule>
    <cfRule type="expression" dxfId="13647" priority="34" stopIfTrue="1">
      <formula>AQ97=CléMaladie</formula>
    </cfRule>
    <cfRule type="expression" dxfId="13646" priority="35" stopIfTrue="1">
      <formula>AQ97=CléPersonnelle</formula>
    </cfRule>
    <cfRule type="expression" dxfId="13645" priority="36" stopIfTrue="1">
      <formula>AQ97=CléCongés</formula>
    </cfRule>
  </conditionalFormatting>
  <conditionalFormatting sqref="AM101:AP102">
    <cfRule type="expression" priority="25" stopIfTrue="1">
      <formula>AM101=""</formula>
    </cfRule>
    <cfRule type="expression" dxfId="13644" priority="26" stopIfTrue="1">
      <formula>AM101=CléPersonnalisée2</formula>
    </cfRule>
    <cfRule type="expression" dxfId="13643" priority="27" stopIfTrue="1">
      <formula>AM101=CléPersonnalisée1</formula>
    </cfRule>
    <cfRule type="expression" dxfId="13642" priority="28" stopIfTrue="1">
      <formula>AM101=CléMaladie</formula>
    </cfRule>
    <cfRule type="expression" dxfId="13641" priority="29" stopIfTrue="1">
      <formula>AM101=CléPersonnelle</formula>
    </cfRule>
    <cfRule type="expression" dxfId="13640" priority="30" stopIfTrue="1">
      <formula>AM101=CléCongés</formula>
    </cfRule>
  </conditionalFormatting>
  <conditionalFormatting sqref="AQ101:AR102">
    <cfRule type="expression" priority="19" stopIfTrue="1">
      <formula>AQ101=""</formula>
    </cfRule>
    <cfRule type="expression" dxfId="13639" priority="20" stopIfTrue="1">
      <formula>AQ101=CléPersonnalisée2</formula>
    </cfRule>
    <cfRule type="expression" dxfId="13638" priority="21" stopIfTrue="1">
      <formula>AQ101=CléPersonnalisée1</formula>
    </cfRule>
    <cfRule type="expression" dxfId="13637" priority="22" stopIfTrue="1">
      <formula>AQ101=CléMaladie</formula>
    </cfRule>
    <cfRule type="expression" dxfId="13636" priority="23" stopIfTrue="1">
      <formula>AQ101=CléPersonnelle</formula>
    </cfRule>
    <cfRule type="expression" dxfId="13635" priority="24" stopIfTrue="1">
      <formula>AQ101=CléCongés</formula>
    </cfRule>
  </conditionalFormatting>
  <conditionalFormatting sqref="AS13 AS17 AS21 AS25 AS29 AS33 AS37 AS41 AS45 AS49 AS53 AS57 AS61 AS65 AS69 AS73 AS77 AS81 AS85 AS89 AS93 AS97 AS101 AS105 AS109 AS113 AS117 AS121">
    <cfRule type="expression" priority="13" stopIfTrue="1">
      <formula>AS13=""</formula>
    </cfRule>
    <cfRule type="expression" dxfId="24" priority="14" stopIfTrue="1">
      <formula>AS13=CléPersonnalisée2</formula>
    </cfRule>
    <cfRule type="expression" dxfId="23" priority="15" stopIfTrue="1">
      <formula>AS13=CléPersonnalisée1</formula>
    </cfRule>
    <cfRule type="expression" dxfId="22" priority="16" stopIfTrue="1">
      <formula>AS13=CléMaladie</formula>
    </cfRule>
    <cfRule type="expression" dxfId="21" priority="17" stopIfTrue="1">
      <formula>AS13=CléPersonnelle</formula>
    </cfRule>
    <cfRule type="expression" dxfId="20" priority="18" stopIfTrue="1">
      <formula>AS13=CléCongés</formula>
    </cfRule>
  </conditionalFormatting>
  <conditionalFormatting sqref="AS9">
    <cfRule type="expression" priority="7" stopIfTrue="1">
      <formula>AS9=""</formula>
    </cfRule>
    <cfRule type="expression" dxfId="19" priority="8" stopIfTrue="1">
      <formula>AS9=CléPersonnalisée2</formula>
    </cfRule>
    <cfRule type="expression" dxfId="18" priority="9" stopIfTrue="1">
      <formula>AS9=CléPersonnalisée1</formula>
    </cfRule>
    <cfRule type="expression" dxfId="17" priority="10" stopIfTrue="1">
      <formula>AS9=CléMaladie</formula>
    </cfRule>
    <cfRule type="expression" dxfId="16" priority="11" stopIfTrue="1">
      <formula>AS9=CléPersonnelle</formula>
    </cfRule>
    <cfRule type="expression" dxfId="15" priority="12" stopIfTrue="1">
      <formula>AS9=CléCongés</formula>
    </cfRule>
  </conditionalFormatting>
  <conditionalFormatting sqref="AS5">
    <cfRule type="expression" priority="1" stopIfTrue="1">
      <formula>AS5=""</formula>
    </cfRule>
    <cfRule type="expression" dxfId="14" priority="2" stopIfTrue="1">
      <formula>AS5=CléPersonnalisée2</formula>
    </cfRule>
    <cfRule type="expression" dxfId="13" priority="3" stopIfTrue="1">
      <formula>AS5=CléPersonnalisée1</formula>
    </cfRule>
    <cfRule type="expression" dxfId="12" priority="4" stopIfTrue="1">
      <formula>AS5=CléMaladie</formula>
    </cfRule>
    <cfRule type="expression" dxfId="11" priority="5" stopIfTrue="1">
      <formula>AS5=CléPersonnelle</formula>
    </cfRule>
    <cfRule type="expression" dxfId="10" priority="6" stopIfTrue="1">
      <formula>AS5=CléCongés</formula>
    </cfRule>
  </conditionalFormatting>
  <printOptions horizontalCentered="1"/>
  <pageMargins left="0.25" right="0.25" top="0.75" bottom="0.75" header="0.3" footer="0.3"/>
  <pageSetup scale="56" fitToHeight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7233F45-7BCF-42DE-8A40-AB5FC28A827B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AH9:AH11 AH5:AH6</xm:sqref>
        </x14:conditionalFormatting>
        <x14:conditionalFormatting xmlns:xm="http://schemas.microsoft.com/office/excel/2006/main">
          <x14:cfRule type="dataBar" id="{F2B0700A-EA4F-4756-8DF7-23F26943B9FA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AH27</xm:sqref>
        </x14:conditionalFormatting>
        <x14:conditionalFormatting xmlns:xm="http://schemas.microsoft.com/office/excel/2006/main">
          <x14:cfRule type="dataBar" id="{75282701-9630-4C7F-A760-665A4FE84C45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AH31</xm:sqref>
        </x14:conditionalFormatting>
        <x14:conditionalFormatting xmlns:xm="http://schemas.microsoft.com/office/excel/2006/main">
          <x14:cfRule type="dataBar" id="{0DB6543A-FEFE-45F8-8344-EE9A842D14E8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AH35</xm:sqref>
        </x14:conditionalFormatting>
        <x14:conditionalFormatting xmlns:xm="http://schemas.microsoft.com/office/excel/2006/main">
          <x14:cfRule type="dataBar" id="{38C8DF1A-2827-44E7-AA80-04F840A39A56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AH39</xm:sqref>
        </x14:conditionalFormatting>
        <x14:conditionalFormatting xmlns:xm="http://schemas.microsoft.com/office/excel/2006/main">
          <x14:cfRule type="dataBar" id="{85119286-66A2-47F0-BFF5-3E0B9343DB33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AH43</xm:sqref>
        </x14:conditionalFormatting>
        <x14:conditionalFormatting xmlns:xm="http://schemas.microsoft.com/office/excel/2006/main">
          <x14:cfRule type="dataBar" id="{3BD9BEF9-85D4-4D14-9460-382A8F5BA582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AH47</xm:sqref>
        </x14:conditionalFormatting>
        <x14:conditionalFormatting xmlns:xm="http://schemas.microsoft.com/office/excel/2006/main">
          <x14:cfRule type="dataBar" id="{D5B74B71-E980-4AC6-9E11-E65619CF5B45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AH51</xm:sqref>
        </x14:conditionalFormatting>
        <x14:conditionalFormatting xmlns:xm="http://schemas.microsoft.com/office/excel/2006/main">
          <x14:cfRule type="dataBar" id="{857423BF-9541-47B9-BBCE-8AB275B532C5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AH55</xm:sqref>
        </x14:conditionalFormatting>
        <x14:conditionalFormatting xmlns:xm="http://schemas.microsoft.com/office/excel/2006/main">
          <x14:cfRule type="dataBar" id="{7BA1D6E6-DAA8-427E-B1EA-EDCDE746FFC0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AH63</xm:sqref>
        </x14:conditionalFormatting>
        <x14:conditionalFormatting xmlns:xm="http://schemas.microsoft.com/office/excel/2006/main">
          <x14:cfRule type="dataBar" id="{7739D0EB-5EF7-47CE-ADC4-C1BFDE4C8E98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AH71</xm:sqref>
        </x14:conditionalFormatting>
        <x14:conditionalFormatting xmlns:xm="http://schemas.microsoft.com/office/excel/2006/main">
          <x14:cfRule type="dataBar" id="{E76646CC-BC04-41E5-9C47-A6FDC78C8961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AH19</xm:sqref>
        </x14:conditionalFormatting>
        <x14:conditionalFormatting xmlns:xm="http://schemas.microsoft.com/office/excel/2006/main">
          <x14:cfRule type="dataBar" id="{E9FB6F89-EE25-4B09-9E00-EA0B1F09BF2D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AH23</xm:sqref>
        </x14:conditionalFormatting>
        <x14:conditionalFormatting xmlns:xm="http://schemas.microsoft.com/office/excel/2006/main">
          <x14:cfRule type="dataBar" id="{80F38043-92A0-48EF-99F4-254B01830C03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AH17:AH18</xm:sqref>
        </x14:conditionalFormatting>
        <x14:conditionalFormatting xmlns:xm="http://schemas.microsoft.com/office/excel/2006/main">
          <x14:cfRule type="dataBar" id="{34B7842C-D160-4C91-80DD-22F2B4775550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AH21:AH22</xm:sqref>
        </x14:conditionalFormatting>
        <x14:conditionalFormatting xmlns:xm="http://schemas.microsoft.com/office/excel/2006/main">
          <x14:cfRule type="dataBar" id="{5C1E8A29-05C7-4058-907E-9C765B88DC02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AH25:AH26</xm:sqref>
        </x14:conditionalFormatting>
        <x14:conditionalFormatting xmlns:xm="http://schemas.microsoft.com/office/excel/2006/main">
          <x14:cfRule type="dataBar" id="{898C0E8A-E114-4DB8-948C-2B7AC223BA0C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AH29:AH30</xm:sqref>
        </x14:conditionalFormatting>
        <x14:conditionalFormatting xmlns:xm="http://schemas.microsoft.com/office/excel/2006/main">
          <x14:cfRule type="dataBar" id="{97B93701-3519-4E89-942F-532B59D44CC2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AH33:AH34</xm:sqref>
        </x14:conditionalFormatting>
        <x14:conditionalFormatting xmlns:xm="http://schemas.microsoft.com/office/excel/2006/main">
          <x14:cfRule type="dataBar" id="{F598BC19-CE1C-42E0-B7AE-B49237F94F09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AH37:AH38</xm:sqref>
        </x14:conditionalFormatting>
        <x14:conditionalFormatting xmlns:xm="http://schemas.microsoft.com/office/excel/2006/main">
          <x14:cfRule type="dataBar" id="{77B43AE4-E4DC-43FD-9B5C-96C7EF5C4AF0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AH41:AH42</xm:sqref>
        </x14:conditionalFormatting>
        <x14:conditionalFormatting xmlns:xm="http://schemas.microsoft.com/office/excel/2006/main">
          <x14:cfRule type="dataBar" id="{34CA6226-F737-4486-91E1-7BC3DBA1D3E4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AH45:AH46</xm:sqref>
        </x14:conditionalFormatting>
        <x14:conditionalFormatting xmlns:xm="http://schemas.microsoft.com/office/excel/2006/main">
          <x14:cfRule type="dataBar" id="{0D20C32F-3333-4A73-B609-19D7CECA8C2C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AH49:AH50</xm:sqref>
        </x14:conditionalFormatting>
        <x14:conditionalFormatting xmlns:xm="http://schemas.microsoft.com/office/excel/2006/main">
          <x14:cfRule type="dataBar" id="{DBBDC27E-26B3-4973-A9ED-1A9B281C09BD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AH53:AH54</xm:sqref>
        </x14:conditionalFormatting>
        <x14:conditionalFormatting xmlns:xm="http://schemas.microsoft.com/office/excel/2006/main">
          <x14:cfRule type="dataBar" id="{4DCC89D0-797C-4E37-96A7-7B02AB509458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AH61:AH62</xm:sqref>
        </x14:conditionalFormatting>
        <x14:conditionalFormatting xmlns:xm="http://schemas.microsoft.com/office/excel/2006/main">
          <x14:cfRule type="dataBar" id="{144A1A42-04E4-4794-953F-386AEAF16E04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AH69:AH70</xm:sqref>
        </x14:conditionalFormatting>
        <x14:conditionalFormatting xmlns:xm="http://schemas.microsoft.com/office/excel/2006/main">
          <x14:cfRule type="dataBar" id="{335039EA-FFFE-4579-B800-79D580E82F9B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AH7</xm:sqref>
        </x14:conditionalFormatting>
        <x14:conditionalFormatting xmlns:xm="http://schemas.microsoft.com/office/excel/2006/main">
          <x14:cfRule type="dataBar" id="{99587816-3806-4C76-97F0-D5F7AF0D0AEC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AH67</xm:sqref>
        </x14:conditionalFormatting>
        <x14:conditionalFormatting xmlns:xm="http://schemas.microsoft.com/office/excel/2006/main">
          <x14:cfRule type="dataBar" id="{00633E48-59E6-465D-A571-F989A3872A25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AH65:AH66</xm:sqref>
        </x14:conditionalFormatting>
        <x14:conditionalFormatting xmlns:xm="http://schemas.microsoft.com/office/excel/2006/main">
          <x14:cfRule type="dataBar" id="{8F772B59-8BA0-46A9-B69A-6F7A0CC5463D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AH75</xm:sqref>
        </x14:conditionalFormatting>
        <x14:conditionalFormatting xmlns:xm="http://schemas.microsoft.com/office/excel/2006/main">
          <x14:cfRule type="dataBar" id="{E94176C1-FA41-4723-831A-45E4F43B6423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AH73:AH74</xm:sqref>
        </x14:conditionalFormatting>
        <x14:conditionalFormatting xmlns:xm="http://schemas.microsoft.com/office/excel/2006/main">
          <x14:cfRule type="dataBar" id="{08B152B3-44BD-4D65-956C-D8CBD1848D47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AH83</xm:sqref>
        </x14:conditionalFormatting>
        <x14:conditionalFormatting xmlns:xm="http://schemas.microsoft.com/office/excel/2006/main">
          <x14:cfRule type="dataBar" id="{AD9BA1E0-0F7C-4C5D-BB25-A092B835D6E4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AH81:AH82</xm:sqref>
        </x14:conditionalFormatting>
        <x14:conditionalFormatting xmlns:xm="http://schemas.microsoft.com/office/excel/2006/main">
          <x14:cfRule type="dataBar" id="{A5C4B7D7-BD16-4854-B56A-FC432F97F111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AH87</xm:sqref>
        </x14:conditionalFormatting>
        <x14:conditionalFormatting xmlns:xm="http://schemas.microsoft.com/office/excel/2006/main">
          <x14:cfRule type="dataBar" id="{28134BC8-659D-4EA6-AD01-A5BE719824BE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AH85:AH86</xm:sqref>
        </x14:conditionalFormatting>
        <x14:conditionalFormatting xmlns:xm="http://schemas.microsoft.com/office/excel/2006/main">
          <x14:cfRule type="dataBar" id="{34071EFD-5424-4001-AA9E-BAC89662033F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AH91</xm:sqref>
        </x14:conditionalFormatting>
        <x14:conditionalFormatting xmlns:xm="http://schemas.microsoft.com/office/excel/2006/main">
          <x14:cfRule type="dataBar" id="{682216FD-A7D4-4FD5-A107-5A696D3AFDE1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AH89:AH90</xm:sqref>
        </x14:conditionalFormatting>
        <x14:conditionalFormatting xmlns:xm="http://schemas.microsoft.com/office/excel/2006/main">
          <x14:cfRule type="dataBar" id="{5C8F63A6-A70A-4800-9943-67CA1EC2E136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AH101:AH103 AH95 AH97:AH99</xm:sqref>
        </x14:conditionalFormatting>
        <x14:conditionalFormatting xmlns:xm="http://schemas.microsoft.com/office/excel/2006/main">
          <x14:cfRule type="dataBar" id="{387F1A66-DC66-4F4B-A17D-B524A7F50B55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AH93:AH94</xm:sqref>
        </x14:conditionalFormatting>
        <x14:conditionalFormatting xmlns:xm="http://schemas.microsoft.com/office/excel/2006/main">
          <x14:cfRule type="dataBar" id="{8EE222F3-D415-472B-A102-EF1A69CD05CB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AH111</xm:sqref>
        </x14:conditionalFormatting>
        <x14:conditionalFormatting xmlns:xm="http://schemas.microsoft.com/office/excel/2006/main">
          <x14:cfRule type="dataBar" id="{2F90FB77-E276-4965-950F-FDB023543BB3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AH109:AH110</xm:sqref>
        </x14:conditionalFormatting>
        <x14:conditionalFormatting xmlns:xm="http://schemas.microsoft.com/office/excel/2006/main">
          <x14:cfRule type="dataBar" id="{62D3805D-81C4-4403-B786-661E72B1EF2D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AH123</xm:sqref>
        </x14:conditionalFormatting>
        <x14:conditionalFormatting xmlns:xm="http://schemas.microsoft.com/office/excel/2006/main">
          <x14:cfRule type="dataBar" id="{78509D13-5159-41B1-A2AD-D614AC067B22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AH121:AH122</xm:sqref>
        </x14:conditionalFormatting>
        <x14:conditionalFormatting xmlns:xm="http://schemas.microsoft.com/office/excel/2006/main">
          <x14:cfRule type="dataBar" id="{F97CE21C-A813-47F9-9977-62BD4632D879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AH115</xm:sqref>
        </x14:conditionalFormatting>
        <x14:conditionalFormatting xmlns:xm="http://schemas.microsoft.com/office/excel/2006/main">
          <x14:cfRule type="dataBar" id="{09419AB3-23E6-4F45-B7EF-07A793CDDE47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AH113:AH114</xm:sqref>
        </x14:conditionalFormatting>
        <x14:conditionalFormatting xmlns:xm="http://schemas.microsoft.com/office/excel/2006/main">
          <x14:cfRule type="dataBar" id="{91C9FB7B-2F0F-437B-9D41-AF1CF685F58C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AH15</xm:sqref>
        </x14:conditionalFormatting>
        <x14:conditionalFormatting xmlns:xm="http://schemas.microsoft.com/office/excel/2006/main">
          <x14:cfRule type="dataBar" id="{D4394437-960A-479D-ADA0-1BCAECB8A78A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AH13:AH14</xm:sqref>
        </x14:conditionalFormatting>
        <x14:conditionalFormatting xmlns:xm="http://schemas.microsoft.com/office/excel/2006/main">
          <x14:cfRule type="dataBar" id="{591D8C46-5E84-4A8F-9759-39C9B4557A60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AH119</xm:sqref>
        </x14:conditionalFormatting>
        <x14:conditionalFormatting xmlns:xm="http://schemas.microsoft.com/office/excel/2006/main">
          <x14:cfRule type="dataBar" id="{232844FA-5269-4B59-B6EC-8DEC67182BC4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AH117:AH118</xm:sqref>
        </x14:conditionalFormatting>
        <x14:conditionalFormatting xmlns:xm="http://schemas.microsoft.com/office/excel/2006/main">
          <x14:cfRule type="dataBar" id="{37FD967D-32D1-436B-8C49-E5A1AFB1B778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AH107</xm:sqref>
        </x14:conditionalFormatting>
        <x14:conditionalFormatting xmlns:xm="http://schemas.microsoft.com/office/excel/2006/main">
          <x14:cfRule type="dataBar" id="{C169696E-1A30-42DD-AA02-CB191783F1A7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AH105:AH106</xm:sqref>
        </x14:conditionalFormatting>
        <x14:conditionalFormatting xmlns:xm="http://schemas.microsoft.com/office/excel/2006/main">
          <x14:cfRule type="dataBar" id="{B999E63F-751A-4422-AD53-3168E91F70DD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AH59</xm:sqref>
        </x14:conditionalFormatting>
        <x14:conditionalFormatting xmlns:xm="http://schemas.microsoft.com/office/excel/2006/main">
          <x14:cfRule type="dataBar" id="{B383F977-43EB-4BBD-A63B-C61D42B89724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AH57:AH58</xm:sqref>
        </x14:conditionalFormatting>
        <x14:conditionalFormatting xmlns:xm="http://schemas.microsoft.com/office/excel/2006/main">
          <x14:cfRule type="dataBar" id="{988D5674-ECF2-43FF-8988-1A7559642D2C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AH79</xm:sqref>
        </x14:conditionalFormatting>
        <x14:conditionalFormatting xmlns:xm="http://schemas.microsoft.com/office/excel/2006/main">
          <x14:cfRule type="dataBar" id="{5132E2B7-93AA-4EA5-9FD1-A4F7491EE724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AH77:AH78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2" tint="-0.89999084444715716"/>
    <pageSetUpPr fitToPage="1"/>
  </sheetPr>
  <dimension ref="A1:AS1514"/>
  <sheetViews>
    <sheetView showGridLines="0" topLeftCell="L4" zoomScale="98" zoomScaleNormal="98" workbookViewId="0">
      <selection activeCell="AS7" sqref="AS7"/>
    </sheetView>
  </sheetViews>
  <sheetFormatPr baseColWidth="10" defaultColWidth="9.140625" defaultRowHeight="15" customHeight="1" x14ac:dyDescent="0.25"/>
  <cols>
    <col min="1" max="1" width="24.28515625" style="96" customWidth="1"/>
    <col min="2" max="2" width="6" style="96" customWidth="1"/>
    <col min="3" max="22" width="4" style="93" customWidth="1"/>
    <col min="23" max="23" width="4.42578125" style="93" customWidth="1"/>
    <col min="24" max="26" width="4" style="93" customWidth="1"/>
    <col min="27" max="27" width="4.42578125" style="93" customWidth="1"/>
    <col min="28" max="28" width="4.42578125" style="93" bestFit="1" customWidth="1"/>
    <col min="29" max="32" width="4" style="93" customWidth="1"/>
    <col min="33" max="33" width="4.42578125" style="93" bestFit="1" customWidth="1"/>
    <col min="34" max="34" width="10.7109375" style="94" customWidth="1"/>
    <col min="35" max="35" width="5.5703125" style="93" customWidth="1"/>
    <col min="36" max="36" width="5" style="75" customWidth="1"/>
    <col min="37" max="37" width="4.7109375" style="75" customWidth="1"/>
    <col min="38" max="38" width="4.5703125" style="75" customWidth="1"/>
    <col min="39" max="39" width="7" style="75" customWidth="1"/>
    <col min="40" max="41" width="8.85546875" style="75" customWidth="1"/>
    <col min="42" max="42" width="6.140625" style="75" customWidth="1"/>
    <col min="43" max="43" width="6" style="75" customWidth="1"/>
    <col min="44" max="44" width="7.140625" style="75" customWidth="1"/>
    <col min="45" max="45" width="13.140625" style="75" customWidth="1"/>
    <col min="46" max="16384" width="9.140625" style="75"/>
  </cols>
  <sheetData>
    <row r="1" spans="1:45" s="8" customFormat="1" ht="50.25" customHeight="1" thickBot="1" x14ac:dyDescent="0.3">
      <c r="A1" s="1" t="s">
        <v>0</v>
      </c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3"/>
      <c r="AE1" s="3"/>
      <c r="AF1" s="4"/>
      <c r="AG1" s="5"/>
      <c r="AH1" s="5"/>
      <c r="AI1" s="6"/>
      <c r="AJ1" s="7"/>
      <c r="AK1" s="7"/>
      <c r="AL1" s="7"/>
      <c r="AM1" s="7"/>
      <c r="AN1" s="7"/>
      <c r="AO1" s="7"/>
      <c r="AP1" s="7"/>
      <c r="AQ1" s="7"/>
      <c r="AR1" s="7"/>
    </row>
    <row r="2" spans="1:45" s="18" customFormat="1" ht="30" customHeight="1" x14ac:dyDescent="0.25">
      <c r="A2" s="97">
        <v>43008</v>
      </c>
      <c r="B2" s="10"/>
      <c r="C2" s="11" t="s">
        <v>1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2">
        <v>2017</v>
      </c>
      <c r="AI2" s="13" t="s">
        <v>2</v>
      </c>
      <c r="AJ2" s="14"/>
      <c r="AK2" s="14"/>
      <c r="AL2" s="15"/>
      <c r="AM2" s="13" t="s">
        <v>3</v>
      </c>
      <c r="AN2" s="14"/>
      <c r="AO2" s="14"/>
      <c r="AP2" s="15"/>
      <c r="AQ2" s="16" t="s">
        <v>4</v>
      </c>
      <c r="AR2" s="17"/>
    </row>
    <row r="3" spans="1:45" s="27" customFormat="1" ht="15.75" customHeight="1" thickBot="1" x14ac:dyDescent="0.35">
      <c r="A3" s="98">
        <v>42979</v>
      </c>
      <c r="B3" s="10"/>
      <c r="C3" s="20" t="str">
        <f>TEXT(WEEKDAY(DATE(CalendrierAnnée,9,1),1),"jjj")</f>
        <v>ven</v>
      </c>
      <c r="D3" s="20" t="str">
        <f>TEXT(WEEKDAY(DATE(CalendrierAnnée,9,2),1),"jjj")</f>
        <v>sam</v>
      </c>
      <c r="E3" s="21" t="str">
        <f>TEXT(WEEKDAY(DATE(CalendrierAnnée,9,3),1),"jjj")</f>
        <v>dim</v>
      </c>
      <c r="F3" s="21" t="str">
        <f>TEXT(WEEKDAY(DATE(CalendrierAnnée,9,4),1),"jjj")</f>
        <v>lun</v>
      </c>
      <c r="G3" s="21" t="str">
        <f>TEXT(WEEKDAY(DATE(CalendrierAnnée,9,5),1),"jjj")</f>
        <v>mar</v>
      </c>
      <c r="H3" s="21" t="str">
        <f>TEXT(WEEKDAY(DATE(CalendrierAnnée,9,6),1),"jjj")</f>
        <v>mer</v>
      </c>
      <c r="I3" s="21" t="str">
        <f>TEXT(WEEKDAY(DATE(CalendrierAnnée,9,7),1),"jjj")</f>
        <v>jeu</v>
      </c>
      <c r="J3" s="21" t="str">
        <f>TEXT(WEEKDAY(DATE(CalendrierAnnée,9,8),1),"jjj")</f>
        <v>ven</v>
      </c>
      <c r="K3" s="21" t="str">
        <f>TEXT(WEEKDAY(DATE(CalendrierAnnée,9,9),1),"jjj")</f>
        <v>sam</v>
      </c>
      <c r="L3" s="21" t="str">
        <f>TEXT(WEEKDAY(DATE(CalendrierAnnée,9,10),1),"jjj")</f>
        <v>dim</v>
      </c>
      <c r="M3" s="21" t="str">
        <f>TEXT(WEEKDAY(DATE(CalendrierAnnée,9,11),1),"jjj")</f>
        <v>lun</v>
      </c>
      <c r="N3" s="21" t="str">
        <f>TEXT(WEEKDAY(DATE(CalendrierAnnée,9,12),1),"jjj")</f>
        <v>mar</v>
      </c>
      <c r="O3" s="21" t="str">
        <f>TEXT(WEEKDAY(DATE(CalendrierAnnée,9,13),1),"jjj")</f>
        <v>mer</v>
      </c>
      <c r="P3" s="21" t="str">
        <f>TEXT(WEEKDAY(DATE(CalendrierAnnée,9,14),1),"jjj")</f>
        <v>jeu</v>
      </c>
      <c r="Q3" s="21" t="str">
        <f>TEXT(WEEKDAY(DATE(CalendrierAnnée,9,15),1),"jjj")</f>
        <v>ven</v>
      </c>
      <c r="R3" s="21" t="str">
        <f>TEXT(WEEKDAY(DATE(CalendrierAnnée,9,16),1),"jjj")</f>
        <v>sam</v>
      </c>
      <c r="S3" s="21" t="str">
        <f>TEXT(WEEKDAY(DATE(CalendrierAnnée,9,17),1),"jjj")</f>
        <v>dim</v>
      </c>
      <c r="T3" s="21" t="str">
        <f>TEXT(WEEKDAY(DATE(CalendrierAnnée,9,18),1),"jjj")</f>
        <v>lun</v>
      </c>
      <c r="U3" s="21" t="str">
        <f>TEXT(WEEKDAY(DATE(CalendrierAnnée,9,19),1),"jjj")</f>
        <v>mar</v>
      </c>
      <c r="V3" s="21" t="str">
        <f>TEXT(WEEKDAY(DATE(CalendrierAnnée,9,20),1),"jjj")</f>
        <v>mer</v>
      </c>
      <c r="W3" s="21" t="str">
        <f>TEXT(WEEKDAY(DATE(CalendrierAnnée,9,21),1),"jjj")</f>
        <v>jeu</v>
      </c>
      <c r="X3" s="21" t="str">
        <f>TEXT(WEEKDAY(DATE(CalendrierAnnée,9,22),1),"jjj")</f>
        <v>ven</v>
      </c>
      <c r="Y3" s="21" t="str">
        <f>TEXT(WEEKDAY(DATE(CalendrierAnnée,9,23),1),"jjj")</f>
        <v>sam</v>
      </c>
      <c r="Z3" s="21" t="str">
        <f>TEXT(WEEKDAY(DATE(CalendrierAnnée,9,24),1),"jjj")</f>
        <v>dim</v>
      </c>
      <c r="AA3" s="21" t="str">
        <f>TEXT(WEEKDAY(DATE(CalendrierAnnée,9,25),1),"jjj")</f>
        <v>lun</v>
      </c>
      <c r="AB3" s="21" t="str">
        <f>TEXT(WEEKDAY(DATE(CalendrierAnnée,9,26),1),"jjj")</f>
        <v>mar</v>
      </c>
      <c r="AC3" s="21" t="str">
        <f>TEXT(WEEKDAY(DATE(CalendrierAnnée,9,27),1),"jjj")</f>
        <v>mer</v>
      </c>
      <c r="AD3" s="21" t="str">
        <f>TEXT(WEEKDAY(DATE(CalendrierAnnée,9,28),1),"jjj")</f>
        <v>jeu</v>
      </c>
      <c r="AE3" s="21" t="str">
        <f>TEXT(WEEKDAY(DATE(CalendrierAnnée,9,29),1),"jjj")</f>
        <v>ven</v>
      </c>
      <c r="AF3" s="21" t="str">
        <f>TEXT(WEEKDAY(DATE(CalendrierAnnée,9,30),1),"jjj")</f>
        <v>sam</v>
      </c>
      <c r="AG3" s="21"/>
      <c r="AH3" s="12"/>
      <c r="AI3" s="22"/>
      <c r="AJ3" s="23"/>
      <c r="AK3" s="23"/>
      <c r="AL3" s="24"/>
      <c r="AM3" s="22"/>
      <c r="AN3" s="23"/>
      <c r="AO3" s="23"/>
      <c r="AP3" s="24"/>
      <c r="AQ3" s="25"/>
      <c r="AR3" s="26"/>
    </row>
    <row r="4" spans="1:45" s="40" customFormat="1" ht="63.75" customHeight="1" x14ac:dyDescent="0.25">
      <c r="A4" s="28" t="s">
        <v>22</v>
      </c>
      <c r="B4" s="29"/>
      <c r="C4" s="99" t="s">
        <v>25</v>
      </c>
      <c r="D4" s="32" t="s">
        <v>26</v>
      </c>
      <c r="E4" s="32" t="s">
        <v>27</v>
      </c>
      <c r="F4" s="32" t="s">
        <v>28</v>
      </c>
      <c r="G4" s="32" t="s">
        <v>29</v>
      </c>
      <c r="H4" s="32" t="s">
        <v>30</v>
      </c>
      <c r="I4" s="32" t="s">
        <v>31</v>
      </c>
      <c r="J4" s="32" t="s">
        <v>32</v>
      </c>
      <c r="K4" s="32" t="s">
        <v>33</v>
      </c>
      <c r="L4" s="32" t="s">
        <v>34</v>
      </c>
      <c r="M4" s="32" t="s">
        <v>35</v>
      </c>
      <c r="N4" s="32" t="s">
        <v>36</v>
      </c>
      <c r="O4" s="32" t="s">
        <v>37</v>
      </c>
      <c r="P4" s="32" t="s">
        <v>38</v>
      </c>
      <c r="Q4" s="32" t="s">
        <v>39</v>
      </c>
      <c r="R4" s="32" t="s">
        <v>40</v>
      </c>
      <c r="S4" s="32" t="s">
        <v>41</v>
      </c>
      <c r="T4" s="32" t="s">
        <v>42</v>
      </c>
      <c r="U4" s="32" t="s">
        <v>43</v>
      </c>
      <c r="V4" s="32" t="s">
        <v>44</v>
      </c>
      <c r="W4" s="32" t="s">
        <v>45</v>
      </c>
      <c r="X4" s="32" t="s">
        <v>46</v>
      </c>
      <c r="Y4" s="32" t="s">
        <v>47</v>
      </c>
      <c r="Z4" s="32" t="s">
        <v>48</v>
      </c>
      <c r="AA4" s="32" t="s">
        <v>49</v>
      </c>
      <c r="AB4" s="32" t="s">
        <v>50</v>
      </c>
      <c r="AC4" s="32" t="s">
        <v>51</v>
      </c>
      <c r="AD4" s="32" t="s">
        <v>52</v>
      </c>
      <c r="AE4" s="32" t="s">
        <v>53</v>
      </c>
      <c r="AF4" s="32" t="s">
        <v>54</v>
      </c>
      <c r="AG4" s="32"/>
      <c r="AH4" s="33" t="s">
        <v>6</v>
      </c>
      <c r="AI4" s="34" t="s">
        <v>7</v>
      </c>
      <c r="AJ4" s="35" t="s">
        <v>8</v>
      </c>
      <c r="AK4" s="36" t="s">
        <v>9</v>
      </c>
      <c r="AL4" s="37" t="s">
        <v>10</v>
      </c>
      <c r="AM4" s="38" t="s">
        <v>11</v>
      </c>
      <c r="AN4" s="38" t="s">
        <v>12</v>
      </c>
      <c r="AO4" s="38" t="s">
        <v>13</v>
      </c>
      <c r="AP4" s="39" t="s">
        <v>14</v>
      </c>
      <c r="AQ4" s="34" t="s">
        <v>7</v>
      </c>
      <c r="AR4" s="35" t="s">
        <v>8</v>
      </c>
      <c r="AS4" s="39" t="s">
        <v>56</v>
      </c>
    </row>
    <row r="5" spans="1:45" s="40" customFormat="1" ht="12.95" customHeight="1" x14ac:dyDescent="0.25">
      <c r="A5" s="41"/>
      <c r="B5" s="42" t="s">
        <v>15</v>
      </c>
      <c r="C5" s="67" t="s">
        <v>7</v>
      </c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43"/>
      <c r="AH5" s="44">
        <f>COUNTA(Septembre!$C5:$AG5)</f>
        <v>1</v>
      </c>
      <c r="AI5" s="45">
        <f>(COUNTIFS(Septembre!$C5:$AG5,("cp")))/2+Août!AI5</f>
        <v>5</v>
      </c>
      <c r="AJ5" s="45">
        <f>COUNTIFS(Septembre!$C5:$AG5,"RTT")/2+Août!AJ5</f>
        <v>0</v>
      </c>
      <c r="AK5" s="45">
        <f>COUNTIFS(Septembre!$C5:$AG5,"m")/2+Août!AK5</f>
        <v>0</v>
      </c>
      <c r="AL5" s="45">
        <f>COUNTIFS(Septembre!$C5:$AG5,"a")/2+Août!AL5</f>
        <v>0</v>
      </c>
      <c r="AM5" s="46"/>
      <c r="AN5" s="47"/>
      <c r="AO5" s="47"/>
      <c r="AP5" s="46"/>
      <c r="AQ5" s="47"/>
      <c r="AR5" s="47"/>
      <c r="AS5" s="47"/>
    </row>
    <row r="6" spans="1:45" s="40" customFormat="1" ht="12.95" customHeight="1" x14ac:dyDescent="0.25">
      <c r="A6" s="48">
        <v>41722</v>
      </c>
      <c r="B6" s="42" t="s">
        <v>16</v>
      </c>
      <c r="C6" s="67" t="s">
        <v>7</v>
      </c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3"/>
      <c r="AH6" s="44">
        <f>COUNTA(Septembre!$C6:$AG6)</f>
        <v>1</v>
      </c>
      <c r="AI6" s="45">
        <f>(COUNTIFS(Septembre!$C6:$AG6,("cp")))/2+Août!AI6</f>
        <v>5</v>
      </c>
      <c r="AJ6" s="45">
        <f>COUNTIFS(Septembre!$C6:$AG6,"RTT")/2+Août!AJ6</f>
        <v>0</v>
      </c>
      <c r="AK6" s="45">
        <f>COUNTIFS(Septembre!$C6:$AG6,"m")/2+Août!AK6</f>
        <v>0</v>
      </c>
      <c r="AL6" s="45">
        <f>COUNTIFS(Septembre!$C6:$AG6,"a")/2+Août!AL6</f>
        <v>0</v>
      </c>
      <c r="AM6" s="46"/>
      <c r="AN6" s="47"/>
      <c r="AO6" s="47"/>
      <c r="AP6" s="46"/>
      <c r="AQ6" s="47"/>
      <c r="AR6" s="47"/>
      <c r="AS6" s="101"/>
    </row>
    <row r="7" spans="1:45" s="40" customFormat="1" ht="12.95" customHeight="1" x14ac:dyDescent="0.25">
      <c r="A7" s="41"/>
      <c r="B7" s="42"/>
      <c r="C7" s="49" t="str">
        <f t="shared" ref="C7:AG7" si="0">IF(C5&gt;0,C5,IF(C6&gt;0,C6,""))</f>
        <v>CP</v>
      </c>
      <c r="D7" s="49" t="str">
        <f t="shared" si="0"/>
        <v/>
      </c>
      <c r="E7" s="49" t="str">
        <f t="shared" si="0"/>
        <v/>
      </c>
      <c r="F7" s="49" t="str">
        <f t="shared" si="0"/>
        <v/>
      </c>
      <c r="G7" s="49" t="str">
        <f t="shared" si="0"/>
        <v/>
      </c>
      <c r="H7" s="49" t="str">
        <f t="shared" si="0"/>
        <v/>
      </c>
      <c r="I7" s="49" t="str">
        <f t="shared" si="0"/>
        <v/>
      </c>
      <c r="J7" s="49" t="str">
        <f t="shared" si="0"/>
        <v/>
      </c>
      <c r="K7" s="49" t="str">
        <f t="shared" si="0"/>
        <v/>
      </c>
      <c r="L7" s="49" t="str">
        <f t="shared" si="0"/>
        <v/>
      </c>
      <c r="M7" s="49" t="str">
        <f t="shared" si="0"/>
        <v/>
      </c>
      <c r="N7" s="49" t="str">
        <f t="shared" si="0"/>
        <v/>
      </c>
      <c r="O7" s="49" t="str">
        <f t="shared" si="0"/>
        <v/>
      </c>
      <c r="P7" s="49" t="str">
        <f t="shared" si="0"/>
        <v/>
      </c>
      <c r="Q7" s="49" t="str">
        <f t="shared" si="0"/>
        <v/>
      </c>
      <c r="R7" s="49" t="str">
        <f t="shared" si="0"/>
        <v/>
      </c>
      <c r="S7" s="49" t="str">
        <f t="shared" si="0"/>
        <v/>
      </c>
      <c r="T7" s="49" t="str">
        <f t="shared" si="0"/>
        <v/>
      </c>
      <c r="U7" s="49" t="str">
        <f t="shared" si="0"/>
        <v/>
      </c>
      <c r="V7" s="49" t="str">
        <f t="shared" si="0"/>
        <v/>
      </c>
      <c r="W7" s="49" t="str">
        <f t="shared" si="0"/>
        <v/>
      </c>
      <c r="X7" s="49" t="str">
        <f t="shared" si="0"/>
        <v/>
      </c>
      <c r="Y7" s="49" t="str">
        <f t="shared" si="0"/>
        <v/>
      </c>
      <c r="Z7" s="49" t="str">
        <f t="shared" si="0"/>
        <v/>
      </c>
      <c r="AA7" s="49" t="str">
        <f t="shared" si="0"/>
        <v/>
      </c>
      <c r="AB7" s="49" t="str">
        <f t="shared" si="0"/>
        <v/>
      </c>
      <c r="AC7" s="49" t="str">
        <f t="shared" si="0"/>
        <v/>
      </c>
      <c r="AD7" s="49" t="str">
        <f t="shared" si="0"/>
        <v/>
      </c>
      <c r="AE7" s="49" t="str">
        <f t="shared" si="0"/>
        <v/>
      </c>
      <c r="AF7" s="49" t="str">
        <f t="shared" si="0"/>
        <v/>
      </c>
      <c r="AG7" s="49" t="str">
        <f t="shared" si="0"/>
        <v/>
      </c>
      <c r="AH7" s="44">
        <f>SUM(AH5:AH6)</f>
        <v>2</v>
      </c>
      <c r="AI7" s="45">
        <f>SUM(AI5:AI6)</f>
        <v>10</v>
      </c>
      <c r="AJ7" s="45">
        <f t="shared" ref="AJ7:AL7" si="1">SUM(AJ5:AJ6)</f>
        <v>0</v>
      </c>
      <c r="AK7" s="45">
        <f t="shared" si="1"/>
        <v>0</v>
      </c>
      <c r="AL7" s="45">
        <f t="shared" si="1"/>
        <v>0</v>
      </c>
      <c r="AM7" s="50">
        <f>Juin!AM7</f>
        <v>9.15</v>
      </c>
      <c r="AN7" s="51">
        <f>IF(A6="","",IF(A6&gt;NomMois,0,IF(A6&lt;$A$3,2.08,(NETWORKDAYS(A6,$A$2)/21.66667)*2.08)))</f>
        <v>2.08</v>
      </c>
      <c r="AO7" s="51">
        <f>IF( AN7="",0,+AN7+Août!AO7)</f>
        <v>8.32</v>
      </c>
      <c r="AP7" s="50"/>
      <c r="AQ7" s="45">
        <f>+AM7-AI7</f>
        <v>-0.84999999999999964</v>
      </c>
      <c r="AR7" s="45">
        <f>+AP7-AJ7</f>
        <v>0</v>
      </c>
      <c r="AS7" s="102">
        <f>+AO7+AQ7</f>
        <v>7.4700000000000006</v>
      </c>
    </row>
    <row r="8" spans="1:45" s="40" customFormat="1" ht="6.75" customHeight="1" x14ac:dyDescent="0.25">
      <c r="A8" s="52"/>
      <c r="B8" s="53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  <c r="AF8" s="52"/>
      <c r="AG8" s="52"/>
      <c r="AH8" s="54"/>
      <c r="AI8" s="54"/>
      <c r="AJ8" s="54"/>
      <c r="AK8" s="54"/>
      <c r="AL8" s="54"/>
      <c r="AM8" s="52"/>
      <c r="AN8" s="55"/>
      <c r="AO8" s="55"/>
      <c r="AP8" s="56"/>
      <c r="AQ8" s="58"/>
      <c r="AR8" s="58"/>
      <c r="AS8" s="65"/>
    </row>
    <row r="9" spans="1:45" s="40" customFormat="1" ht="12.95" customHeight="1" x14ac:dyDescent="0.25">
      <c r="A9" s="41"/>
      <c r="B9" s="42" t="s">
        <v>15</v>
      </c>
      <c r="C9" s="67"/>
      <c r="D9" s="43"/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  <c r="AA9" s="43"/>
      <c r="AB9" s="43"/>
      <c r="AC9" s="43"/>
      <c r="AD9" s="43"/>
      <c r="AE9" s="43"/>
      <c r="AF9" s="43"/>
      <c r="AG9" s="43"/>
      <c r="AH9" s="44">
        <f>COUNTA(Septembre!$C9:$AG9)</f>
        <v>0</v>
      </c>
      <c r="AI9" s="45">
        <f>(COUNTIFS(Septembre!$C9:$AG9,("cp")))/2+Août!AI9</f>
        <v>3.5</v>
      </c>
      <c r="AJ9" s="45">
        <f>COUNTIFS(Septembre!$C9:$AG9,"RTT")/2+Août!AJ9</f>
        <v>0</v>
      </c>
      <c r="AK9" s="45">
        <f>COUNTIFS(Septembre!$C9:$AG9,"m")/2+Août!AK9</f>
        <v>0</v>
      </c>
      <c r="AL9" s="45">
        <f>COUNTIFS(Septembre!$C9:$AG9,"a")/2+Août!AL9</f>
        <v>0</v>
      </c>
      <c r="AM9" s="46"/>
      <c r="AN9" s="47"/>
      <c r="AO9" s="47"/>
      <c r="AP9" s="46"/>
      <c r="AQ9" s="47"/>
      <c r="AR9" s="47"/>
      <c r="AS9" s="47"/>
    </row>
    <row r="10" spans="1:45" s="40" customFormat="1" ht="12.95" customHeight="1" x14ac:dyDescent="0.25">
      <c r="A10" s="48">
        <v>42740</v>
      </c>
      <c r="B10" s="42" t="s">
        <v>16</v>
      </c>
      <c r="C10" s="67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3"/>
      <c r="AG10" s="43"/>
      <c r="AH10" s="44">
        <f>COUNTA(Septembre!$C10:$AG10)</f>
        <v>0</v>
      </c>
      <c r="AI10" s="45">
        <f>(COUNTIFS(Septembre!$C10:$AG10,("cp")))/2+Août!AI10</f>
        <v>3.5</v>
      </c>
      <c r="AJ10" s="45">
        <f>COUNTIFS(Septembre!$C10:$AG10,"RTT")/2+Août!AJ10</f>
        <v>0</v>
      </c>
      <c r="AK10" s="45">
        <f>COUNTIFS(Septembre!$C10:$AG10,"m")/2+Août!AK10</f>
        <v>0</v>
      </c>
      <c r="AL10" s="45">
        <f>COUNTIFS(Septembre!$C10:$AG10,"a")/2+Août!AL10</f>
        <v>0</v>
      </c>
      <c r="AM10" s="46"/>
      <c r="AN10" s="47"/>
      <c r="AO10" s="47"/>
      <c r="AP10" s="46"/>
      <c r="AQ10" s="47"/>
      <c r="AR10" s="47"/>
      <c r="AS10" s="101"/>
    </row>
    <row r="11" spans="1:45" s="40" customFormat="1" ht="12.95" customHeight="1" x14ac:dyDescent="0.25">
      <c r="A11" s="41"/>
      <c r="B11" s="42"/>
      <c r="C11" s="49" t="str">
        <f t="shared" ref="C11:AG11" si="2">IF(C9&gt;0,C9,IF(C10&gt;0,C10,""))</f>
        <v/>
      </c>
      <c r="D11" s="49" t="str">
        <f t="shared" si="2"/>
        <v/>
      </c>
      <c r="E11" s="49" t="str">
        <f t="shared" si="2"/>
        <v/>
      </c>
      <c r="F11" s="49" t="str">
        <f t="shared" si="2"/>
        <v/>
      </c>
      <c r="G11" s="49" t="str">
        <f t="shared" si="2"/>
        <v/>
      </c>
      <c r="H11" s="49" t="str">
        <f t="shared" si="2"/>
        <v/>
      </c>
      <c r="I11" s="49" t="str">
        <f t="shared" si="2"/>
        <v/>
      </c>
      <c r="J11" s="49" t="str">
        <f t="shared" si="2"/>
        <v/>
      </c>
      <c r="K11" s="49" t="str">
        <f t="shared" si="2"/>
        <v/>
      </c>
      <c r="L11" s="49" t="str">
        <f t="shared" si="2"/>
        <v/>
      </c>
      <c r="M11" s="49" t="str">
        <f t="shared" si="2"/>
        <v/>
      </c>
      <c r="N11" s="49" t="str">
        <f t="shared" si="2"/>
        <v/>
      </c>
      <c r="O11" s="49" t="str">
        <f t="shared" si="2"/>
        <v/>
      </c>
      <c r="P11" s="49" t="str">
        <f t="shared" si="2"/>
        <v/>
      </c>
      <c r="Q11" s="49" t="str">
        <f t="shared" si="2"/>
        <v/>
      </c>
      <c r="R11" s="49" t="str">
        <f t="shared" si="2"/>
        <v/>
      </c>
      <c r="S11" s="49" t="str">
        <f t="shared" si="2"/>
        <v/>
      </c>
      <c r="T11" s="49" t="str">
        <f t="shared" si="2"/>
        <v/>
      </c>
      <c r="U11" s="49" t="str">
        <f t="shared" si="2"/>
        <v/>
      </c>
      <c r="V11" s="49" t="str">
        <f t="shared" si="2"/>
        <v/>
      </c>
      <c r="W11" s="49" t="str">
        <f t="shared" si="2"/>
        <v/>
      </c>
      <c r="X11" s="49" t="str">
        <f t="shared" si="2"/>
        <v/>
      </c>
      <c r="Y11" s="49" t="str">
        <f t="shared" si="2"/>
        <v/>
      </c>
      <c r="Z11" s="49" t="str">
        <f t="shared" si="2"/>
        <v/>
      </c>
      <c r="AA11" s="49" t="str">
        <f t="shared" si="2"/>
        <v/>
      </c>
      <c r="AB11" s="49" t="str">
        <f t="shared" si="2"/>
        <v/>
      </c>
      <c r="AC11" s="49" t="str">
        <f t="shared" si="2"/>
        <v/>
      </c>
      <c r="AD11" s="49" t="str">
        <f t="shared" si="2"/>
        <v/>
      </c>
      <c r="AE11" s="49" t="str">
        <f t="shared" si="2"/>
        <v/>
      </c>
      <c r="AF11" s="49" t="str">
        <f t="shared" si="2"/>
        <v/>
      </c>
      <c r="AG11" s="49" t="str">
        <f t="shared" si="2"/>
        <v/>
      </c>
      <c r="AH11" s="44">
        <f>SUM(AH9:AH10)</f>
        <v>0</v>
      </c>
      <c r="AI11" s="45">
        <f>SUM(AI9:AI10)</f>
        <v>7</v>
      </c>
      <c r="AJ11" s="45">
        <f t="shared" ref="AJ11:AL11" si="3">SUM(AJ9:AJ10)</f>
        <v>0</v>
      </c>
      <c r="AK11" s="45">
        <f t="shared" si="3"/>
        <v>0</v>
      </c>
      <c r="AL11" s="45">
        <f t="shared" si="3"/>
        <v>0</v>
      </c>
      <c r="AM11" s="50">
        <f>Juin!AM11</f>
        <v>10.32</v>
      </c>
      <c r="AN11" s="51">
        <f>IF(A10="","",IF(A10&gt;NomMois,0,IF(A10&lt;$A$3,2.08,(NETWORKDAYS(A10,$A$2)/21.66667)*2.08)))</f>
        <v>2.08</v>
      </c>
      <c r="AO11" s="51">
        <f>IF( AN11="",0,+AN11+Août!AO11)</f>
        <v>8.32</v>
      </c>
      <c r="AP11" s="50"/>
      <c r="AQ11" s="45">
        <f>+AM11-AI11</f>
        <v>3.3200000000000003</v>
      </c>
      <c r="AR11" s="45">
        <f>+AP11-AJ11</f>
        <v>0</v>
      </c>
      <c r="AS11" s="102">
        <f>+AO11+AQ11</f>
        <v>11.64</v>
      </c>
    </row>
    <row r="12" spans="1:45" s="63" customFormat="1" ht="6.75" customHeight="1" x14ac:dyDescent="0.25">
      <c r="A12" s="60"/>
      <c r="B12" s="53"/>
      <c r="C12" s="60"/>
      <c r="D12" s="60"/>
      <c r="E12" s="60"/>
      <c r="F12" s="60"/>
      <c r="G12" s="60"/>
      <c r="H12" s="60"/>
      <c r="I12" s="60"/>
      <c r="J12" s="60"/>
      <c r="K12" s="60"/>
      <c r="L12" s="60"/>
      <c r="M12" s="60"/>
      <c r="N12" s="60"/>
      <c r="O12" s="60"/>
      <c r="P12" s="60"/>
      <c r="Q12" s="60"/>
      <c r="R12" s="60"/>
      <c r="S12" s="60"/>
      <c r="T12" s="60"/>
      <c r="U12" s="60"/>
      <c r="V12" s="60"/>
      <c r="W12" s="60"/>
      <c r="X12" s="60"/>
      <c r="Y12" s="60"/>
      <c r="Z12" s="60"/>
      <c r="AA12" s="60"/>
      <c r="AB12" s="60"/>
      <c r="AC12" s="60"/>
      <c r="AD12" s="60"/>
      <c r="AE12" s="60"/>
      <c r="AF12" s="60"/>
      <c r="AG12" s="60"/>
      <c r="AH12" s="61"/>
      <c r="AI12" s="61"/>
      <c r="AJ12" s="61"/>
      <c r="AK12" s="61"/>
      <c r="AL12" s="61"/>
      <c r="AM12" s="60"/>
      <c r="AN12" s="61"/>
      <c r="AO12" s="61"/>
      <c r="AP12" s="60"/>
      <c r="AQ12" s="61"/>
      <c r="AR12" s="61"/>
      <c r="AS12" s="65"/>
    </row>
    <row r="13" spans="1:45" s="79" customFormat="1" ht="12.95" customHeight="1" x14ac:dyDescent="0.25">
      <c r="A13" s="41"/>
      <c r="B13" s="42" t="s">
        <v>15</v>
      </c>
      <c r="C13" s="43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43"/>
      <c r="AB13" s="43"/>
      <c r="AC13" s="43"/>
      <c r="AD13" s="43"/>
      <c r="AE13" s="43"/>
      <c r="AF13" s="43"/>
      <c r="AG13" s="43"/>
      <c r="AH13" s="44">
        <f>COUNTA(Septembre!$C13:$AG13)</f>
        <v>0</v>
      </c>
      <c r="AI13" s="45">
        <f>(COUNTIFS(Septembre!$C13:$AG13,("cp")))/2+Août!AI13</f>
        <v>0.5</v>
      </c>
      <c r="AJ13" s="45">
        <f>COUNTIFS(Septembre!$C13:$AG13,"RTT")/2+Août!AJ13</f>
        <v>0</v>
      </c>
      <c r="AK13" s="45">
        <f>COUNTIFS(Septembre!$C13:$AG13,"m")/2+Août!AK13</f>
        <v>0</v>
      </c>
      <c r="AL13" s="45">
        <f>COUNTIFS(Septembre!$C13:$AG13,"a")/2+Août!AL13</f>
        <v>1.5</v>
      </c>
      <c r="AM13" s="46"/>
      <c r="AN13" s="47"/>
      <c r="AO13" s="47"/>
      <c r="AP13" s="46"/>
      <c r="AQ13" s="47"/>
      <c r="AR13" s="47"/>
      <c r="AS13" s="47"/>
    </row>
    <row r="14" spans="1:45" s="79" customFormat="1" ht="12.95" customHeight="1" x14ac:dyDescent="0.25">
      <c r="A14" s="48">
        <v>42891</v>
      </c>
      <c r="B14" s="42" t="s">
        <v>16</v>
      </c>
      <c r="C14" s="67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4">
        <f>COUNTA(Septembre!$C14:$AG14)</f>
        <v>0</v>
      </c>
      <c r="AI14" s="45">
        <f>(COUNTIFS(Septembre!$C14:$AG14,("cp")))/2+Août!AI14</f>
        <v>0.5</v>
      </c>
      <c r="AJ14" s="45">
        <f>COUNTIFS(Septembre!$C14:$AG14,"RTT")/2+Août!AJ14</f>
        <v>0</v>
      </c>
      <c r="AK14" s="45">
        <f>COUNTIFS(Septembre!$C14:$AG14,"m")/2+Août!AK14</f>
        <v>0</v>
      </c>
      <c r="AL14" s="45">
        <f>COUNTIFS(Septembre!$C14:$AG14,"a")/2+Août!AL14</f>
        <v>1</v>
      </c>
      <c r="AM14" s="46"/>
      <c r="AN14" s="47"/>
      <c r="AO14" s="47"/>
      <c r="AP14" s="46"/>
      <c r="AQ14" s="47"/>
      <c r="AR14" s="47"/>
      <c r="AS14" s="101">
        <v>43014</v>
      </c>
    </row>
    <row r="15" spans="1:45" s="79" customFormat="1" ht="12.95" customHeight="1" x14ac:dyDescent="0.25">
      <c r="A15" s="41"/>
      <c r="B15" s="42"/>
      <c r="C15" s="49" t="str">
        <f t="shared" ref="C15:AG15" si="4">IF(C13&gt;0,C13,IF(C14&gt;0,C14,""))</f>
        <v/>
      </c>
      <c r="D15" s="49" t="str">
        <f t="shared" si="4"/>
        <v/>
      </c>
      <c r="E15" s="49" t="str">
        <f t="shared" si="4"/>
        <v/>
      </c>
      <c r="F15" s="49" t="str">
        <f t="shared" si="4"/>
        <v/>
      </c>
      <c r="G15" s="49" t="str">
        <f t="shared" si="4"/>
        <v/>
      </c>
      <c r="H15" s="49" t="str">
        <f t="shared" si="4"/>
        <v/>
      </c>
      <c r="I15" s="49" t="str">
        <f t="shared" si="4"/>
        <v/>
      </c>
      <c r="J15" s="49" t="str">
        <f t="shared" si="4"/>
        <v/>
      </c>
      <c r="K15" s="49" t="str">
        <f t="shared" si="4"/>
        <v/>
      </c>
      <c r="L15" s="49" t="str">
        <f t="shared" si="4"/>
        <v/>
      </c>
      <c r="M15" s="49" t="str">
        <f t="shared" si="4"/>
        <v/>
      </c>
      <c r="N15" s="49" t="str">
        <f t="shared" si="4"/>
        <v/>
      </c>
      <c r="O15" s="49" t="str">
        <f t="shared" si="4"/>
        <v/>
      </c>
      <c r="P15" s="49" t="str">
        <f t="shared" si="4"/>
        <v/>
      </c>
      <c r="Q15" s="49" t="str">
        <f t="shared" si="4"/>
        <v/>
      </c>
      <c r="R15" s="49" t="str">
        <f t="shared" si="4"/>
        <v/>
      </c>
      <c r="S15" s="49" t="str">
        <f t="shared" si="4"/>
        <v/>
      </c>
      <c r="T15" s="49" t="str">
        <f t="shared" si="4"/>
        <v/>
      </c>
      <c r="U15" s="49" t="str">
        <f t="shared" si="4"/>
        <v/>
      </c>
      <c r="V15" s="49" t="str">
        <f t="shared" si="4"/>
        <v/>
      </c>
      <c r="W15" s="49" t="str">
        <f t="shared" si="4"/>
        <v/>
      </c>
      <c r="X15" s="49" t="str">
        <f t="shared" si="4"/>
        <v/>
      </c>
      <c r="Y15" s="49" t="str">
        <f t="shared" si="4"/>
        <v/>
      </c>
      <c r="Z15" s="49" t="str">
        <f t="shared" si="4"/>
        <v/>
      </c>
      <c r="AA15" s="49" t="str">
        <f t="shared" si="4"/>
        <v/>
      </c>
      <c r="AB15" s="49" t="str">
        <f t="shared" si="4"/>
        <v/>
      </c>
      <c r="AC15" s="49" t="str">
        <f t="shared" si="4"/>
        <v/>
      </c>
      <c r="AD15" s="49" t="str">
        <f t="shared" si="4"/>
        <v/>
      </c>
      <c r="AE15" s="49" t="str">
        <f t="shared" si="4"/>
        <v/>
      </c>
      <c r="AF15" s="49" t="str">
        <f t="shared" si="4"/>
        <v/>
      </c>
      <c r="AG15" s="49" t="str">
        <f t="shared" si="4"/>
        <v/>
      </c>
      <c r="AH15" s="44">
        <f>SUM(AH13:AH14)</f>
        <v>0</v>
      </c>
      <c r="AI15" s="45">
        <f>SUM(AI13:AI14)</f>
        <v>1</v>
      </c>
      <c r="AJ15" s="45">
        <f t="shared" ref="AJ15:AL15" si="5">SUM(AJ13:AJ14)</f>
        <v>0</v>
      </c>
      <c r="AK15" s="45">
        <f t="shared" si="5"/>
        <v>0</v>
      </c>
      <c r="AL15" s="45">
        <f t="shared" si="5"/>
        <v>2.5</v>
      </c>
      <c r="AM15" s="50">
        <f>Juin!AM15</f>
        <v>0</v>
      </c>
      <c r="AN15" s="51">
        <f>IF(A14="","",IF(A14&gt;NomMois,0,IF(A14&lt;$A$3,2.08,(NETWORKDAYS(A14,$A$2)/21.66667)*2.08)))</f>
        <v>2.08</v>
      </c>
      <c r="AO15" s="51">
        <f>IF( AN15="",0,+AN15+Août!AO15)</f>
        <v>8.15999970461543</v>
      </c>
      <c r="AP15" s="50"/>
      <c r="AQ15" s="45">
        <f>+AM15-AI15</f>
        <v>-1</v>
      </c>
      <c r="AR15" s="45">
        <f>+AP15-AJ15</f>
        <v>0</v>
      </c>
      <c r="AS15" s="102">
        <f>+AO15+AQ15</f>
        <v>7.15999970461543</v>
      </c>
    </row>
    <row r="16" spans="1:45" s="63" customFormat="1" ht="6.75" customHeight="1" x14ac:dyDescent="0.25">
      <c r="A16" s="60"/>
      <c r="B16" s="42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  <c r="N16" s="64"/>
      <c r="O16" s="64"/>
      <c r="P16" s="64"/>
      <c r="Q16" s="64"/>
      <c r="R16" s="64"/>
      <c r="S16" s="64"/>
      <c r="T16" s="64"/>
      <c r="U16" s="64"/>
      <c r="V16" s="64"/>
      <c r="W16" s="64"/>
      <c r="X16" s="64"/>
      <c r="Y16" s="64"/>
      <c r="Z16" s="64"/>
      <c r="AA16" s="64"/>
      <c r="AB16" s="64"/>
      <c r="AC16" s="64"/>
      <c r="AD16" s="64"/>
      <c r="AE16" s="64"/>
      <c r="AF16" s="64"/>
      <c r="AG16" s="64"/>
      <c r="AH16" s="65"/>
      <c r="AI16" s="65"/>
      <c r="AJ16" s="65"/>
      <c r="AK16" s="65"/>
      <c r="AL16" s="65"/>
      <c r="AM16" s="64"/>
      <c r="AN16" s="65"/>
      <c r="AO16" s="65"/>
      <c r="AP16" s="64"/>
      <c r="AQ16" s="65"/>
      <c r="AR16" s="65"/>
      <c r="AS16" s="65"/>
    </row>
    <row r="17" spans="1:45" s="63" customFormat="1" ht="12.95" customHeight="1" x14ac:dyDescent="0.25">
      <c r="A17" s="41"/>
      <c r="B17" s="42" t="s">
        <v>15</v>
      </c>
      <c r="C17" s="67" t="s">
        <v>7</v>
      </c>
      <c r="D17" s="67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4">
        <f>COUNTA(Septembre!$C17:$AG17)</f>
        <v>1</v>
      </c>
      <c r="AI17" s="45">
        <f>(COUNTIFS(Septembre!$C17:$AG17,("cp")))/2+Août!AI17</f>
        <v>5</v>
      </c>
      <c r="AJ17" s="45">
        <f>COUNTIFS(Septembre!$C17:$AG17,"RTT")/2+Août!AJ17</f>
        <v>0</v>
      </c>
      <c r="AK17" s="45">
        <f>COUNTIFS(Septembre!$C17:$AG17,"m")/2+Août!AK17</f>
        <v>0</v>
      </c>
      <c r="AL17" s="45">
        <f>COUNTIFS(Septembre!$C17:$AG17,"a")/2+Août!AL17</f>
        <v>0</v>
      </c>
      <c r="AM17" s="46"/>
      <c r="AN17" s="47"/>
      <c r="AO17" s="47"/>
      <c r="AP17" s="46"/>
      <c r="AQ17" s="47"/>
      <c r="AR17" s="47"/>
      <c r="AS17" s="47"/>
    </row>
    <row r="18" spans="1:45" s="63" customFormat="1" ht="12.95" customHeight="1" x14ac:dyDescent="0.25">
      <c r="A18" s="48">
        <v>38923</v>
      </c>
      <c r="B18" s="42" t="s">
        <v>16</v>
      </c>
      <c r="C18" s="67" t="s">
        <v>7</v>
      </c>
      <c r="D18" s="67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3"/>
      <c r="AC18" s="43"/>
      <c r="AD18" s="43"/>
      <c r="AE18" s="43"/>
      <c r="AF18" s="43"/>
      <c r="AG18" s="43"/>
      <c r="AH18" s="44">
        <f>COUNTA(Septembre!$C18:$AG18)</f>
        <v>1</v>
      </c>
      <c r="AI18" s="45">
        <f>(COUNTIFS(Septembre!$C18:$AG18,("cp")))/2+Août!AI18</f>
        <v>5</v>
      </c>
      <c r="AJ18" s="45">
        <f>COUNTIFS(Septembre!$C18:$AG18,"RTT")/2+Août!AJ18</f>
        <v>0</v>
      </c>
      <c r="AK18" s="45">
        <f>COUNTIFS(Septembre!$C18:$AG18,"m")/2+Août!AK18</f>
        <v>0</v>
      </c>
      <c r="AL18" s="45">
        <f>COUNTIFS(Septembre!$C18:$AG18,"a")/2+Août!AL18</f>
        <v>0</v>
      </c>
      <c r="AM18" s="46"/>
      <c r="AN18" s="47"/>
      <c r="AO18" s="47"/>
      <c r="AP18" s="46"/>
      <c r="AQ18" s="47"/>
      <c r="AR18" s="47"/>
      <c r="AS18" s="101"/>
    </row>
    <row r="19" spans="1:45" s="63" customFormat="1" ht="12.95" customHeight="1" x14ac:dyDescent="0.25">
      <c r="A19" s="41"/>
      <c r="B19" s="42"/>
      <c r="C19" s="49" t="str">
        <f t="shared" ref="C19:AG19" si="6">IF(C17&gt;0,C17,IF(C18&gt;0,C18,""))</f>
        <v>CP</v>
      </c>
      <c r="D19" s="49" t="str">
        <f t="shared" si="6"/>
        <v/>
      </c>
      <c r="E19" s="49" t="str">
        <f t="shared" si="6"/>
        <v/>
      </c>
      <c r="F19" s="49" t="str">
        <f t="shared" si="6"/>
        <v/>
      </c>
      <c r="G19" s="49" t="str">
        <f t="shared" si="6"/>
        <v/>
      </c>
      <c r="H19" s="49" t="str">
        <f t="shared" si="6"/>
        <v/>
      </c>
      <c r="I19" s="49" t="str">
        <f t="shared" si="6"/>
        <v/>
      </c>
      <c r="J19" s="49" t="str">
        <f t="shared" si="6"/>
        <v/>
      </c>
      <c r="K19" s="49" t="str">
        <f t="shared" si="6"/>
        <v/>
      </c>
      <c r="L19" s="49" t="str">
        <f t="shared" si="6"/>
        <v/>
      </c>
      <c r="M19" s="49" t="str">
        <f t="shared" si="6"/>
        <v/>
      </c>
      <c r="N19" s="49" t="str">
        <f t="shared" si="6"/>
        <v/>
      </c>
      <c r="O19" s="49" t="str">
        <f t="shared" si="6"/>
        <v/>
      </c>
      <c r="P19" s="49" t="str">
        <f t="shared" si="6"/>
        <v/>
      </c>
      <c r="Q19" s="49" t="str">
        <f t="shared" si="6"/>
        <v/>
      </c>
      <c r="R19" s="49" t="str">
        <f t="shared" si="6"/>
        <v/>
      </c>
      <c r="S19" s="49" t="str">
        <f t="shared" si="6"/>
        <v/>
      </c>
      <c r="T19" s="49" t="str">
        <f t="shared" si="6"/>
        <v/>
      </c>
      <c r="U19" s="49" t="str">
        <f t="shared" si="6"/>
        <v/>
      </c>
      <c r="V19" s="49" t="str">
        <f t="shared" si="6"/>
        <v/>
      </c>
      <c r="W19" s="49" t="str">
        <f t="shared" si="6"/>
        <v/>
      </c>
      <c r="X19" s="49" t="str">
        <f t="shared" si="6"/>
        <v/>
      </c>
      <c r="Y19" s="49" t="str">
        <f t="shared" si="6"/>
        <v/>
      </c>
      <c r="Z19" s="49" t="str">
        <f t="shared" si="6"/>
        <v/>
      </c>
      <c r="AA19" s="49" t="str">
        <f t="shared" si="6"/>
        <v/>
      </c>
      <c r="AB19" s="49" t="str">
        <f t="shared" si="6"/>
        <v/>
      </c>
      <c r="AC19" s="49" t="str">
        <f t="shared" si="6"/>
        <v/>
      </c>
      <c r="AD19" s="49" t="str">
        <f t="shared" si="6"/>
        <v/>
      </c>
      <c r="AE19" s="49" t="str">
        <f t="shared" si="6"/>
        <v/>
      </c>
      <c r="AF19" s="49" t="str">
        <f t="shared" si="6"/>
        <v/>
      </c>
      <c r="AG19" s="49" t="str">
        <f t="shared" si="6"/>
        <v/>
      </c>
      <c r="AH19" s="44">
        <f>SUM(AH17:AH18)</f>
        <v>2</v>
      </c>
      <c r="AI19" s="45">
        <f>SUM(AI17:AI18)</f>
        <v>10</v>
      </c>
      <c r="AJ19" s="45">
        <f t="shared" ref="AJ19:AL19" si="7">SUM(AJ17:AJ18)</f>
        <v>0</v>
      </c>
      <c r="AK19" s="45">
        <f t="shared" si="7"/>
        <v>0</v>
      </c>
      <c r="AL19" s="45">
        <f t="shared" si="7"/>
        <v>0</v>
      </c>
      <c r="AM19" s="50">
        <f>Juin!AM19</f>
        <v>24.54</v>
      </c>
      <c r="AN19" s="51">
        <f>IF(A18="","",IF(A18&gt;NomMois,0,IF(A18&lt;$A$3,2.08,(NETWORKDAYS(A18,$A$2)/21.66667)*2.08)))</f>
        <v>2.08</v>
      </c>
      <c r="AO19" s="51">
        <f>IF( AN19="",0,+AN19+Août!AO19)</f>
        <v>8.32</v>
      </c>
      <c r="AP19" s="50"/>
      <c r="AQ19" s="45">
        <f>+AM19-AI19</f>
        <v>14.54</v>
      </c>
      <c r="AR19" s="45">
        <f>+AP19-AJ19</f>
        <v>0</v>
      </c>
      <c r="AS19" s="102">
        <f t="shared" ref="AS19" si="8">+AO19+AQ19</f>
        <v>22.86</v>
      </c>
    </row>
    <row r="20" spans="1:45" s="63" customFormat="1" ht="6.75" customHeight="1" x14ac:dyDescent="0.25">
      <c r="A20" s="60"/>
      <c r="B20" s="53"/>
      <c r="C20" s="60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0"/>
      <c r="AG20" s="60"/>
      <c r="AH20" s="61"/>
      <c r="AI20" s="61"/>
      <c r="AJ20" s="61"/>
      <c r="AK20" s="61"/>
      <c r="AL20" s="61"/>
      <c r="AM20" s="60"/>
      <c r="AN20" s="61"/>
      <c r="AO20" s="61"/>
      <c r="AP20" s="60"/>
      <c r="AQ20" s="61"/>
      <c r="AR20" s="61"/>
      <c r="AS20" s="65"/>
    </row>
    <row r="21" spans="1:45" s="63" customFormat="1" ht="12.95" customHeight="1" x14ac:dyDescent="0.25">
      <c r="A21" s="41"/>
      <c r="B21" s="42" t="s">
        <v>15</v>
      </c>
      <c r="C21" s="67"/>
      <c r="D21" s="67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43"/>
      <c r="AC21" s="43"/>
      <c r="AD21" s="43"/>
      <c r="AE21" s="43"/>
      <c r="AF21" s="43"/>
      <c r="AG21" s="43"/>
      <c r="AH21" s="44">
        <f>COUNTA(Septembre!$C21:$AG21)</f>
        <v>0</v>
      </c>
      <c r="AI21" s="45">
        <f>(COUNTIFS(Septembre!$C21:$AG21,("cp")))/2+Août!AI21</f>
        <v>1</v>
      </c>
      <c r="AJ21" s="45">
        <f>COUNTIFS(Septembre!$C21:$AG21,"RTT")/2+Août!AJ21</f>
        <v>0</v>
      </c>
      <c r="AK21" s="45">
        <f>COUNTIFS(Septembre!$C21:$AG21,"m")/2+Août!AK21</f>
        <v>0</v>
      </c>
      <c r="AL21" s="45">
        <f>COUNTIFS(Septembre!$C21:$AG21,"a")/2+Août!AL21</f>
        <v>0</v>
      </c>
      <c r="AM21" s="46"/>
      <c r="AN21" s="47"/>
      <c r="AO21" s="47"/>
      <c r="AP21" s="46"/>
      <c r="AQ21" s="47"/>
      <c r="AR21" s="47"/>
      <c r="AS21" s="47"/>
    </row>
    <row r="22" spans="1:45" s="63" customFormat="1" ht="12.95" customHeight="1" x14ac:dyDescent="0.25">
      <c r="A22" s="48">
        <v>41824</v>
      </c>
      <c r="B22" s="42" t="s">
        <v>16</v>
      </c>
      <c r="C22" s="67"/>
      <c r="D22" s="67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43"/>
      <c r="AC22" s="43"/>
      <c r="AD22" s="43"/>
      <c r="AE22" s="43"/>
      <c r="AF22" s="43"/>
      <c r="AG22" s="43"/>
      <c r="AH22" s="44">
        <f>COUNTA(Septembre!$C22:$AG22)</f>
        <v>0</v>
      </c>
      <c r="AI22" s="45">
        <f>(COUNTIFS(Septembre!$C22:$AG22,("cp")))/2+Août!AI22</f>
        <v>1</v>
      </c>
      <c r="AJ22" s="45">
        <f>COUNTIFS(Septembre!$C22:$AG22,"RTT")/2+Août!AJ22</f>
        <v>0</v>
      </c>
      <c r="AK22" s="45">
        <f>COUNTIFS(Septembre!$C22:$AG22,"m")/2+Août!AK22</f>
        <v>0</v>
      </c>
      <c r="AL22" s="45">
        <f>COUNTIFS(Septembre!$C22:$AG22,"a")/2+Août!AL22</f>
        <v>0</v>
      </c>
      <c r="AM22" s="46"/>
      <c r="AN22" s="47"/>
      <c r="AO22" s="47"/>
      <c r="AP22" s="46"/>
      <c r="AQ22" s="47"/>
      <c r="AR22" s="47"/>
      <c r="AS22" s="101"/>
    </row>
    <row r="23" spans="1:45" s="63" customFormat="1" ht="12.95" customHeight="1" x14ac:dyDescent="0.25">
      <c r="A23" s="41"/>
      <c r="B23" s="42"/>
      <c r="C23" s="49" t="str">
        <f t="shared" ref="C23:AG23" si="9">IF(C21&gt;0,C21,IF(C22&gt;0,C22,""))</f>
        <v/>
      </c>
      <c r="D23" s="49" t="str">
        <f t="shared" si="9"/>
        <v/>
      </c>
      <c r="E23" s="49" t="str">
        <f t="shared" si="9"/>
        <v/>
      </c>
      <c r="F23" s="49" t="str">
        <f t="shared" si="9"/>
        <v/>
      </c>
      <c r="G23" s="49" t="str">
        <f t="shared" si="9"/>
        <v/>
      </c>
      <c r="H23" s="49" t="str">
        <f t="shared" si="9"/>
        <v/>
      </c>
      <c r="I23" s="49" t="str">
        <f t="shared" si="9"/>
        <v/>
      </c>
      <c r="J23" s="49" t="str">
        <f t="shared" si="9"/>
        <v/>
      </c>
      <c r="K23" s="49" t="str">
        <f t="shared" si="9"/>
        <v/>
      </c>
      <c r="L23" s="49" t="str">
        <f t="shared" si="9"/>
        <v/>
      </c>
      <c r="M23" s="49" t="str">
        <f t="shared" si="9"/>
        <v/>
      </c>
      <c r="N23" s="49" t="str">
        <f t="shared" si="9"/>
        <v/>
      </c>
      <c r="O23" s="49" t="str">
        <f t="shared" si="9"/>
        <v/>
      </c>
      <c r="P23" s="49" t="str">
        <f t="shared" si="9"/>
        <v/>
      </c>
      <c r="Q23" s="49" t="str">
        <f t="shared" si="9"/>
        <v/>
      </c>
      <c r="R23" s="49" t="str">
        <f t="shared" si="9"/>
        <v/>
      </c>
      <c r="S23" s="49" t="str">
        <f t="shared" si="9"/>
        <v/>
      </c>
      <c r="T23" s="49" t="str">
        <f t="shared" si="9"/>
        <v/>
      </c>
      <c r="U23" s="49" t="str">
        <f t="shared" si="9"/>
        <v/>
      </c>
      <c r="V23" s="49" t="str">
        <f t="shared" si="9"/>
        <v/>
      </c>
      <c r="W23" s="49" t="str">
        <f t="shared" si="9"/>
        <v/>
      </c>
      <c r="X23" s="49" t="str">
        <f t="shared" si="9"/>
        <v/>
      </c>
      <c r="Y23" s="49" t="str">
        <f t="shared" si="9"/>
        <v/>
      </c>
      <c r="Z23" s="49" t="str">
        <f t="shared" si="9"/>
        <v/>
      </c>
      <c r="AA23" s="49" t="str">
        <f t="shared" si="9"/>
        <v/>
      </c>
      <c r="AB23" s="49" t="str">
        <f t="shared" si="9"/>
        <v/>
      </c>
      <c r="AC23" s="49" t="str">
        <f t="shared" si="9"/>
        <v/>
      </c>
      <c r="AD23" s="49" t="str">
        <f t="shared" si="9"/>
        <v/>
      </c>
      <c r="AE23" s="49" t="str">
        <f t="shared" si="9"/>
        <v/>
      </c>
      <c r="AF23" s="49" t="str">
        <f t="shared" si="9"/>
        <v/>
      </c>
      <c r="AG23" s="49" t="str">
        <f t="shared" si="9"/>
        <v/>
      </c>
      <c r="AH23" s="44">
        <f>SUM(AH21:AH22)</f>
        <v>0</v>
      </c>
      <c r="AI23" s="45">
        <f>SUM(AI21:AI22)</f>
        <v>2</v>
      </c>
      <c r="AJ23" s="45">
        <f t="shared" ref="AJ23:AL23" si="10">SUM(AJ21:AJ22)</f>
        <v>0</v>
      </c>
      <c r="AK23" s="45">
        <f t="shared" si="10"/>
        <v>0</v>
      </c>
      <c r="AL23" s="45">
        <f t="shared" si="10"/>
        <v>0</v>
      </c>
      <c r="AM23" s="50">
        <f>Juin!AM23</f>
        <v>11.23</v>
      </c>
      <c r="AN23" s="51">
        <f>IF(A22="","",IF(A22&gt;NomMois,0,IF(A22&lt;$A$3,2.08,(NETWORKDAYS(A22,$A$2)/21.66667)*2.08)))</f>
        <v>2.08</v>
      </c>
      <c r="AO23" s="51">
        <f>IF( AN23="",0,+AN23+Août!AO23)</f>
        <v>8.32</v>
      </c>
      <c r="AP23" s="50"/>
      <c r="AQ23" s="45">
        <f>+AM23-AI23</f>
        <v>9.23</v>
      </c>
      <c r="AR23" s="45">
        <f>+AP23-AJ23</f>
        <v>0</v>
      </c>
      <c r="AS23" s="102">
        <f t="shared" ref="AS23" si="11">+AO23+AQ23</f>
        <v>17.55</v>
      </c>
    </row>
    <row r="24" spans="1:45" s="63" customFormat="1" ht="6.75" customHeight="1" x14ac:dyDescent="0.25">
      <c r="A24" s="60"/>
      <c r="B24" s="53"/>
      <c r="C24" s="60"/>
      <c r="D24" s="60"/>
      <c r="E24" s="60"/>
      <c r="F24" s="60"/>
      <c r="G24" s="60"/>
      <c r="H24" s="60"/>
      <c r="I24" s="60"/>
      <c r="J24" s="60"/>
      <c r="K24" s="60"/>
      <c r="L24" s="60"/>
      <c r="M24" s="60"/>
      <c r="N24" s="60"/>
      <c r="O24" s="60"/>
      <c r="P24" s="60"/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60"/>
      <c r="AD24" s="60"/>
      <c r="AE24" s="60"/>
      <c r="AF24" s="60"/>
      <c r="AG24" s="60"/>
      <c r="AH24" s="61"/>
      <c r="AI24" s="61"/>
      <c r="AJ24" s="61"/>
      <c r="AK24" s="61"/>
      <c r="AL24" s="61"/>
      <c r="AM24" s="60"/>
      <c r="AN24" s="61"/>
      <c r="AO24" s="61"/>
      <c r="AP24" s="60"/>
      <c r="AQ24" s="61"/>
      <c r="AR24" s="61"/>
      <c r="AS24" s="65"/>
    </row>
    <row r="25" spans="1:45" s="63" customFormat="1" ht="12.95" customHeight="1" x14ac:dyDescent="0.25">
      <c r="A25" s="41"/>
      <c r="B25" s="42" t="s">
        <v>15</v>
      </c>
      <c r="C25" s="67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  <c r="AA25" s="43"/>
      <c r="AB25" s="43"/>
      <c r="AC25" s="43"/>
      <c r="AD25" s="43"/>
      <c r="AE25" s="43"/>
      <c r="AF25" s="43"/>
      <c r="AG25" s="43"/>
      <c r="AH25" s="44">
        <f>COUNTA(Septembre!$C25:$AG25)</f>
        <v>0</v>
      </c>
      <c r="AI25" s="45">
        <f>(COUNTIFS(Septembre!$C25:$AG25,("cp")))/2+Août!AI25</f>
        <v>3.5</v>
      </c>
      <c r="AJ25" s="45">
        <f>COUNTIFS(Septembre!$C25:$AG25,"RTT")/2+Août!AJ25</f>
        <v>0</v>
      </c>
      <c r="AK25" s="45">
        <f>COUNTIFS(Septembre!$C25:$AG25,"m")/2+Août!AK25</f>
        <v>0</v>
      </c>
      <c r="AL25" s="45">
        <f>COUNTIFS(Septembre!$C25:$AG25,"a")/2+Août!AL25</f>
        <v>0</v>
      </c>
      <c r="AM25" s="46"/>
      <c r="AN25" s="47"/>
      <c r="AO25" s="47"/>
      <c r="AP25" s="46"/>
      <c r="AQ25" s="47"/>
      <c r="AR25" s="47"/>
      <c r="AS25" s="47"/>
    </row>
    <row r="26" spans="1:45" s="63" customFormat="1" ht="12.95" customHeight="1" x14ac:dyDescent="0.25">
      <c r="A26" s="48">
        <v>38626</v>
      </c>
      <c r="B26" s="42" t="s">
        <v>16</v>
      </c>
      <c r="C26" s="67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43"/>
      <c r="AB26" s="43"/>
      <c r="AC26" s="43"/>
      <c r="AD26" s="43"/>
      <c r="AE26" s="43"/>
      <c r="AF26" s="43"/>
      <c r="AG26" s="43"/>
      <c r="AH26" s="44">
        <f>COUNTA(Septembre!$C26:$AG26)</f>
        <v>0</v>
      </c>
      <c r="AI26" s="45">
        <f>(COUNTIFS(Septembre!$C26:$AG26,("cp")))/2+Août!AI26</f>
        <v>3.5</v>
      </c>
      <c r="AJ26" s="45">
        <f>COUNTIFS(Septembre!$C26:$AG26,"RTT")/2+Août!AJ26</f>
        <v>0</v>
      </c>
      <c r="AK26" s="45">
        <f>COUNTIFS(Septembre!$C26:$AG26,"m")/2+Août!AK26</f>
        <v>0</v>
      </c>
      <c r="AL26" s="45">
        <f>COUNTIFS(Septembre!$C26:$AG26,"a")/2+Août!AL26</f>
        <v>0</v>
      </c>
      <c r="AM26" s="46"/>
      <c r="AN26" s="47"/>
      <c r="AO26" s="47"/>
      <c r="AP26" s="46"/>
      <c r="AQ26" s="47"/>
      <c r="AR26" s="47"/>
      <c r="AS26" s="101"/>
    </row>
    <row r="27" spans="1:45" s="63" customFormat="1" ht="12.95" customHeight="1" x14ac:dyDescent="0.25">
      <c r="A27" s="41"/>
      <c r="B27" s="42"/>
      <c r="C27" s="49" t="str">
        <f t="shared" ref="C27:AG27" si="12">IF(C25&gt;0,C25,IF(C26&gt;0,C26,""))</f>
        <v/>
      </c>
      <c r="D27" s="49" t="str">
        <f t="shared" si="12"/>
        <v/>
      </c>
      <c r="E27" s="49" t="str">
        <f t="shared" si="12"/>
        <v/>
      </c>
      <c r="F27" s="49" t="str">
        <f t="shared" si="12"/>
        <v/>
      </c>
      <c r="G27" s="49" t="str">
        <f t="shared" si="12"/>
        <v/>
      </c>
      <c r="H27" s="49" t="str">
        <f t="shared" si="12"/>
        <v/>
      </c>
      <c r="I27" s="49" t="str">
        <f t="shared" si="12"/>
        <v/>
      </c>
      <c r="J27" s="49" t="str">
        <f t="shared" si="12"/>
        <v/>
      </c>
      <c r="K27" s="49" t="str">
        <f t="shared" si="12"/>
        <v/>
      </c>
      <c r="L27" s="49" t="str">
        <f t="shared" si="12"/>
        <v/>
      </c>
      <c r="M27" s="49" t="str">
        <f t="shared" si="12"/>
        <v/>
      </c>
      <c r="N27" s="49" t="str">
        <f t="shared" si="12"/>
        <v/>
      </c>
      <c r="O27" s="49" t="str">
        <f t="shared" si="12"/>
        <v/>
      </c>
      <c r="P27" s="49" t="str">
        <f t="shared" si="12"/>
        <v/>
      </c>
      <c r="Q27" s="49" t="str">
        <f t="shared" si="12"/>
        <v/>
      </c>
      <c r="R27" s="49" t="str">
        <f t="shared" si="12"/>
        <v/>
      </c>
      <c r="S27" s="49" t="str">
        <f t="shared" si="12"/>
        <v/>
      </c>
      <c r="T27" s="49" t="str">
        <f t="shared" si="12"/>
        <v/>
      </c>
      <c r="U27" s="49" t="str">
        <f t="shared" si="12"/>
        <v/>
      </c>
      <c r="V27" s="49" t="str">
        <f t="shared" si="12"/>
        <v/>
      </c>
      <c r="W27" s="49" t="str">
        <f t="shared" si="12"/>
        <v/>
      </c>
      <c r="X27" s="49" t="str">
        <f t="shared" si="12"/>
        <v/>
      </c>
      <c r="Y27" s="49" t="str">
        <f t="shared" si="12"/>
        <v/>
      </c>
      <c r="Z27" s="49" t="str">
        <f t="shared" si="12"/>
        <v/>
      </c>
      <c r="AA27" s="49" t="str">
        <f t="shared" si="12"/>
        <v/>
      </c>
      <c r="AB27" s="49" t="str">
        <f t="shared" si="12"/>
        <v/>
      </c>
      <c r="AC27" s="49" t="str">
        <f t="shared" si="12"/>
        <v/>
      </c>
      <c r="AD27" s="49" t="str">
        <f t="shared" si="12"/>
        <v/>
      </c>
      <c r="AE27" s="49" t="str">
        <f t="shared" si="12"/>
        <v/>
      </c>
      <c r="AF27" s="49" t="str">
        <f t="shared" si="12"/>
        <v/>
      </c>
      <c r="AG27" s="49" t="str">
        <f t="shared" si="12"/>
        <v/>
      </c>
      <c r="AH27" s="44">
        <f>SUM(AH25:AH26)</f>
        <v>0</v>
      </c>
      <c r="AI27" s="45">
        <f>SUM(AI25:AI26)</f>
        <v>7</v>
      </c>
      <c r="AJ27" s="45">
        <f t="shared" ref="AJ27:AL27" si="13">SUM(AJ25:AJ26)</f>
        <v>0</v>
      </c>
      <c r="AK27" s="45">
        <f t="shared" si="13"/>
        <v>0</v>
      </c>
      <c r="AL27" s="45">
        <f t="shared" si="13"/>
        <v>0</v>
      </c>
      <c r="AM27" s="50">
        <f>Juin!AM27</f>
        <v>28.7</v>
      </c>
      <c r="AN27" s="51">
        <f>IF(A26="","",IF(A26&gt;NomMois,0,IF(A26&lt;$A$3,2.08,(NETWORKDAYS(A26,$A$2)/21.66667)*2.08)))</f>
        <v>2.08</v>
      </c>
      <c r="AO27" s="51">
        <f>IF( AN27="",0,+AN27+Août!AO27)</f>
        <v>8.32</v>
      </c>
      <c r="AP27" s="50"/>
      <c r="AQ27" s="45">
        <f>+AM27-AI27</f>
        <v>21.7</v>
      </c>
      <c r="AR27" s="45">
        <f>+AP27-AJ27</f>
        <v>0</v>
      </c>
      <c r="AS27" s="102">
        <f t="shared" ref="AS27" si="14">+AO27+AQ27</f>
        <v>30.02</v>
      </c>
    </row>
    <row r="28" spans="1:45" s="63" customFormat="1" ht="6.75" customHeight="1" x14ac:dyDescent="0.25">
      <c r="A28" s="60"/>
      <c r="B28" s="53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1"/>
      <c r="AI28" s="61"/>
      <c r="AJ28" s="61"/>
      <c r="AK28" s="61"/>
      <c r="AL28" s="61"/>
      <c r="AM28" s="60"/>
      <c r="AN28" s="61"/>
      <c r="AO28" s="61"/>
      <c r="AP28" s="60"/>
      <c r="AQ28" s="61"/>
      <c r="AR28" s="61"/>
      <c r="AS28" s="65"/>
    </row>
    <row r="29" spans="1:45" s="63" customFormat="1" ht="12.95" customHeight="1" x14ac:dyDescent="0.25">
      <c r="A29" s="41"/>
      <c r="B29" s="42" t="s">
        <v>15</v>
      </c>
      <c r="C29" s="67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4">
        <f>COUNTA(Septembre!$C29:$AG29)</f>
        <v>0</v>
      </c>
      <c r="AI29" s="45">
        <f>(COUNTIFS(Septembre!$C29:$AG29,("cp")))/2+Août!AI29</f>
        <v>7.5</v>
      </c>
      <c r="AJ29" s="45">
        <f>COUNTIFS(Septembre!$C29:$AG29,"RTT")/2+Août!AJ29</f>
        <v>0</v>
      </c>
      <c r="AK29" s="45">
        <f>COUNTIFS(Septembre!$C29:$AG29,"m")/2+Août!AK29</f>
        <v>0</v>
      </c>
      <c r="AL29" s="45">
        <f>COUNTIFS(Septembre!$C29:$AG29,"a")/2+Août!AL29</f>
        <v>0</v>
      </c>
      <c r="AM29" s="46"/>
      <c r="AN29" s="47"/>
      <c r="AO29" s="47"/>
      <c r="AP29" s="46"/>
      <c r="AQ29" s="47"/>
      <c r="AR29" s="47"/>
      <c r="AS29" s="47"/>
    </row>
    <row r="30" spans="1:45" s="63" customFormat="1" ht="12.95" customHeight="1" x14ac:dyDescent="0.25">
      <c r="A30" s="48">
        <v>36892</v>
      </c>
      <c r="B30" s="42" t="s">
        <v>16</v>
      </c>
      <c r="C30" s="67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4">
        <f>COUNTA(Septembre!$C30:$AG30)</f>
        <v>0</v>
      </c>
      <c r="AI30" s="45">
        <f>(COUNTIFS(Septembre!$C30:$AG30,("cp")))/2+Août!AI30</f>
        <v>8</v>
      </c>
      <c r="AJ30" s="45">
        <f>COUNTIFS(Septembre!$C30:$AG30,"RTT")/2+Août!AJ30</f>
        <v>0</v>
      </c>
      <c r="AK30" s="45">
        <f>COUNTIFS(Septembre!$C30:$AG30,"m")/2+Août!AK30</f>
        <v>0</v>
      </c>
      <c r="AL30" s="45">
        <f>COUNTIFS(Septembre!$C30:$AG30,"a")/2+Août!AL30</f>
        <v>0</v>
      </c>
      <c r="AM30" s="46"/>
      <c r="AN30" s="47"/>
      <c r="AO30" s="47"/>
      <c r="AP30" s="46"/>
      <c r="AQ30" s="47"/>
      <c r="AR30" s="47"/>
      <c r="AS30" s="101"/>
    </row>
    <row r="31" spans="1:45" s="63" customFormat="1" ht="12.95" customHeight="1" x14ac:dyDescent="0.25">
      <c r="A31" s="41"/>
      <c r="B31" s="42"/>
      <c r="C31" s="49" t="str">
        <f t="shared" ref="C31:AG31" si="15">IF(C29&gt;0,C29,IF(C30&gt;0,C30,""))</f>
        <v/>
      </c>
      <c r="D31" s="49" t="str">
        <f t="shared" si="15"/>
        <v/>
      </c>
      <c r="E31" s="49" t="str">
        <f t="shared" si="15"/>
        <v/>
      </c>
      <c r="F31" s="49" t="str">
        <f t="shared" si="15"/>
        <v/>
      </c>
      <c r="G31" s="49" t="str">
        <f t="shared" si="15"/>
        <v/>
      </c>
      <c r="H31" s="49" t="str">
        <f t="shared" si="15"/>
        <v/>
      </c>
      <c r="I31" s="49" t="str">
        <f t="shared" si="15"/>
        <v/>
      </c>
      <c r="J31" s="49" t="str">
        <f t="shared" si="15"/>
        <v/>
      </c>
      <c r="K31" s="49" t="str">
        <f t="shared" si="15"/>
        <v/>
      </c>
      <c r="L31" s="49" t="str">
        <f t="shared" si="15"/>
        <v/>
      </c>
      <c r="M31" s="49" t="str">
        <f t="shared" si="15"/>
        <v/>
      </c>
      <c r="N31" s="49" t="str">
        <f t="shared" si="15"/>
        <v/>
      </c>
      <c r="O31" s="49" t="str">
        <f t="shared" si="15"/>
        <v/>
      </c>
      <c r="P31" s="49" t="str">
        <f t="shared" si="15"/>
        <v/>
      </c>
      <c r="Q31" s="49" t="str">
        <f t="shared" si="15"/>
        <v/>
      </c>
      <c r="R31" s="49" t="str">
        <f t="shared" si="15"/>
        <v/>
      </c>
      <c r="S31" s="49" t="str">
        <f t="shared" si="15"/>
        <v/>
      </c>
      <c r="T31" s="49" t="str">
        <f t="shared" si="15"/>
        <v/>
      </c>
      <c r="U31" s="49" t="str">
        <f t="shared" si="15"/>
        <v/>
      </c>
      <c r="V31" s="49" t="str">
        <f t="shared" si="15"/>
        <v/>
      </c>
      <c r="W31" s="49" t="str">
        <f t="shared" si="15"/>
        <v/>
      </c>
      <c r="X31" s="49" t="str">
        <f t="shared" si="15"/>
        <v/>
      </c>
      <c r="Y31" s="49" t="str">
        <f t="shared" si="15"/>
        <v/>
      </c>
      <c r="Z31" s="49" t="str">
        <f t="shared" si="15"/>
        <v/>
      </c>
      <c r="AA31" s="49" t="str">
        <f t="shared" si="15"/>
        <v/>
      </c>
      <c r="AB31" s="49" t="str">
        <f t="shared" si="15"/>
        <v/>
      </c>
      <c r="AC31" s="49" t="str">
        <f t="shared" si="15"/>
        <v/>
      </c>
      <c r="AD31" s="49" t="str">
        <f t="shared" si="15"/>
        <v/>
      </c>
      <c r="AE31" s="49" t="str">
        <f t="shared" si="15"/>
        <v/>
      </c>
      <c r="AF31" s="49" t="str">
        <f t="shared" si="15"/>
        <v/>
      </c>
      <c r="AG31" s="49" t="str">
        <f t="shared" si="15"/>
        <v/>
      </c>
      <c r="AH31" s="44">
        <f>SUM(AH29:AH30)</f>
        <v>0</v>
      </c>
      <c r="AI31" s="45">
        <f>SUM(AI29:AI30)</f>
        <v>15.5</v>
      </c>
      <c r="AJ31" s="45">
        <f t="shared" ref="AJ31:AL31" si="16">SUM(AJ29:AJ30)</f>
        <v>0</v>
      </c>
      <c r="AK31" s="45">
        <f t="shared" si="16"/>
        <v>0</v>
      </c>
      <c r="AL31" s="45">
        <f t="shared" si="16"/>
        <v>0</v>
      </c>
      <c r="AM31" s="50">
        <f>Juin!AM31</f>
        <v>30.37</v>
      </c>
      <c r="AN31" s="51">
        <f>IF(A30="","",IF(A30&gt;NomMois,0,IF(A30&lt;$A$3,2.08,(NETWORKDAYS(A30,$A$2)/21.66667)*2.08)))</f>
        <v>2.08</v>
      </c>
      <c r="AO31" s="51">
        <f>IF( AN31="",0,+AN31+Août!AO31)</f>
        <v>8.32</v>
      </c>
      <c r="AP31" s="50"/>
      <c r="AQ31" s="45">
        <f>+AM31-AI31</f>
        <v>14.870000000000001</v>
      </c>
      <c r="AR31" s="45">
        <f>+AP31-AJ31</f>
        <v>0</v>
      </c>
      <c r="AS31" s="102">
        <f t="shared" ref="AS31:AS91" si="17">+AO31+AQ31</f>
        <v>23.19</v>
      </c>
    </row>
    <row r="32" spans="1:45" s="63" customFormat="1" ht="6.75" customHeight="1" x14ac:dyDescent="0.25">
      <c r="A32" s="60"/>
      <c r="B32" s="53"/>
      <c r="C32" s="60"/>
      <c r="D32" s="60"/>
      <c r="E32" s="60"/>
      <c r="F32" s="60"/>
      <c r="G32" s="60"/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1"/>
      <c r="AI32" s="61"/>
      <c r="AJ32" s="61"/>
      <c r="AK32" s="61"/>
      <c r="AL32" s="61"/>
      <c r="AM32" s="60"/>
      <c r="AN32" s="61"/>
      <c r="AO32" s="61"/>
      <c r="AP32" s="60"/>
      <c r="AQ32" s="69"/>
      <c r="AR32" s="69"/>
      <c r="AS32" s="65"/>
    </row>
    <row r="33" spans="1:45" s="63" customFormat="1" ht="12.95" customHeight="1" x14ac:dyDescent="0.25">
      <c r="A33" s="41"/>
      <c r="B33" s="42" t="s">
        <v>15</v>
      </c>
      <c r="C33" s="67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4">
        <f>COUNTA(Septembre!$C33:$AG33)</f>
        <v>0</v>
      </c>
      <c r="AI33" s="45">
        <f>(COUNTIFS(Septembre!$C33:$AG33,("cp")))/2+Août!AI33</f>
        <v>8</v>
      </c>
      <c r="AJ33" s="45">
        <f>COUNTIFS(Septembre!$C33:$AG33,"RTT")/2+Août!AJ33</f>
        <v>0</v>
      </c>
      <c r="AK33" s="45">
        <f>COUNTIFS(Septembre!$C33:$AG33,"m")/2+Août!AK33</f>
        <v>0</v>
      </c>
      <c r="AL33" s="45">
        <f>COUNTIFS(Septembre!$C33:$AG33,"a")/2+Août!AL33</f>
        <v>0</v>
      </c>
      <c r="AM33" s="46"/>
      <c r="AN33" s="47"/>
      <c r="AO33" s="47"/>
      <c r="AP33" s="46"/>
      <c r="AQ33" s="47"/>
      <c r="AR33" s="47"/>
      <c r="AS33" s="47"/>
    </row>
    <row r="34" spans="1:45" s="63" customFormat="1" ht="12.95" customHeight="1" x14ac:dyDescent="0.25">
      <c r="A34" s="48">
        <v>42110</v>
      </c>
      <c r="B34" s="42" t="s">
        <v>16</v>
      </c>
      <c r="C34" s="67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3"/>
      <c r="AE34" s="43"/>
      <c r="AF34" s="43"/>
      <c r="AG34" s="43"/>
      <c r="AH34" s="44">
        <f>COUNTA(Septembre!$C34:$AG34)</f>
        <v>0</v>
      </c>
      <c r="AI34" s="45">
        <f>(COUNTIFS(Septembre!$C34:$AG34,("cp")))/2+Août!AI34</f>
        <v>8</v>
      </c>
      <c r="AJ34" s="45">
        <f>COUNTIFS(Septembre!$C34:$AG34,"RTT")/2+Août!AJ34</f>
        <v>0</v>
      </c>
      <c r="AK34" s="45">
        <f>COUNTIFS(Septembre!$C34:$AG34,"m")/2+Août!AK34</f>
        <v>0</v>
      </c>
      <c r="AL34" s="45">
        <f>COUNTIFS(Septembre!$C34:$AG34,"a")/2+Août!AL34</f>
        <v>0</v>
      </c>
      <c r="AM34" s="46"/>
      <c r="AN34" s="47"/>
      <c r="AO34" s="47"/>
      <c r="AP34" s="46"/>
      <c r="AQ34" s="47"/>
      <c r="AR34" s="47"/>
      <c r="AS34" s="101"/>
    </row>
    <row r="35" spans="1:45" s="63" customFormat="1" ht="12.95" customHeight="1" x14ac:dyDescent="0.25">
      <c r="A35" s="41"/>
      <c r="B35" s="42"/>
      <c r="C35" s="49" t="str">
        <f t="shared" ref="C35:AG35" si="18">IF(C33&gt;0,C33,IF(C34&gt;0,C34,""))</f>
        <v/>
      </c>
      <c r="D35" s="49" t="str">
        <f t="shared" si="18"/>
        <v/>
      </c>
      <c r="E35" s="49" t="str">
        <f t="shared" si="18"/>
        <v/>
      </c>
      <c r="F35" s="49" t="str">
        <f t="shared" si="18"/>
        <v/>
      </c>
      <c r="G35" s="49" t="str">
        <f t="shared" si="18"/>
        <v/>
      </c>
      <c r="H35" s="49" t="str">
        <f t="shared" si="18"/>
        <v/>
      </c>
      <c r="I35" s="49" t="str">
        <f t="shared" si="18"/>
        <v/>
      </c>
      <c r="J35" s="49" t="str">
        <f t="shared" si="18"/>
        <v/>
      </c>
      <c r="K35" s="49" t="str">
        <f t="shared" si="18"/>
        <v/>
      </c>
      <c r="L35" s="49" t="str">
        <f t="shared" si="18"/>
        <v/>
      </c>
      <c r="M35" s="49" t="str">
        <f t="shared" si="18"/>
        <v/>
      </c>
      <c r="N35" s="49" t="str">
        <f t="shared" si="18"/>
        <v/>
      </c>
      <c r="O35" s="49" t="str">
        <f t="shared" si="18"/>
        <v/>
      </c>
      <c r="P35" s="49" t="str">
        <f t="shared" si="18"/>
        <v/>
      </c>
      <c r="Q35" s="49" t="str">
        <f t="shared" si="18"/>
        <v/>
      </c>
      <c r="R35" s="49" t="str">
        <f t="shared" si="18"/>
        <v/>
      </c>
      <c r="S35" s="49" t="str">
        <f t="shared" si="18"/>
        <v/>
      </c>
      <c r="T35" s="49" t="str">
        <f t="shared" si="18"/>
        <v/>
      </c>
      <c r="U35" s="49" t="str">
        <f t="shared" si="18"/>
        <v/>
      </c>
      <c r="V35" s="49" t="str">
        <f t="shared" si="18"/>
        <v/>
      </c>
      <c r="W35" s="49" t="str">
        <f t="shared" si="18"/>
        <v/>
      </c>
      <c r="X35" s="49" t="str">
        <f t="shared" si="18"/>
        <v/>
      </c>
      <c r="Y35" s="49" t="str">
        <f t="shared" si="18"/>
        <v/>
      </c>
      <c r="Z35" s="49" t="str">
        <f t="shared" si="18"/>
        <v/>
      </c>
      <c r="AA35" s="49" t="str">
        <f t="shared" si="18"/>
        <v/>
      </c>
      <c r="AB35" s="49" t="str">
        <f t="shared" si="18"/>
        <v/>
      </c>
      <c r="AC35" s="49" t="str">
        <f t="shared" si="18"/>
        <v/>
      </c>
      <c r="AD35" s="49" t="str">
        <f t="shared" si="18"/>
        <v/>
      </c>
      <c r="AE35" s="49" t="str">
        <f t="shared" si="18"/>
        <v/>
      </c>
      <c r="AF35" s="49" t="str">
        <f t="shared" si="18"/>
        <v/>
      </c>
      <c r="AG35" s="49" t="str">
        <f t="shared" si="18"/>
        <v/>
      </c>
      <c r="AH35" s="44">
        <f>SUM(AH33:AH34)</f>
        <v>0</v>
      </c>
      <c r="AI35" s="45">
        <f>SUM(AI33:AI34)</f>
        <v>16</v>
      </c>
      <c r="AJ35" s="45">
        <f t="shared" ref="AJ35:AL35" si="19">SUM(AJ33:AJ34)</f>
        <v>0</v>
      </c>
      <c r="AK35" s="45">
        <f t="shared" si="19"/>
        <v>0</v>
      </c>
      <c r="AL35" s="45">
        <f t="shared" si="19"/>
        <v>0</v>
      </c>
      <c r="AM35" s="50">
        <f>Juin!AM35</f>
        <v>14.56</v>
      </c>
      <c r="AN35" s="51">
        <f>IF(A34="","",IF(A34&gt;NomMois,0,IF(A34&lt;$A$3,2.08,(NETWORKDAYS(A34,$A$2)/21.66667)*2.08)))</f>
        <v>2.08</v>
      </c>
      <c r="AO35" s="51">
        <f>IF( AN35="",0,+AN35+Août!AO35)</f>
        <v>8.32</v>
      </c>
      <c r="AP35" s="50"/>
      <c r="AQ35" s="45">
        <f>+AM35-AI35</f>
        <v>-1.4399999999999995</v>
      </c>
      <c r="AR35" s="45">
        <f>+AP35-AJ35</f>
        <v>0</v>
      </c>
      <c r="AS35" s="102">
        <f t="shared" si="17"/>
        <v>6.8800000000000008</v>
      </c>
    </row>
    <row r="36" spans="1:45" s="63" customFormat="1" ht="6.75" customHeight="1" x14ac:dyDescent="0.25">
      <c r="A36" s="60"/>
      <c r="B36" s="53"/>
      <c r="C36" s="60"/>
      <c r="D36" s="60"/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0"/>
      <c r="Z36" s="60"/>
      <c r="AA36" s="60"/>
      <c r="AB36" s="60"/>
      <c r="AC36" s="60"/>
      <c r="AD36" s="60"/>
      <c r="AE36" s="60"/>
      <c r="AF36" s="60"/>
      <c r="AG36" s="60"/>
      <c r="AH36" s="61"/>
      <c r="AI36" s="61"/>
      <c r="AJ36" s="61"/>
      <c r="AK36" s="61"/>
      <c r="AL36" s="61"/>
      <c r="AM36" s="60"/>
      <c r="AN36" s="61"/>
      <c r="AO36" s="61"/>
      <c r="AP36" s="60"/>
      <c r="AQ36" s="61"/>
      <c r="AR36" s="61"/>
      <c r="AS36" s="65"/>
    </row>
    <row r="37" spans="1:45" s="63" customFormat="1" ht="12.95" customHeight="1" x14ac:dyDescent="0.25">
      <c r="A37" s="41"/>
      <c r="B37" s="42" t="s">
        <v>15</v>
      </c>
      <c r="C37" s="67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 t="s">
        <v>7</v>
      </c>
      <c r="AB37" s="43"/>
      <c r="AC37" s="43"/>
      <c r="AD37" s="43"/>
      <c r="AE37" s="43"/>
      <c r="AF37" s="43"/>
      <c r="AG37" s="43"/>
      <c r="AH37" s="44">
        <f>COUNTA(Septembre!$C37:$AG37)</f>
        <v>1</v>
      </c>
      <c r="AI37" s="45">
        <f>(COUNTIFS(Septembre!$C37:$AG37,("cp")))/2+Août!AI37</f>
        <v>5.5</v>
      </c>
      <c r="AJ37" s="45">
        <f>COUNTIFS(Septembre!$C37:$AG37,"RTT")/2+Août!AJ37</f>
        <v>0</v>
      </c>
      <c r="AK37" s="45">
        <f>COUNTIFS(Septembre!$C37:$AG37,"m")/2+Août!AK37</f>
        <v>0</v>
      </c>
      <c r="AL37" s="45">
        <f>COUNTIFS(Septembre!$C37:$AG37,"a")/2+Août!AL37</f>
        <v>0</v>
      </c>
      <c r="AM37" s="46"/>
      <c r="AN37" s="47"/>
      <c r="AO37" s="47"/>
      <c r="AP37" s="46"/>
      <c r="AQ37" s="47"/>
      <c r="AR37" s="47"/>
      <c r="AS37" s="47"/>
    </row>
    <row r="38" spans="1:45" s="63" customFormat="1" ht="12.95" customHeight="1" x14ac:dyDescent="0.25">
      <c r="A38" s="48">
        <v>42373</v>
      </c>
      <c r="B38" s="42" t="s">
        <v>16</v>
      </c>
      <c r="C38" s="67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 t="s">
        <v>7</v>
      </c>
      <c r="AB38" s="43"/>
      <c r="AC38" s="43"/>
      <c r="AD38" s="43"/>
      <c r="AE38" s="43"/>
      <c r="AF38" s="43"/>
      <c r="AG38" s="43"/>
      <c r="AH38" s="44">
        <f>COUNTA(Septembre!$C38:$AG38)</f>
        <v>1</v>
      </c>
      <c r="AI38" s="45">
        <f>(COUNTIFS(Septembre!$C38:$AG38,("cp")))/2+Août!AI38</f>
        <v>5.5</v>
      </c>
      <c r="AJ38" s="45">
        <f>COUNTIFS(Septembre!$C38:$AG38,"RTT")/2+Août!AJ38</f>
        <v>0</v>
      </c>
      <c r="AK38" s="45">
        <f>COUNTIFS(Septembre!$C38:$AG38,"m")/2+Août!AK38</f>
        <v>0</v>
      </c>
      <c r="AL38" s="45">
        <f>COUNTIFS(Septembre!$C38:$AG38,"a")/2+Août!AL38</f>
        <v>0</v>
      </c>
      <c r="AM38" s="46"/>
      <c r="AN38" s="47"/>
      <c r="AO38" s="47"/>
      <c r="AP38" s="46"/>
      <c r="AQ38" s="47"/>
      <c r="AR38" s="47"/>
      <c r="AS38" s="101"/>
    </row>
    <row r="39" spans="1:45" s="63" customFormat="1" ht="12.95" customHeight="1" x14ac:dyDescent="0.25">
      <c r="A39" s="41"/>
      <c r="B39" s="42"/>
      <c r="C39" s="49" t="str">
        <f t="shared" ref="C39:AG39" si="20">IF(C37&gt;0,C37,IF(C38&gt;0,C38,""))</f>
        <v/>
      </c>
      <c r="D39" s="49" t="str">
        <f t="shared" si="20"/>
        <v/>
      </c>
      <c r="E39" s="49" t="str">
        <f t="shared" si="20"/>
        <v/>
      </c>
      <c r="F39" s="49" t="str">
        <f t="shared" si="20"/>
        <v/>
      </c>
      <c r="G39" s="49" t="str">
        <f t="shared" si="20"/>
        <v/>
      </c>
      <c r="H39" s="49" t="str">
        <f t="shared" si="20"/>
        <v/>
      </c>
      <c r="I39" s="49" t="str">
        <f t="shared" si="20"/>
        <v/>
      </c>
      <c r="J39" s="49" t="str">
        <f t="shared" si="20"/>
        <v/>
      </c>
      <c r="K39" s="49" t="str">
        <f t="shared" si="20"/>
        <v/>
      </c>
      <c r="L39" s="49" t="str">
        <f t="shared" si="20"/>
        <v/>
      </c>
      <c r="M39" s="49" t="str">
        <f t="shared" si="20"/>
        <v/>
      </c>
      <c r="N39" s="49" t="str">
        <f t="shared" si="20"/>
        <v/>
      </c>
      <c r="O39" s="49" t="str">
        <f t="shared" si="20"/>
        <v/>
      </c>
      <c r="P39" s="49" t="str">
        <f t="shared" si="20"/>
        <v/>
      </c>
      <c r="Q39" s="49" t="str">
        <f t="shared" si="20"/>
        <v/>
      </c>
      <c r="R39" s="49" t="str">
        <f t="shared" si="20"/>
        <v/>
      </c>
      <c r="S39" s="49" t="str">
        <f t="shared" si="20"/>
        <v/>
      </c>
      <c r="T39" s="49" t="str">
        <f t="shared" si="20"/>
        <v/>
      </c>
      <c r="U39" s="49" t="str">
        <f t="shared" si="20"/>
        <v/>
      </c>
      <c r="V39" s="49" t="str">
        <f t="shared" si="20"/>
        <v/>
      </c>
      <c r="W39" s="49" t="str">
        <f t="shared" si="20"/>
        <v/>
      </c>
      <c r="X39" s="49" t="str">
        <f t="shared" si="20"/>
        <v/>
      </c>
      <c r="Y39" s="49" t="str">
        <f t="shared" si="20"/>
        <v/>
      </c>
      <c r="Z39" s="49" t="str">
        <f t="shared" si="20"/>
        <v/>
      </c>
      <c r="AA39" s="49" t="str">
        <f t="shared" si="20"/>
        <v>CP</v>
      </c>
      <c r="AB39" s="49" t="str">
        <f t="shared" si="20"/>
        <v/>
      </c>
      <c r="AC39" s="49" t="str">
        <f t="shared" si="20"/>
        <v/>
      </c>
      <c r="AD39" s="49" t="str">
        <f t="shared" si="20"/>
        <v/>
      </c>
      <c r="AE39" s="49" t="str">
        <f t="shared" si="20"/>
        <v/>
      </c>
      <c r="AF39" s="49" t="str">
        <f t="shared" si="20"/>
        <v/>
      </c>
      <c r="AG39" s="49" t="str">
        <f t="shared" si="20"/>
        <v/>
      </c>
      <c r="AH39" s="44">
        <f>SUM(AH37:AH38)</f>
        <v>2</v>
      </c>
      <c r="AI39" s="45">
        <f>SUM(AI37:AI38)</f>
        <v>11</v>
      </c>
      <c r="AJ39" s="45">
        <f t="shared" ref="AJ39:AL39" si="21">SUM(AJ37:AJ38)</f>
        <v>0</v>
      </c>
      <c r="AK39" s="45">
        <f t="shared" si="21"/>
        <v>0</v>
      </c>
      <c r="AL39" s="45">
        <f t="shared" si="21"/>
        <v>0</v>
      </c>
      <c r="AM39" s="50">
        <f>Juin!AM39</f>
        <v>14.14</v>
      </c>
      <c r="AN39" s="51">
        <f>IF(A38="","",IF(A38&gt;NomMois,0,IF(A38&lt;$A$3,2.08,(NETWORKDAYS(A38,$A$2)/21.66667)*2.08)))</f>
        <v>2.08</v>
      </c>
      <c r="AO39" s="51">
        <f>IF( AN39="",0,+AN39+Août!AO39)</f>
        <v>8.32</v>
      </c>
      <c r="AP39" s="50"/>
      <c r="AQ39" s="45">
        <f>+AM39-AI39</f>
        <v>3.1400000000000006</v>
      </c>
      <c r="AR39" s="45">
        <f>+AP39-AJ39</f>
        <v>0</v>
      </c>
      <c r="AS39" s="102">
        <f t="shared" si="17"/>
        <v>11.46</v>
      </c>
    </row>
    <row r="40" spans="1:45" s="63" customFormat="1" ht="6.75" customHeight="1" x14ac:dyDescent="0.25">
      <c r="A40" s="60"/>
      <c r="B40" s="53"/>
      <c r="C40" s="60"/>
      <c r="D40" s="60"/>
      <c r="E40" s="60"/>
      <c r="F40" s="60"/>
      <c r="G40" s="60"/>
      <c r="H40" s="60"/>
      <c r="I40" s="60"/>
      <c r="J40" s="60"/>
      <c r="K40" s="60"/>
      <c r="L40" s="60"/>
      <c r="M40" s="60"/>
      <c r="N40" s="60"/>
      <c r="O40" s="60"/>
      <c r="P40" s="60"/>
      <c r="Q40" s="60"/>
      <c r="R40" s="60"/>
      <c r="S40" s="60"/>
      <c r="T40" s="60"/>
      <c r="U40" s="60"/>
      <c r="V40" s="60"/>
      <c r="W40" s="60"/>
      <c r="X40" s="60"/>
      <c r="Y40" s="60"/>
      <c r="Z40" s="60"/>
      <c r="AA40" s="60"/>
      <c r="AB40" s="60"/>
      <c r="AC40" s="60"/>
      <c r="AD40" s="60"/>
      <c r="AE40" s="60"/>
      <c r="AF40" s="60"/>
      <c r="AG40" s="60"/>
      <c r="AH40" s="61"/>
      <c r="AI40" s="61"/>
      <c r="AJ40" s="61"/>
      <c r="AK40" s="61"/>
      <c r="AL40" s="61"/>
      <c r="AM40" s="60"/>
      <c r="AN40" s="61"/>
      <c r="AO40" s="61"/>
      <c r="AP40" s="60"/>
      <c r="AQ40" s="61"/>
      <c r="AR40" s="61"/>
      <c r="AS40" s="65"/>
    </row>
    <row r="41" spans="1:45" s="63" customFormat="1" ht="12.95" customHeight="1" x14ac:dyDescent="0.25">
      <c r="A41" s="41"/>
      <c r="B41" s="42" t="s">
        <v>15</v>
      </c>
      <c r="C41" s="67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4">
        <f>COUNTA(Septembre!$C41:$AG41)</f>
        <v>0</v>
      </c>
      <c r="AI41" s="45">
        <f>(COUNTIFS(Septembre!$C41:$AG41,("cp")))/2+Août!AI41</f>
        <v>7.5</v>
      </c>
      <c r="AJ41" s="45">
        <f>COUNTIFS(Septembre!$C41:$AG41,"RTT")/2+Août!AJ41</f>
        <v>0</v>
      </c>
      <c r="AK41" s="45">
        <f>COUNTIFS(Septembre!$C41:$AG41,"m")/2+Août!AK41</f>
        <v>0</v>
      </c>
      <c r="AL41" s="45">
        <f>COUNTIFS(Septembre!$C41:$AG41,"a")/2+Août!AL41</f>
        <v>0</v>
      </c>
      <c r="AM41" s="46"/>
      <c r="AN41" s="47"/>
      <c r="AO41" s="47"/>
      <c r="AP41" s="46"/>
      <c r="AQ41" s="47"/>
      <c r="AR41" s="47"/>
      <c r="AS41" s="47"/>
    </row>
    <row r="42" spans="1:45" s="63" customFormat="1" ht="12.95" customHeight="1" x14ac:dyDescent="0.25">
      <c r="A42" s="48">
        <v>41821</v>
      </c>
      <c r="B42" s="42" t="s">
        <v>16</v>
      </c>
      <c r="C42" s="67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3"/>
      <c r="AE42" s="43"/>
      <c r="AF42" s="43"/>
      <c r="AG42" s="43"/>
      <c r="AH42" s="44">
        <f>COUNTA(Septembre!$C42:$AG42)</f>
        <v>0</v>
      </c>
      <c r="AI42" s="45">
        <f>(COUNTIFS(Septembre!$C42:$AG42,("cp")))/2+Août!AI42</f>
        <v>7.5</v>
      </c>
      <c r="AJ42" s="45">
        <f>COUNTIFS(Septembre!$C42:$AG42,"RTT")/2+Août!AJ42</f>
        <v>0</v>
      </c>
      <c r="AK42" s="45">
        <f>COUNTIFS(Septembre!$C42:$AG42,"m")/2+Août!AK42</f>
        <v>0</v>
      </c>
      <c r="AL42" s="45">
        <f>COUNTIFS(Septembre!$C42:$AG42,"a")/2+Août!AL42</f>
        <v>0</v>
      </c>
      <c r="AM42" s="46"/>
      <c r="AN42" s="47"/>
      <c r="AO42" s="47"/>
      <c r="AP42" s="46"/>
      <c r="AQ42" s="47"/>
      <c r="AR42" s="47"/>
      <c r="AS42" s="101"/>
    </row>
    <row r="43" spans="1:45" s="63" customFormat="1" ht="12.95" customHeight="1" x14ac:dyDescent="0.25">
      <c r="A43" s="41"/>
      <c r="B43" s="42"/>
      <c r="C43" s="49" t="str">
        <f t="shared" ref="C43:AG43" si="22">IF(C41&gt;0,C41,IF(C42&gt;0,C42,""))</f>
        <v/>
      </c>
      <c r="D43" s="49" t="str">
        <f t="shared" si="22"/>
        <v/>
      </c>
      <c r="E43" s="49" t="str">
        <f t="shared" si="22"/>
        <v/>
      </c>
      <c r="F43" s="49" t="str">
        <f t="shared" si="22"/>
        <v/>
      </c>
      <c r="G43" s="49" t="str">
        <f t="shared" si="22"/>
        <v/>
      </c>
      <c r="H43" s="49" t="str">
        <f t="shared" si="22"/>
        <v/>
      </c>
      <c r="I43" s="49" t="str">
        <f t="shared" si="22"/>
        <v/>
      </c>
      <c r="J43" s="49" t="str">
        <f t="shared" si="22"/>
        <v/>
      </c>
      <c r="K43" s="49" t="str">
        <f t="shared" si="22"/>
        <v/>
      </c>
      <c r="L43" s="49" t="str">
        <f t="shared" si="22"/>
        <v/>
      </c>
      <c r="M43" s="49" t="str">
        <f t="shared" si="22"/>
        <v/>
      </c>
      <c r="N43" s="49" t="str">
        <f t="shared" si="22"/>
        <v/>
      </c>
      <c r="O43" s="49" t="str">
        <f t="shared" si="22"/>
        <v/>
      </c>
      <c r="P43" s="49" t="str">
        <f t="shared" si="22"/>
        <v/>
      </c>
      <c r="Q43" s="49" t="str">
        <f t="shared" si="22"/>
        <v/>
      </c>
      <c r="R43" s="49" t="str">
        <f t="shared" si="22"/>
        <v/>
      </c>
      <c r="S43" s="49" t="str">
        <f t="shared" si="22"/>
        <v/>
      </c>
      <c r="T43" s="49" t="str">
        <f t="shared" si="22"/>
        <v/>
      </c>
      <c r="U43" s="49" t="str">
        <f t="shared" si="22"/>
        <v/>
      </c>
      <c r="V43" s="49" t="str">
        <f t="shared" si="22"/>
        <v/>
      </c>
      <c r="W43" s="49" t="str">
        <f t="shared" si="22"/>
        <v/>
      </c>
      <c r="X43" s="49" t="str">
        <f t="shared" si="22"/>
        <v/>
      </c>
      <c r="Y43" s="49" t="str">
        <f t="shared" si="22"/>
        <v/>
      </c>
      <c r="Z43" s="49" t="str">
        <f t="shared" si="22"/>
        <v/>
      </c>
      <c r="AA43" s="49" t="str">
        <f t="shared" si="22"/>
        <v/>
      </c>
      <c r="AB43" s="49" t="str">
        <f t="shared" si="22"/>
        <v/>
      </c>
      <c r="AC43" s="49" t="str">
        <f t="shared" si="22"/>
        <v/>
      </c>
      <c r="AD43" s="49" t="str">
        <f t="shared" si="22"/>
        <v/>
      </c>
      <c r="AE43" s="49" t="str">
        <f t="shared" si="22"/>
        <v/>
      </c>
      <c r="AF43" s="49" t="str">
        <f t="shared" si="22"/>
        <v/>
      </c>
      <c r="AG43" s="49" t="str">
        <f t="shared" si="22"/>
        <v/>
      </c>
      <c r="AH43" s="44">
        <f>SUM(AH41:AH42)</f>
        <v>0</v>
      </c>
      <c r="AI43" s="45">
        <f>SUM(AI41:AI42)</f>
        <v>15</v>
      </c>
      <c r="AJ43" s="45">
        <f t="shared" ref="AJ43:AL43" si="23">SUM(AJ41:AJ42)</f>
        <v>0</v>
      </c>
      <c r="AK43" s="45">
        <f t="shared" si="23"/>
        <v>0</v>
      </c>
      <c r="AL43" s="45">
        <f t="shared" si="23"/>
        <v>0</v>
      </c>
      <c r="AM43" s="50">
        <f>Juin!AM43</f>
        <v>20.38</v>
      </c>
      <c r="AN43" s="51">
        <f>IF(A42="","",IF(A42&gt;NomMois,0,IF(A42&lt;$A$3,2.08,(NETWORKDAYS(A42,$A$2)/21.66667)*2.08)))</f>
        <v>2.08</v>
      </c>
      <c r="AO43" s="51">
        <f>IF( AN43="",0,+AN43+Août!AO43)</f>
        <v>8.32</v>
      </c>
      <c r="AP43" s="50"/>
      <c r="AQ43" s="45">
        <f>+AM43-AI43</f>
        <v>5.379999999999999</v>
      </c>
      <c r="AR43" s="45">
        <f>+AP43-AJ43</f>
        <v>0</v>
      </c>
      <c r="AS43" s="102">
        <f t="shared" si="17"/>
        <v>13.7</v>
      </c>
    </row>
    <row r="44" spans="1:45" s="63" customFormat="1" ht="6.75" customHeight="1" x14ac:dyDescent="0.25">
      <c r="A44" s="60"/>
      <c r="B44" s="53"/>
      <c r="C44" s="60"/>
      <c r="D44" s="60"/>
      <c r="E44" s="60"/>
      <c r="F44" s="60"/>
      <c r="G44" s="60"/>
      <c r="H44" s="60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61"/>
      <c r="AI44" s="61"/>
      <c r="AJ44" s="61"/>
      <c r="AK44" s="61"/>
      <c r="AL44" s="61"/>
      <c r="AM44" s="60"/>
      <c r="AN44" s="61"/>
      <c r="AO44" s="61"/>
      <c r="AP44" s="60"/>
      <c r="AQ44" s="69"/>
      <c r="AR44" s="69"/>
      <c r="AS44" s="65"/>
    </row>
    <row r="45" spans="1:45" s="63" customFormat="1" ht="12.95" customHeight="1" x14ac:dyDescent="0.25">
      <c r="A45" s="41"/>
      <c r="B45" s="42" t="s">
        <v>15</v>
      </c>
      <c r="C45" s="67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4">
        <f>COUNTA(Septembre!$C45:$AG45)</f>
        <v>0</v>
      </c>
      <c r="AI45" s="45">
        <f>(COUNTIFS(Septembre!$C45:$AG45,("cp")))/2+Août!AI45</f>
        <v>0</v>
      </c>
      <c r="AJ45" s="45">
        <f>COUNTIFS(Septembre!$C45:$AG45,"RTT")/2+Août!AJ45</f>
        <v>0</v>
      </c>
      <c r="AK45" s="45">
        <f>COUNTIFS(Septembre!$C45:$AG45,"m")/2+Août!AK45</f>
        <v>0</v>
      </c>
      <c r="AL45" s="45">
        <f>COUNTIFS(Septembre!$C45:$AG45,"a")/2+Août!AL45</f>
        <v>0</v>
      </c>
      <c r="AM45" s="46"/>
      <c r="AN45" s="47"/>
      <c r="AO45" s="47"/>
      <c r="AP45" s="46"/>
      <c r="AQ45" s="47"/>
      <c r="AR45" s="47"/>
      <c r="AS45" s="47"/>
    </row>
    <row r="46" spans="1:45" s="63" customFormat="1" ht="12.95" customHeight="1" x14ac:dyDescent="0.25">
      <c r="A46" s="48">
        <v>40575</v>
      </c>
      <c r="B46" s="42" t="s">
        <v>16</v>
      </c>
      <c r="C46" s="67"/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3"/>
      <c r="AC46" s="43"/>
      <c r="AD46" s="43"/>
      <c r="AE46" s="43"/>
      <c r="AF46" s="43"/>
      <c r="AG46" s="43"/>
      <c r="AH46" s="44">
        <f>COUNTA(Septembre!$C46:$AG46)</f>
        <v>0</v>
      </c>
      <c r="AI46" s="45">
        <f>(COUNTIFS(Septembre!$C46:$AG46,("cp")))/2+Août!AI46</f>
        <v>0.5</v>
      </c>
      <c r="AJ46" s="45">
        <f>COUNTIFS(Septembre!$C46:$AG46,"RTT")/2+Août!AJ46</f>
        <v>0</v>
      </c>
      <c r="AK46" s="45">
        <f>COUNTIFS(Septembre!$C46:$AG46,"m")/2+Août!AK46</f>
        <v>0</v>
      </c>
      <c r="AL46" s="45">
        <f>COUNTIFS(Septembre!$C46:$AG46,"a")/2+Août!AL46</f>
        <v>0</v>
      </c>
      <c r="AM46" s="46"/>
      <c r="AN46" s="47"/>
      <c r="AO46" s="47"/>
      <c r="AP46" s="46"/>
      <c r="AQ46" s="47"/>
      <c r="AR46" s="47"/>
      <c r="AS46" s="101"/>
    </row>
    <row r="47" spans="1:45" s="63" customFormat="1" ht="12.95" customHeight="1" x14ac:dyDescent="0.25">
      <c r="A47" s="41"/>
      <c r="B47" s="42"/>
      <c r="C47" s="49" t="str">
        <f t="shared" ref="C47:AG47" si="24">IF(C45&gt;0,C45,IF(C46&gt;0,C46,""))</f>
        <v/>
      </c>
      <c r="D47" s="49" t="str">
        <f t="shared" si="24"/>
        <v/>
      </c>
      <c r="E47" s="49" t="str">
        <f t="shared" si="24"/>
        <v/>
      </c>
      <c r="F47" s="49" t="str">
        <f t="shared" si="24"/>
        <v/>
      </c>
      <c r="G47" s="49" t="str">
        <f t="shared" si="24"/>
        <v/>
      </c>
      <c r="H47" s="49" t="str">
        <f t="shared" si="24"/>
        <v/>
      </c>
      <c r="I47" s="49" t="str">
        <f t="shared" si="24"/>
        <v/>
      </c>
      <c r="J47" s="49" t="str">
        <f t="shared" si="24"/>
        <v/>
      </c>
      <c r="K47" s="49" t="str">
        <f t="shared" si="24"/>
        <v/>
      </c>
      <c r="L47" s="49" t="str">
        <f t="shared" si="24"/>
        <v/>
      </c>
      <c r="M47" s="49" t="str">
        <f t="shared" si="24"/>
        <v/>
      </c>
      <c r="N47" s="49" t="str">
        <f t="shared" si="24"/>
        <v/>
      </c>
      <c r="O47" s="49" t="str">
        <f t="shared" si="24"/>
        <v/>
      </c>
      <c r="P47" s="49" t="str">
        <f t="shared" si="24"/>
        <v/>
      </c>
      <c r="Q47" s="49" t="str">
        <f t="shared" si="24"/>
        <v/>
      </c>
      <c r="R47" s="49" t="str">
        <f t="shared" si="24"/>
        <v/>
      </c>
      <c r="S47" s="49" t="str">
        <f t="shared" si="24"/>
        <v/>
      </c>
      <c r="T47" s="49" t="str">
        <f t="shared" si="24"/>
        <v/>
      </c>
      <c r="U47" s="49" t="str">
        <f t="shared" si="24"/>
        <v/>
      </c>
      <c r="V47" s="49" t="str">
        <f t="shared" si="24"/>
        <v/>
      </c>
      <c r="W47" s="49" t="str">
        <f t="shared" si="24"/>
        <v/>
      </c>
      <c r="X47" s="49" t="str">
        <f t="shared" si="24"/>
        <v/>
      </c>
      <c r="Y47" s="49" t="str">
        <f t="shared" si="24"/>
        <v/>
      </c>
      <c r="Z47" s="49" t="str">
        <f t="shared" si="24"/>
        <v/>
      </c>
      <c r="AA47" s="49" t="str">
        <f t="shared" si="24"/>
        <v/>
      </c>
      <c r="AB47" s="49" t="str">
        <f t="shared" si="24"/>
        <v/>
      </c>
      <c r="AC47" s="49" t="str">
        <f t="shared" si="24"/>
        <v/>
      </c>
      <c r="AD47" s="49" t="str">
        <f t="shared" si="24"/>
        <v/>
      </c>
      <c r="AE47" s="49" t="str">
        <f t="shared" si="24"/>
        <v/>
      </c>
      <c r="AF47" s="49" t="str">
        <f t="shared" si="24"/>
        <v/>
      </c>
      <c r="AG47" s="49" t="str">
        <f t="shared" si="24"/>
        <v/>
      </c>
      <c r="AH47" s="44">
        <f>SUM(AH45:AH46)</f>
        <v>0</v>
      </c>
      <c r="AI47" s="45">
        <f>SUM(AI45:AI46)</f>
        <v>0.5</v>
      </c>
      <c r="AJ47" s="45">
        <f t="shared" ref="AJ47:AL47" si="25">SUM(AJ45:AJ46)</f>
        <v>0</v>
      </c>
      <c r="AK47" s="45">
        <f t="shared" si="25"/>
        <v>0</v>
      </c>
      <c r="AL47" s="45">
        <f t="shared" si="25"/>
        <v>0</v>
      </c>
      <c r="AM47" s="50">
        <f>Juin!AM47</f>
        <v>24.96</v>
      </c>
      <c r="AN47" s="51">
        <f>IF(A46="","",IF(A46&gt;NomMois,0,IF(A46&lt;$A$3,2.08,(NETWORKDAYS(A46,$A$2)/21.66667)*2.08)))</f>
        <v>2.08</v>
      </c>
      <c r="AO47" s="51">
        <f>IF( AN47="",0,+AN47+Août!AO47)</f>
        <v>8.32</v>
      </c>
      <c r="AP47" s="50"/>
      <c r="AQ47" s="45">
        <f>+AM47-AI47</f>
        <v>24.46</v>
      </c>
      <c r="AR47" s="45">
        <f>+AP47-AJ47</f>
        <v>0</v>
      </c>
      <c r="AS47" s="102">
        <f t="shared" si="17"/>
        <v>32.78</v>
      </c>
    </row>
    <row r="48" spans="1:45" s="63" customFormat="1" ht="6.75" customHeight="1" x14ac:dyDescent="0.25">
      <c r="A48" s="60"/>
      <c r="B48" s="53"/>
      <c r="C48" s="60"/>
      <c r="D48" s="60"/>
      <c r="E48" s="60"/>
      <c r="F48" s="60"/>
      <c r="G48" s="60"/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60"/>
      <c r="Z48" s="60"/>
      <c r="AA48" s="60"/>
      <c r="AB48" s="60"/>
      <c r="AC48" s="60"/>
      <c r="AD48" s="60"/>
      <c r="AE48" s="60"/>
      <c r="AF48" s="60"/>
      <c r="AG48" s="60"/>
      <c r="AH48" s="61"/>
      <c r="AI48" s="61"/>
      <c r="AJ48" s="61"/>
      <c r="AK48" s="61"/>
      <c r="AL48" s="61"/>
      <c r="AM48" s="60"/>
      <c r="AN48" s="61"/>
      <c r="AO48" s="61"/>
      <c r="AP48" s="60"/>
      <c r="AQ48" s="69"/>
      <c r="AR48" s="69"/>
      <c r="AS48" s="65"/>
    </row>
    <row r="49" spans="1:45" s="63" customFormat="1" ht="12.95" customHeight="1" x14ac:dyDescent="0.25">
      <c r="A49" s="41"/>
      <c r="B49" s="42" t="s">
        <v>15</v>
      </c>
      <c r="C49" s="67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  <c r="AA49" s="43"/>
      <c r="AB49" s="43"/>
      <c r="AC49" s="43"/>
      <c r="AD49" s="43"/>
      <c r="AE49" s="43"/>
      <c r="AF49" s="43"/>
      <c r="AG49" s="43"/>
      <c r="AH49" s="44">
        <f>COUNTA(Septembre!$C49:$AG49)</f>
        <v>0</v>
      </c>
      <c r="AI49" s="45">
        <f>(COUNTIFS(Septembre!$C49:$AG49,("cp")))/2+Août!AI49</f>
        <v>0.5</v>
      </c>
      <c r="AJ49" s="45">
        <f>COUNTIFS(Septembre!$C49:$AG49,"RTT")/2+Août!AJ49</f>
        <v>0</v>
      </c>
      <c r="AK49" s="45">
        <f>COUNTIFS(Septembre!$C49:$AG49,"m")/2+Août!AK49</f>
        <v>0</v>
      </c>
      <c r="AL49" s="45">
        <f>COUNTIFS(Septembre!$C49:$AG49,"a")/2+Août!AL49</f>
        <v>0</v>
      </c>
      <c r="AM49" s="46"/>
      <c r="AN49" s="47"/>
      <c r="AO49" s="47"/>
      <c r="AP49" s="46"/>
      <c r="AQ49" s="47"/>
      <c r="AR49" s="47"/>
      <c r="AS49" s="47"/>
    </row>
    <row r="50" spans="1:45" s="63" customFormat="1" ht="12.95" customHeight="1" x14ac:dyDescent="0.25">
      <c r="A50" s="48">
        <v>42793</v>
      </c>
      <c r="B50" s="42" t="s">
        <v>16</v>
      </c>
      <c r="C50" s="67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  <c r="AA50" s="43"/>
      <c r="AB50" s="43"/>
      <c r="AC50" s="43"/>
      <c r="AD50" s="43"/>
      <c r="AE50" s="43"/>
      <c r="AF50" s="43"/>
      <c r="AG50" s="43"/>
      <c r="AH50" s="44">
        <f>COUNTA(Septembre!$C50:$AG50)</f>
        <v>0</v>
      </c>
      <c r="AI50" s="45">
        <f>(COUNTIFS(Septembre!$C50:$AG50,("cp")))/2+Août!AI50</f>
        <v>0.5</v>
      </c>
      <c r="AJ50" s="45">
        <f>COUNTIFS(Septembre!$C50:$AG50,"RTT")/2+Août!AJ50</f>
        <v>0</v>
      </c>
      <c r="AK50" s="45">
        <f>COUNTIFS(Septembre!$C50:$AG50,"m")/2+Août!AK50</f>
        <v>0</v>
      </c>
      <c r="AL50" s="45">
        <f>COUNTIFS(Septembre!$C50:$AG50,"a")/2+Août!AL50</f>
        <v>0</v>
      </c>
      <c r="AM50" s="46"/>
      <c r="AN50" s="47"/>
      <c r="AO50" s="47"/>
      <c r="AP50" s="46"/>
      <c r="AQ50" s="47"/>
      <c r="AR50" s="47"/>
      <c r="AS50" s="101"/>
    </row>
    <row r="51" spans="1:45" s="63" customFormat="1" ht="12.95" customHeight="1" x14ac:dyDescent="0.25">
      <c r="A51" s="41"/>
      <c r="B51" s="42"/>
      <c r="C51" s="49" t="str">
        <f t="shared" ref="C51:AG51" si="26">IF(C49&gt;0,C49,IF(C50&gt;0,C50,""))</f>
        <v/>
      </c>
      <c r="D51" s="49" t="str">
        <f t="shared" si="26"/>
        <v/>
      </c>
      <c r="E51" s="49" t="str">
        <f t="shared" si="26"/>
        <v/>
      </c>
      <c r="F51" s="49" t="str">
        <f t="shared" si="26"/>
        <v/>
      </c>
      <c r="G51" s="49" t="str">
        <f t="shared" si="26"/>
        <v/>
      </c>
      <c r="H51" s="49" t="str">
        <f t="shared" si="26"/>
        <v/>
      </c>
      <c r="I51" s="49" t="str">
        <f t="shared" si="26"/>
        <v/>
      </c>
      <c r="J51" s="49" t="str">
        <f t="shared" si="26"/>
        <v/>
      </c>
      <c r="K51" s="49" t="str">
        <f t="shared" si="26"/>
        <v/>
      </c>
      <c r="L51" s="49" t="str">
        <f t="shared" si="26"/>
        <v/>
      </c>
      <c r="M51" s="49" t="str">
        <f t="shared" si="26"/>
        <v/>
      </c>
      <c r="N51" s="49" t="str">
        <f t="shared" si="26"/>
        <v/>
      </c>
      <c r="O51" s="49" t="str">
        <f t="shared" si="26"/>
        <v/>
      </c>
      <c r="P51" s="49" t="str">
        <f t="shared" si="26"/>
        <v/>
      </c>
      <c r="Q51" s="49" t="str">
        <f t="shared" si="26"/>
        <v/>
      </c>
      <c r="R51" s="49" t="str">
        <f t="shared" si="26"/>
        <v/>
      </c>
      <c r="S51" s="49" t="str">
        <f t="shared" si="26"/>
        <v/>
      </c>
      <c r="T51" s="49" t="str">
        <f t="shared" si="26"/>
        <v/>
      </c>
      <c r="U51" s="49" t="str">
        <f t="shared" si="26"/>
        <v/>
      </c>
      <c r="V51" s="49" t="str">
        <f t="shared" si="26"/>
        <v/>
      </c>
      <c r="W51" s="49" t="str">
        <f t="shared" si="26"/>
        <v/>
      </c>
      <c r="X51" s="49" t="str">
        <f t="shared" si="26"/>
        <v/>
      </c>
      <c r="Y51" s="49" t="str">
        <f t="shared" si="26"/>
        <v/>
      </c>
      <c r="Z51" s="49" t="str">
        <f t="shared" si="26"/>
        <v/>
      </c>
      <c r="AA51" s="49" t="str">
        <f t="shared" si="26"/>
        <v/>
      </c>
      <c r="AB51" s="49" t="str">
        <f t="shared" si="26"/>
        <v/>
      </c>
      <c r="AC51" s="49" t="str">
        <f t="shared" si="26"/>
        <v/>
      </c>
      <c r="AD51" s="49" t="str">
        <f t="shared" si="26"/>
        <v/>
      </c>
      <c r="AE51" s="49" t="str">
        <f t="shared" si="26"/>
        <v/>
      </c>
      <c r="AF51" s="49" t="str">
        <f t="shared" si="26"/>
        <v/>
      </c>
      <c r="AG51" s="49" t="str">
        <f t="shared" si="26"/>
        <v/>
      </c>
      <c r="AH51" s="44">
        <f>SUM(AH49:AH50)</f>
        <v>0</v>
      </c>
      <c r="AI51" s="45">
        <f>SUM(AI49:AI50)</f>
        <v>1</v>
      </c>
      <c r="AJ51" s="45">
        <f t="shared" ref="AJ51:AL51" si="27">SUM(AJ49:AJ50)</f>
        <v>0</v>
      </c>
      <c r="AK51" s="45">
        <f t="shared" si="27"/>
        <v>0</v>
      </c>
      <c r="AL51" s="45">
        <f t="shared" si="27"/>
        <v>0</v>
      </c>
      <c r="AM51" s="50">
        <f>Juin!AM51</f>
        <v>6.41</v>
      </c>
      <c r="AN51" s="51">
        <f>IF(A50="","",IF(A50&gt;NomMois,0,IF(A50&lt;$A$3,2.08,(NETWORKDAYS(A50,$A$2)/21.66667)*2.08)))</f>
        <v>2.08</v>
      </c>
      <c r="AO51" s="51">
        <f>IF( AN51="",0,+AN51+Août!AO51)</f>
        <v>8.32</v>
      </c>
      <c r="AP51" s="50"/>
      <c r="AQ51" s="45">
        <f>+AM51-AI51</f>
        <v>5.41</v>
      </c>
      <c r="AR51" s="45">
        <f>+AP51-AJ51</f>
        <v>0</v>
      </c>
      <c r="AS51" s="102">
        <f t="shared" si="17"/>
        <v>13.73</v>
      </c>
    </row>
    <row r="52" spans="1:45" s="63" customFormat="1" ht="6.75" customHeight="1" x14ac:dyDescent="0.25">
      <c r="A52" s="60"/>
      <c r="B52" s="53"/>
      <c r="C52" s="60"/>
      <c r="D52" s="60"/>
      <c r="E52" s="60"/>
      <c r="F52" s="60"/>
      <c r="G52" s="60"/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0"/>
      <c r="W52" s="60"/>
      <c r="X52" s="60"/>
      <c r="Y52" s="60"/>
      <c r="Z52" s="60"/>
      <c r="AA52" s="60"/>
      <c r="AB52" s="60"/>
      <c r="AC52" s="60"/>
      <c r="AD52" s="60"/>
      <c r="AE52" s="60"/>
      <c r="AF52" s="60"/>
      <c r="AG52" s="60"/>
      <c r="AH52" s="61"/>
      <c r="AI52" s="61"/>
      <c r="AJ52" s="61"/>
      <c r="AK52" s="61"/>
      <c r="AL52" s="61"/>
      <c r="AM52" s="60"/>
      <c r="AN52" s="61"/>
      <c r="AO52" s="61"/>
      <c r="AP52" s="60"/>
      <c r="AQ52" s="69"/>
      <c r="AR52" s="69"/>
      <c r="AS52" s="65"/>
    </row>
    <row r="53" spans="1:45" s="63" customFormat="1" ht="12.95" customHeight="1" x14ac:dyDescent="0.25">
      <c r="A53" s="41"/>
      <c r="B53" s="42" t="s">
        <v>15</v>
      </c>
      <c r="C53" s="67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  <c r="AA53" s="43"/>
      <c r="AB53" s="43"/>
      <c r="AC53" s="43"/>
      <c r="AD53" s="43"/>
      <c r="AE53" s="43"/>
      <c r="AF53" s="43"/>
      <c r="AG53" s="43"/>
      <c r="AH53" s="44">
        <f>COUNTA(Septembre!$C53:$AG53)</f>
        <v>0</v>
      </c>
      <c r="AI53" s="45">
        <f>(COUNTIFS(Septembre!$C53:$AG53,("cp")))/2+Août!AI53</f>
        <v>9</v>
      </c>
      <c r="AJ53" s="45">
        <f>COUNTIFS(Septembre!$C53:$AG53,"RTT")/2+Août!AJ53</f>
        <v>0</v>
      </c>
      <c r="AK53" s="45">
        <f>COUNTIFS(Septembre!$C53:$AG53,"m")/2+Août!AK53</f>
        <v>0</v>
      </c>
      <c r="AL53" s="45">
        <f>COUNTIFS(Septembre!$C53:$AG53,"a")/2+Août!AL53</f>
        <v>0</v>
      </c>
      <c r="AM53" s="46"/>
      <c r="AN53" s="47"/>
      <c r="AO53" s="47"/>
      <c r="AP53" s="46"/>
      <c r="AQ53" s="47"/>
      <c r="AR53" s="47"/>
      <c r="AS53" s="47"/>
    </row>
    <row r="54" spans="1:45" s="63" customFormat="1" ht="12.95" customHeight="1" x14ac:dyDescent="0.25">
      <c r="A54" s="48">
        <v>42660</v>
      </c>
      <c r="B54" s="42" t="s">
        <v>16</v>
      </c>
      <c r="C54" s="67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  <c r="AA54" s="43"/>
      <c r="AB54" s="43"/>
      <c r="AC54" s="43"/>
      <c r="AD54" s="43"/>
      <c r="AE54" s="43"/>
      <c r="AF54" s="43"/>
      <c r="AG54" s="43"/>
      <c r="AH54" s="44">
        <f>COUNTA(Septembre!$C54:$AG54)</f>
        <v>0</v>
      </c>
      <c r="AI54" s="45">
        <f>(COUNTIFS(Septembre!$C54:$AG54,("cp")))/2+Août!AI54</f>
        <v>9</v>
      </c>
      <c r="AJ54" s="45">
        <f>COUNTIFS(Septembre!$C54:$AG54,"RTT")/2+Août!AJ54</f>
        <v>0</v>
      </c>
      <c r="AK54" s="45">
        <f>COUNTIFS(Septembre!$C54:$AG54,"m")/2+Août!AK54</f>
        <v>0</v>
      </c>
      <c r="AL54" s="45">
        <f>COUNTIFS(Septembre!$C54:$AG54,"a")/2+Août!AL54</f>
        <v>0</v>
      </c>
      <c r="AM54" s="46"/>
      <c r="AN54" s="47"/>
      <c r="AO54" s="47"/>
      <c r="AP54" s="46"/>
      <c r="AQ54" s="47"/>
      <c r="AR54" s="47"/>
      <c r="AS54" s="101"/>
    </row>
    <row r="55" spans="1:45" s="63" customFormat="1" ht="12.95" customHeight="1" x14ac:dyDescent="0.25">
      <c r="A55" s="41"/>
      <c r="B55" s="42"/>
      <c r="C55" s="49" t="str">
        <f t="shared" ref="C55:AG55" si="28">IF(C53&gt;0,C53,IF(C54&gt;0,C54,""))</f>
        <v/>
      </c>
      <c r="D55" s="49" t="str">
        <f t="shared" si="28"/>
        <v/>
      </c>
      <c r="E55" s="49" t="str">
        <f t="shared" si="28"/>
        <v/>
      </c>
      <c r="F55" s="49" t="str">
        <f t="shared" si="28"/>
        <v/>
      </c>
      <c r="G55" s="49" t="str">
        <f t="shared" si="28"/>
        <v/>
      </c>
      <c r="H55" s="49" t="str">
        <f t="shared" si="28"/>
        <v/>
      </c>
      <c r="I55" s="49" t="str">
        <f t="shared" si="28"/>
        <v/>
      </c>
      <c r="J55" s="49" t="str">
        <f t="shared" si="28"/>
        <v/>
      </c>
      <c r="K55" s="49" t="str">
        <f t="shared" si="28"/>
        <v/>
      </c>
      <c r="L55" s="49" t="str">
        <f t="shared" si="28"/>
        <v/>
      </c>
      <c r="M55" s="49" t="str">
        <f t="shared" si="28"/>
        <v/>
      </c>
      <c r="N55" s="49" t="str">
        <f t="shared" si="28"/>
        <v/>
      </c>
      <c r="O55" s="49" t="str">
        <f t="shared" si="28"/>
        <v/>
      </c>
      <c r="P55" s="49" t="str">
        <f t="shared" si="28"/>
        <v/>
      </c>
      <c r="Q55" s="49" t="str">
        <f t="shared" si="28"/>
        <v/>
      </c>
      <c r="R55" s="49" t="str">
        <f t="shared" si="28"/>
        <v/>
      </c>
      <c r="S55" s="49" t="str">
        <f t="shared" si="28"/>
        <v/>
      </c>
      <c r="T55" s="49" t="str">
        <f t="shared" si="28"/>
        <v/>
      </c>
      <c r="U55" s="49" t="str">
        <f t="shared" si="28"/>
        <v/>
      </c>
      <c r="V55" s="49" t="str">
        <f t="shared" si="28"/>
        <v/>
      </c>
      <c r="W55" s="49" t="str">
        <f t="shared" si="28"/>
        <v/>
      </c>
      <c r="X55" s="49" t="str">
        <f t="shared" si="28"/>
        <v/>
      </c>
      <c r="Y55" s="49" t="str">
        <f t="shared" si="28"/>
        <v/>
      </c>
      <c r="Z55" s="49" t="str">
        <f t="shared" si="28"/>
        <v/>
      </c>
      <c r="AA55" s="49" t="str">
        <f t="shared" si="28"/>
        <v/>
      </c>
      <c r="AB55" s="49" t="str">
        <f t="shared" si="28"/>
        <v/>
      </c>
      <c r="AC55" s="49" t="str">
        <f t="shared" si="28"/>
        <v/>
      </c>
      <c r="AD55" s="49" t="str">
        <f t="shared" si="28"/>
        <v/>
      </c>
      <c r="AE55" s="49" t="str">
        <f t="shared" si="28"/>
        <v/>
      </c>
      <c r="AF55" s="49" t="str">
        <f t="shared" si="28"/>
        <v/>
      </c>
      <c r="AG55" s="49" t="str">
        <f t="shared" si="28"/>
        <v/>
      </c>
      <c r="AH55" s="44">
        <f>SUM(AH53:AH54)</f>
        <v>0</v>
      </c>
      <c r="AI55" s="45">
        <f>SUM(AI53:AI54)</f>
        <v>18</v>
      </c>
      <c r="AJ55" s="45">
        <f t="shared" ref="AJ55:AL55" si="29">SUM(AJ53:AJ54)</f>
        <v>0</v>
      </c>
      <c r="AK55" s="45">
        <f t="shared" si="29"/>
        <v>0</v>
      </c>
      <c r="AL55" s="45">
        <f t="shared" si="29"/>
        <v>0</v>
      </c>
      <c r="AM55" s="50">
        <f>Juin!AM55</f>
        <v>15.68</v>
      </c>
      <c r="AN55" s="51">
        <f>IF(A54="","",IF(A54&gt;NomMois,0,IF(A54&lt;$A$3,2.08,(NETWORKDAYS(A54,$A$2)/21.66667)*2.08)))</f>
        <v>2.08</v>
      </c>
      <c r="AO55" s="51">
        <f>IF( AN55="",0,+AN55+Août!AO55)</f>
        <v>8.32</v>
      </c>
      <c r="AP55" s="50"/>
      <c r="AQ55" s="45">
        <f>+AM55-AI55</f>
        <v>-2.3200000000000003</v>
      </c>
      <c r="AR55" s="45">
        <f>+AP55-AJ55</f>
        <v>0</v>
      </c>
      <c r="AS55" s="102">
        <f t="shared" si="17"/>
        <v>6</v>
      </c>
    </row>
    <row r="56" spans="1:45" s="63" customFormat="1" ht="6.75" customHeight="1" x14ac:dyDescent="0.25">
      <c r="A56" s="60"/>
      <c r="B56" s="53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60"/>
      <c r="X56" s="60"/>
      <c r="Y56" s="60"/>
      <c r="Z56" s="60"/>
      <c r="AA56" s="60"/>
      <c r="AB56" s="60"/>
      <c r="AC56" s="60"/>
      <c r="AD56" s="60"/>
      <c r="AE56" s="60"/>
      <c r="AF56" s="60"/>
      <c r="AG56" s="60"/>
      <c r="AH56" s="61"/>
      <c r="AI56" s="61"/>
      <c r="AJ56" s="61"/>
      <c r="AK56" s="61"/>
      <c r="AL56" s="61"/>
      <c r="AM56" s="60"/>
      <c r="AN56" s="61"/>
      <c r="AO56" s="61"/>
      <c r="AP56" s="60"/>
      <c r="AQ56" s="69"/>
      <c r="AR56" s="69"/>
      <c r="AS56" s="65"/>
    </row>
    <row r="57" spans="1:45" s="63" customFormat="1" ht="12.95" customHeight="1" x14ac:dyDescent="0.25">
      <c r="A57" s="41"/>
      <c r="B57" s="42" t="s">
        <v>15</v>
      </c>
      <c r="C57" s="67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3"/>
      <c r="AB57" s="43"/>
      <c r="AC57" s="43"/>
      <c r="AD57" s="43"/>
      <c r="AE57" s="43"/>
      <c r="AF57" s="43"/>
      <c r="AG57" s="43"/>
      <c r="AH57" s="44">
        <f>COUNTA(Septembre!$C57:$AG57)</f>
        <v>0</v>
      </c>
      <c r="AI57" s="45">
        <f>(COUNTIFS(Septembre!$C57:$AG57,("cp")))/2+Août!AI57</f>
        <v>0</v>
      </c>
      <c r="AJ57" s="45">
        <f>COUNTIFS(Septembre!$C57:$AG57,"RTT")/2+Août!AJ57</f>
        <v>0</v>
      </c>
      <c r="AK57" s="45">
        <f>COUNTIFS(Septembre!$C57:$AG57,"m")/2+Août!AK57</f>
        <v>0</v>
      </c>
      <c r="AL57" s="45">
        <f>COUNTIFS(Septembre!$C57:$AG57,"a")/2+Août!AL57</f>
        <v>0</v>
      </c>
      <c r="AM57" s="46"/>
      <c r="AN57" s="47"/>
      <c r="AO57" s="47"/>
      <c r="AP57" s="46"/>
      <c r="AQ57" s="47"/>
      <c r="AR57" s="47"/>
      <c r="AS57" s="47"/>
    </row>
    <row r="58" spans="1:45" s="63" customFormat="1" ht="12.95" customHeight="1" x14ac:dyDescent="0.25">
      <c r="A58" s="48">
        <v>42975</v>
      </c>
      <c r="B58" s="42" t="s">
        <v>16</v>
      </c>
      <c r="C58" s="67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3"/>
      <c r="AB58" s="43"/>
      <c r="AC58" s="43"/>
      <c r="AD58" s="43"/>
      <c r="AE58" s="43"/>
      <c r="AF58" s="43"/>
      <c r="AG58" s="43"/>
      <c r="AH58" s="44">
        <f>COUNTA(Septembre!$C58:$AG58)</f>
        <v>0</v>
      </c>
      <c r="AI58" s="45">
        <f>(COUNTIFS(Septembre!$C58:$AG58,("cp")))/2+Août!AI58</f>
        <v>0</v>
      </c>
      <c r="AJ58" s="45">
        <f>COUNTIFS(Septembre!$C58:$AG58,"RTT")/2+Août!AJ58</f>
        <v>0</v>
      </c>
      <c r="AK58" s="45">
        <f>COUNTIFS(Septembre!$C58:$AG58,"m")/2+Août!AK58</f>
        <v>0</v>
      </c>
      <c r="AL58" s="45">
        <f>COUNTIFS(Septembre!$C58:$AG58,"a")/2+Août!AL58</f>
        <v>0</v>
      </c>
      <c r="AM58" s="46"/>
      <c r="AN58" s="47"/>
      <c r="AO58" s="47"/>
      <c r="AP58" s="46"/>
      <c r="AQ58" s="47"/>
      <c r="AR58" s="47"/>
      <c r="AS58" s="101"/>
    </row>
    <row r="59" spans="1:45" s="63" customFormat="1" ht="12.95" customHeight="1" x14ac:dyDescent="0.25">
      <c r="A59" s="41"/>
      <c r="B59" s="42"/>
      <c r="C59" s="49" t="str">
        <f t="shared" ref="C59:AG59" si="30">IF(C57&gt;0,C57,IF(C58&gt;0,C58,""))</f>
        <v/>
      </c>
      <c r="D59" s="49" t="str">
        <f t="shared" si="30"/>
        <v/>
      </c>
      <c r="E59" s="49" t="str">
        <f t="shared" si="30"/>
        <v/>
      </c>
      <c r="F59" s="49" t="str">
        <f t="shared" si="30"/>
        <v/>
      </c>
      <c r="G59" s="49" t="str">
        <f t="shared" si="30"/>
        <v/>
      </c>
      <c r="H59" s="49" t="str">
        <f t="shared" si="30"/>
        <v/>
      </c>
      <c r="I59" s="49" t="str">
        <f t="shared" si="30"/>
        <v/>
      </c>
      <c r="J59" s="49" t="str">
        <f t="shared" si="30"/>
        <v/>
      </c>
      <c r="K59" s="49" t="str">
        <f t="shared" si="30"/>
        <v/>
      </c>
      <c r="L59" s="49" t="str">
        <f t="shared" si="30"/>
        <v/>
      </c>
      <c r="M59" s="49" t="str">
        <f t="shared" si="30"/>
        <v/>
      </c>
      <c r="N59" s="49" t="str">
        <f t="shared" si="30"/>
        <v/>
      </c>
      <c r="O59" s="49" t="str">
        <f t="shared" si="30"/>
        <v/>
      </c>
      <c r="P59" s="49" t="str">
        <f t="shared" si="30"/>
        <v/>
      </c>
      <c r="Q59" s="49" t="str">
        <f t="shared" si="30"/>
        <v/>
      </c>
      <c r="R59" s="49" t="str">
        <f t="shared" si="30"/>
        <v/>
      </c>
      <c r="S59" s="49" t="str">
        <f t="shared" si="30"/>
        <v/>
      </c>
      <c r="T59" s="49" t="str">
        <f t="shared" si="30"/>
        <v/>
      </c>
      <c r="U59" s="49" t="str">
        <f t="shared" si="30"/>
        <v/>
      </c>
      <c r="V59" s="49" t="str">
        <f t="shared" si="30"/>
        <v/>
      </c>
      <c r="W59" s="49" t="str">
        <f t="shared" si="30"/>
        <v/>
      </c>
      <c r="X59" s="49" t="str">
        <f t="shared" si="30"/>
        <v/>
      </c>
      <c r="Y59" s="49" t="str">
        <f t="shared" si="30"/>
        <v/>
      </c>
      <c r="Z59" s="49" t="str">
        <f t="shared" si="30"/>
        <v/>
      </c>
      <c r="AA59" s="49" t="str">
        <f t="shared" si="30"/>
        <v/>
      </c>
      <c r="AB59" s="49" t="str">
        <f t="shared" si="30"/>
        <v/>
      </c>
      <c r="AC59" s="49" t="str">
        <f t="shared" si="30"/>
        <v/>
      </c>
      <c r="AD59" s="49" t="str">
        <f t="shared" si="30"/>
        <v/>
      </c>
      <c r="AE59" s="49" t="str">
        <f t="shared" si="30"/>
        <v/>
      </c>
      <c r="AF59" s="49" t="str">
        <f t="shared" si="30"/>
        <v/>
      </c>
      <c r="AG59" s="49" t="str">
        <f t="shared" si="30"/>
        <v/>
      </c>
      <c r="AH59" s="44">
        <f>SUM(AH57:AH58)</f>
        <v>0</v>
      </c>
      <c r="AI59" s="45">
        <f>SUM(AI57:AI58)</f>
        <v>0</v>
      </c>
      <c r="AJ59" s="45">
        <f t="shared" ref="AJ59:AL59" si="31">SUM(AJ57:AJ58)</f>
        <v>0</v>
      </c>
      <c r="AK59" s="45">
        <f t="shared" si="31"/>
        <v>0</v>
      </c>
      <c r="AL59" s="45">
        <f t="shared" si="31"/>
        <v>0</v>
      </c>
      <c r="AM59" s="50">
        <v>0</v>
      </c>
      <c r="AN59" s="51">
        <f>IF(A58="","",IF(A58&gt;NomMois,0,IF(A58&lt;$A$3,2.08,(NETWORKDAYS(A58,$A$2)/21.66667)*2.08)))</f>
        <v>2.08</v>
      </c>
      <c r="AO59" s="51">
        <f>IF( AN59="",0,+AN59+Août!AO59)</f>
        <v>2.4639999409230859</v>
      </c>
      <c r="AP59" s="50"/>
      <c r="AQ59" s="45">
        <f>+AM59-AI59</f>
        <v>0</v>
      </c>
      <c r="AR59" s="45">
        <f>+AP59-AJ59</f>
        <v>0</v>
      </c>
      <c r="AS59" s="102">
        <f t="shared" si="17"/>
        <v>2.4639999409230859</v>
      </c>
    </row>
    <row r="60" spans="1:45" s="63" customFormat="1" ht="6.75" customHeight="1" x14ac:dyDescent="0.25">
      <c r="A60" s="60"/>
      <c r="B60" s="42"/>
      <c r="C60" s="64"/>
      <c r="D60" s="64"/>
      <c r="E60" s="64"/>
      <c r="F60" s="64"/>
      <c r="G60" s="64"/>
      <c r="H60" s="64"/>
      <c r="I60" s="64"/>
      <c r="J60" s="64"/>
      <c r="K60" s="64"/>
      <c r="L60" s="64"/>
      <c r="M60" s="64"/>
      <c r="N60" s="64"/>
      <c r="O60" s="64"/>
      <c r="P60" s="64"/>
      <c r="Q60" s="64"/>
      <c r="R60" s="64"/>
      <c r="S60" s="64"/>
      <c r="T60" s="64"/>
      <c r="U60" s="64"/>
      <c r="V60" s="64"/>
      <c r="W60" s="64"/>
      <c r="X60" s="64"/>
      <c r="Y60" s="64"/>
      <c r="Z60" s="64"/>
      <c r="AA60" s="64"/>
      <c r="AB60" s="64"/>
      <c r="AC60" s="64"/>
      <c r="AD60" s="64"/>
      <c r="AE60" s="64"/>
      <c r="AF60" s="64"/>
      <c r="AG60" s="64"/>
      <c r="AH60" s="65"/>
      <c r="AI60" s="65"/>
      <c r="AJ60" s="65"/>
      <c r="AK60" s="65"/>
      <c r="AL60" s="65"/>
      <c r="AM60" s="64"/>
      <c r="AN60" s="65"/>
      <c r="AO60" s="65"/>
      <c r="AP60" s="64"/>
      <c r="AQ60" s="69"/>
      <c r="AR60" s="69"/>
      <c r="AS60" s="65"/>
    </row>
    <row r="61" spans="1:45" s="63" customFormat="1" ht="12.95" customHeight="1" x14ac:dyDescent="0.25">
      <c r="A61" s="41"/>
      <c r="B61" s="42" t="s">
        <v>15</v>
      </c>
      <c r="C61" s="67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  <c r="AA61" s="43"/>
      <c r="AB61" s="43"/>
      <c r="AC61" s="43"/>
      <c r="AD61" s="43"/>
      <c r="AE61" s="43"/>
      <c r="AF61" s="43"/>
      <c r="AG61" s="43"/>
      <c r="AH61" s="44">
        <f>COUNTA(Septembre!$C61:$AG61)</f>
        <v>0</v>
      </c>
      <c r="AI61" s="45">
        <f>(COUNTIFS(Septembre!$C61:$AG61,("cp")))/2+Août!AI61</f>
        <v>4</v>
      </c>
      <c r="AJ61" s="45">
        <f>COUNTIFS(Septembre!$C61:$AG61,"RTT")/2+Août!AJ61</f>
        <v>0</v>
      </c>
      <c r="AK61" s="45">
        <f>COUNTIFS(Septembre!$C61:$AG61,"m")/2+Août!AK61</f>
        <v>0</v>
      </c>
      <c r="AL61" s="45">
        <f>COUNTIFS(Septembre!$C61:$AG61,"a")/2+Août!AL61</f>
        <v>0</v>
      </c>
      <c r="AM61" s="46"/>
      <c r="AN61" s="47"/>
      <c r="AO61" s="47"/>
      <c r="AP61" s="46"/>
      <c r="AQ61" s="47"/>
      <c r="AR61" s="47"/>
      <c r="AS61" s="47"/>
    </row>
    <row r="62" spans="1:45" s="63" customFormat="1" ht="12.95" customHeight="1" x14ac:dyDescent="0.25">
      <c r="A62" s="48">
        <v>42646</v>
      </c>
      <c r="B62" s="42" t="s">
        <v>16</v>
      </c>
      <c r="C62" s="67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  <c r="AA62" s="43"/>
      <c r="AB62" s="43"/>
      <c r="AC62" s="43"/>
      <c r="AD62" s="43"/>
      <c r="AE62" s="43"/>
      <c r="AF62" s="43"/>
      <c r="AG62" s="43"/>
      <c r="AH62" s="44">
        <f>COUNTA(Septembre!$C62:$AG62)</f>
        <v>0</v>
      </c>
      <c r="AI62" s="45">
        <f>(COUNTIFS(Septembre!$C62:$AG62,("cp")))/2+Août!AI62</f>
        <v>4</v>
      </c>
      <c r="AJ62" s="45">
        <f>COUNTIFS(Septembre!$C62:$AG62,"RTT")/2+Août!AJ62</f>
        <v>0</v>
      </c>
      <c r="AK62" s="45">
        <f>COUNTIFS(Septembre!$C62:$AG62,"m")/2+Août!AK62</f>
        <v>0</v>
      </c>
      <c r="AL62" s="45">
        <f>COUNTIFS(Septembre!$C62:$AG62,"a")/2+Août!AL62</f>
        <v>0</v>
      </c>
      <c r="AM62" s="46"/>
      <c r="AN62" s="47"/>
      <c r="AO62" s="47"/>
      <c r="AP62" s="46"/>
      <c r="AQ62" s="47"/>
      <c r="AR62" s="47"/>
      <c r="AS62" s="101"/>
    </row>
    <row r="63" spans="1:45" s="63" customFormat="1" ht="12.95" customHeight="1" x14ac:dyDescent="0.25">
      <c r="A63" s="41"/>
      <c r="B63" s="42"/>
      <c r="C63" s="49" t="str">
        <f t="shared" ref="C63:AG63" si="32">IF(C61&gt;0,C61,IF(C62&gt;0,C62,""))</f>
        <v/>
      </c>
      <c r="D63" s="49" t="str">
        <f t="shared" si="32"/>
        <v/>
      </c>
      <c r="E63" s="49" t="str">
        <f t="shared" si="32"/>
        <v/>
      </c>
      <c r="F63" s="49" t="str">
        <f t="shared" si="32"/>
        <v/>
      </c>
      <c r="G63" s="49" t="str">
        <f t="shared" si="32"/>
        <v/>
      </c>
      <c r="H63" s="49" t="str">
        <f t="shared" si="32"/>
        <v/>
      </c>
      <c r="I63" s="49" t="str">
        <f t="shared" si="32"/>
        <v/>
      </c>
      <c r="J63" s="49" t="str">
        <f t="shared" si="32"/>
        <v/>
      </c>
      <c r="K63" s="49" t="str">
        <f t="shared" si="32"/>
        <v/>
      </c>
      <c r="L63" s="49" t="str">
        <f t="shared" si="32"/>
        <v/>
      </c>
      <c r="M63" s="49" t="str">
        <f t="shared" si="32"/>
        <v/>
      </c>
      <c r="N63" s="49" t="str">
        <f t="shared" si="32"/>
        <v/>
      </c>
      <c r="O63" s="49" t="str">
        <f t="shared" si="32"/>
        <v/>
      </c>
      <c r="P63" s="49" t="str">
        <f t="shared" si="32"/>
        <v/>
      </c>
      <c r="Q63" s="49" t="str">
        <f t="shared" si="32"/>
        <v/>
      </c>
      <c r="R63" s="49" t="str">
        <f t="shared" si="32"/>
        <v/>
      </c>
      <c r="S63" s="49" t="str">
        <f t="shared" si="32"/>
        <v/>
      </c>
      <c r="T63" s="49" t="str">
        <f t="shared" si="32"/>
        <v/>
      </c>
      <c r="U63" s="49" t="str">
        <f t="shared" si="32"/>
        <v/>
      </c>
      <c r="V63" s="49" t="str">
        <f t="shared" si="32"/>
        <v/>
      </c>
      <c r="W63" s="49" t="str">
        <f t="shared" si="32"/>
        <v/>
      </c>
      <c r="X63" s="49" t="str">
        <f t="shared" si="32"/>
        <v/>
      </c>
      <c r="Y63" s="49" t="str">
        <f t="shared" si="32"/>
        <v/>
      </c>
      <c r="Z63" s="49" t="str">
        <f t="shared" si="32"/>
        <v/>
      </c>
      <c r="AA63" s="49" t="str">
        <f t="shared" si="32"/>
        <v/>
      </c>
      <c r="AB63" s="49" t="str">
        <f t="shared" si="32"/>
        <v/>
      </c>
      <c r="AC63" s="49" t="str">
        <f t="shared" si="32"/>
        <v/>
      </c>
      <c r="AD63" s="49" t="str">
        <f t="shared" si="32"/>
        <v/>
      </c>
      <c r="AE63" s="49" t="str">
        <f t="shared" si="32"/>
        <v/>
      </c>
      <c r="AF63" s="49" t="str">
        <f t="shared" si="32"/>
        <v/>
      </c>
      <c r="AG63" s="49" t="str">
        <f t="shared" si="32"/>
        <v/>
      </c>
      <c r="AH63" s="44">
        <f>SUM(AH61:AH62)</f>
        <v>0</v>
      </c>
      <c r="AI63" s="45">
        <f>SUM(AI61:AI62)</f>
        <v>8</v>
      </c>
      <c r="AJ63" s="45">
        <f t="shared" ref="AJ63:AL63" si="33">SUM(AJ61:AJ62)</f>
        <v>0</v>
      </c>
      <c r="AK63" s="45">
        <f t="shared" si="33"/>
        <v>0</v>
      </c>
      <c r="AL63" s="45">
        <f t="shared" si="33"/>
        <v>0</v>
      </c>
      <c r="AM63" s="50">
        <f>Juin!AM63</f>
        <v>16.64</v>
      </c>
      <c r="AN63" s="51">
        <f>IF(A62="","",IF(A62&gt;NomMois,0,IF(A62&lt;$A$3,2.08,(NETWORKDAYS(A62,$A$2)/21.66667)*2.08)))</f>
        <v>2.08</v>
      </c>
      <c r="AO63" s="51">
        <f>IF( AN63="",0,+AN63+Août!AO63)</f>
        <v>8.32</v>
      </c>
      <c r="AP63" s="50"/>
      <c r="AQ63" s="45">
        <f>+AM63-AI63</f>
        <v>8.64</v>
      </c>
      <c r="AR63" s="45">
        <f>+AP63-AJ63</f>
        <v>0</v>
      </c>
      <c r="AS63" s="102">
        <f t="shared" si="17"/>
        <v>16.96</v>
      </c>
    </row>
    <row r="64" spans="1:45" s="63" customFormat="1" ht="6.75" customHeight="1" x14ac:dyDescent="0.25">
      <c r="A64" s="60"/>
      <c r="B64" s="53"/>
      <c r="C64" s="60"/>
      <c r="D64" s="60"/>
      <c r="E64" s="60"/>
      <c r="F64" s="60"/>
      <c r="G64" s="60"/>
      <c r="H64" s="60"/>
      <c r="I64" s="60"/>
      <c r="J64" s="60"/>
      <c r="K64" s="60"/>
      <c r="L64" s="60"/>
      <c r="M64" s="60"/>
      <c r="N64" s="60"/>
      <c r="O64" s="60"/>
      <c r="P64" s="60"/>
      <c r="Q64" s="60"/>
      <c r="R64" s="60"/>
      <c r="S64" s="60"/>
      <c r="T64" s="60"/>
      <c r="U64" s="60"/>
      <c r="V64" s="60"/>
      <c r="W64" s="60"/>
      <c r="X64" s="60"/>
      <c r="Y64" s="60"/>
      <c r="Z64" s="60"/>
      <c r="AA64" s="60"/>
      <c r="AB64" s="60"/>
      <c r="AC64" s="60"/>
      <c r="AD64" s="60"/>
      <c r="AE64" s="60"/>
      <c r="AF64" s="60"/>
      <c r="AG64" s="60"/>
      <c r="AH64" s="61">
        <v>0</v>
      </c>
      <c r="AI64" s="61">
        <v>0</v>
      </c>
      <c r="AJ64" s="61">
        <v>0</v>
      </c>
      <c r="AK64" s="61">
        <v>0</v>
      </c>
      <c r="AL64" s="61">
        <v>0</v>
      </c>
      <c r="AM64" s="60"/>
      <c r="AN64" s="61"/>
      <c r="AO64" s="61"/>
      <c r="AP64" s="60"/>
      <c r="AQ64" s="69"/>
      <c r="AR64" s="69"/>
      <c r="AS64" s="65"/>
    </row>
    <row r="65" spans="1:45" s="63" customFormat="1" ht="12.95" customHeight="1" x14ac:dyDescent="0.25">
      <c r="A65" s="41"/>
      <c r="B65" s="42" t="s">
        <v>15</v>
      </c>
      <c r="C65" s="67"/>
      <c r="D65" s="43"/>
      <c r="E65" s="43"/>
      <c r="F65" s="43" t="s">
        <v>7</v>
      </c>
      <c r="G65" s="43" t="s">
        <v>7</v>
      </c>
      <c r="H65" s="43" t="s">
        <v>7</v>
      </c>
      <c r="I65" s="43" t="s">
        <v>7</v>
      </c>
      <c r="J65" s="43" t="s">
        <v>7</v>
      </c>
      <c r="K65" s="43"/>
      <c r="L65" s="43"/>
      <c r="M65" s="43" t="s">
        <v>7</v>
      </c>
      <c r="N65" s="43" t="s">
        <v>7</v>
      </c>
      <c r="O65" s="43"/>
      <c r="P65" s="43"/>
      <c r="Q65" s="43"/>
      <c r="R65" s="43"/>
      <c r="S65" s="43"/>
      <c r="T65" s="43"/>
      <c r="U65" s="43"/>
      <c r="V65" s="43"/>
      <c r="W65" s="43"/>
      <c r="X65" s="43"/>
      <c r="Y65" s="43"/>
      <c r="Z65" s="43"/>
      <c r="AA65" s="43"/>
      <c r="AB65" s="43"/>
      <c r="AC65" s="43"/>
      <c r="AD65" s="43"/>
      <c r="AE65" s="43"/>
      <c r="AF65" s="43"/>
      <c r="AG65" s="43"/>
      <c r="AH65" s="44">
        <f>COUNTA(Septembre!$C65:$AG65)</f>
        <v>7</v>
      </c>
      <c r="AI65" s="45">
        <f>(COUNTIFS(Septembre!$C65:$AG65,("cp")))/2+Août!AI65</f>
        <v>8</v>
      </c>
      <c r="AJ65" s="45">
        <f>COUNTIFS(Septembre!$C65:$AG65,"RTT")/2+Août!AJ65</f>
        <v>0</v>
      </c>
      <c r="AK65" s="45">
        <f>COUNTIFS(Septembre!$C65:$AG65,"m")/2+Août!AK65</f>
        <v>0</v>
      </c>
      <c r="AL65" s="45">
        <f>COUNTIFS(Septembre!$C65:$AG65,"a")/2+Août!AL65</f>
        <v>0</v>
      </c>
      <c r="AM65" s="46"/>
      <c r="AN65" s="47"/>
      <c r="AO65" s="47"/>
      <c r="AP65" s="46"/>
      <c r="AQ65" s="47"/>
      <c r="AR65" s="47"/>
      <c r="AS65" s="47"/>
    </row>
    <row r="66" spans="1:45" s="63" customFormat="1" ht="12.95" customHeight="1" x14ac:dyDescent="0.25">
      <c r="A66" s="48">
        <v>42410</v>
      </c>
      <c r="B66" s="42" t="s">
        <v>16</v>
      </c>
      <c r="C66" s="67"/>
      <c r="D66" s="43"/>
      <c r="E66" s="43"/>
      <c r="F66" s="43" t="s">
        <v>7</v>
      </c>
      <c r="G66" s="43" t="s">
        <v>7</v>
      </c>
      <c r="H66" s="43" t="s">
        <v>7</v>
      </c>
      <c r="I66" s="43" t="s">
        <v>7</v>
      </c>
      <c r="J66" s="43" t="s">
        <v>7</v>
      </c>
      <c r="K66" s="43"/>
      <c r="L66" s="43"/>
      <c r="M66" s="43" t="s">
        <v>7</v>
      </c>
      <c r="N66" s="43" t="s">
        <v>7</v>
      </c>
      <c r="O66" s="43"/>
      <c r="P66" s="43"/>
      <c r="Q66" s="43"/>
      <c r="R66" s="43"/>
      <c r="S66" s="43"/>
      <c r="T66" s="43"/>
      <c r="U66" s="43"/>
      <c r="V66" s="43"/>
      <c r="W66" s="43"/>
      <c r="X66" s="43"/>
      <c r="Y66" s="43"/>
      <c r="Z66" s="43"/>
      <c r="AA66" s="43"/>
      <c r="AB66" s="43"/>
      <c r="AC66" s="43"/>
      <c r="AD66" s="43"/>
      <c r="AE66" s="43"/>
      <c r="AF66" s="43"/>
      <c r="AG66" s="43"/>
      <c r="AH66" s="44">
        <f>COUNTA(Septembre!$C66:$AG66)</f>
        <v>7</v>
      </c>
      <c r="AI66" s="45">
        <f>(COUNTIFS(Septembre!$C66:$AG66,("cp")))/2+Août!AI66</f>
        <v>8</v>
      </c>
      <c r="AJ66" s="45">
        <f>COUNTIFS(Septembre!$C66:$AG66,"RTT")/2+Août!AJ66</f>
        <v>0</v>
      </c>
      <c r="AK66" s="45">
        <f>COUNTIFS(Septembre!$C66:$AG66,"m")/2+Août!AK66</f>
        <v>0</v>
      </c>
      <c r="AL66" s="45">
        <f>COUNTIFS(Septembre!$C66:$AG66,"a")/2+Août!AL66</f>
        <v>0</v>
      </c>
      <c r="AM66" s="46"/>
      <c r="AN66" s="47"/>
      <c r="AO66" s="47"/>
      <c r="AP66" s="46"/>
      <c r="AQ66" s="47"/>
      <c r="AR66" s="47"/>
      <c r="AS66" s="101"/>
    </row>
    <row r="67" spans="1:45" s="63" customFormat="1" ht="12.95" customHeight="1" x14ac:dyDescent="0.25">
      <c r="A67" s="41"/>
      <c r="B67" s="42"/>
      <c r="C67" s="49" t="str">
        <f t="shared" ref="C67:AG67" si="34">IF(C65&gt;0,C65,IF(C66&gt;0,C66,""))</f>
        <v/>
      </c>
      <c r="D67" s="49" t="str">
        <f t="shared" si="34"/>
        <v/>
      </c>
      <c r="E67" s="49" t="str">
        <f t="shared" si="34"/>
        <v/>
      </c>
      <c r="F67" s="49" t="str">
        <f t="shared" si="34"/>
        <v>CP</v>
      </c>
      <c r="G67" s="49" t="str">
        <f t="shared" si="34"/>
        <v>CP</v>
      </c>
      <c r="H67" s="49" t="str">
        <f t="shared" si="34"/>
        <v>CP</v>
      </c>
      <c r="I67" s="49" t="str">
        <f t="shared" si="34"/>
        <v>CP</v>
      </c>
      <c r="J67" s="49" t="str">
        <f t="shared" si="34"/>
        <v>CP</v>
      </c>
      <c r="K67" s="49" t="str">
        <f t="shared" si="34"/>
        <v/>
      </c>
      <c r="L67" s="49" t="str">
        <f t="shared" si="34"/>
        <v/>
      </c>
      <c r="M67" s="49" t="str">
        <f t="shared" si="34"/>
        <v>CP</v>
      </c>
      <c r="N67" s="49" t="str">
        <f t="shared" si="34"/>
        <v>CP</v>
      </c>
      <c r="O67" s="49" t="str">
        <f t="shared" si="34"/>
        <v/>
      </c>
      <c r="P67" s="49" t="str">
        <f t="shared" si="34"/>
        <v/>
      </c>
      <c r="Q67" s="49" t="str">
        <f t="shared" si="34"/>
        <v/>
      </c>
      <c r="R67" s="49" t="str">
        <f t="shared" si="34"/>
        <v/>
      </c>
      <c r="S67" s="49" t="str">
        <f t="shared" si="34"/>
        <v/>
      </c>
      <c r="T67" s="49" t="str">
        <f t="shared" si="34"/>
        <v/>
      </c>
      <c r="U67" s="49" t="str">
        <f t="shared" si="34"/>
        <v/>
      </c>
      <c r="V67" s="49" t="str">
        <f t="shared" si="34"/>
        <v/>
      </c>
      <c r="W67" s="49" t="str">
        <f t="shared" si="34"/>
        <v/>
      </c>
      <c r="X67" s="49" t="str">
        <f t="shared" si="34"/>
        <v/>
      </c>
      <c r="Y67" s="49" t="str">
        <f t="shared" si="34"/>
        <v/>
      </c>
      <c r="Z67" s="49" t="str">
        <f t="shared" si="34"/>
        <v/>
      </c>
      <c r="AA67" s="49" t="str">
        <f t="shared" si="34"/>
        <v/>
      </c>
      <c r="AB67" s="49" t="str">
        <f t="shared" si="34"/>
        <v/>
      </c>
      <c r="AC67" s="49" t="str">
        <f t="shared" si="34"/>
        <v/>
      </c>
      <c r="AD67" s="49" t="str">
        <f t="shared" si="34"/>
        <v/>
      </c>
      <c r="AE67" s="49" t="str">
        <f t="shared" si="34"/>
        <v/>
      </c>
      <c r="AF67" s="49" t="str">
        <f t="shared" si="34"/>
        <v/>
      </c>
      <c r="AG67" s="49" t="str">
        <f t="shared" si="34"/>
        <v/>
      </c>
      <c r="AH67" s="44">
        <f>SUM(AH65:AH66)</f>
        <v>14</v>
      </c>
      <c r="AI67" s="45">
        <f>SUM(AI65:AI66)</f>
        <v>16</v>
      </c>
      <c r="AJ67" s="45">
        <f t="shared" ref="AJ67:AL67" si="35">SUM(AJ65:AJ66)</f>
        <v>0</v>
      </c>
      <c r="AK67" s="45">
        <f t="shared" si="35"/>
        <v>0</v>
      </c>
      <c r="AL67" s="45">
        <f t="shared" si="35"/>
        <v>0</v>
      </c>
      <c r="AM67" s="50">
        <f>Juin!AM67</f>
        <v>22.46</v>
      </c>
      <c r="AN67" s="51">
        <f>IF(A66="","",IF(A66&gt;NomMois,0,IF(A66&lt;$A$3,2.08,(NETWORKDAYS(A66,$A$2)/21.66667)*2.08)))</f>
        <v>2.08</v>
      </c>
      <c r="AO67" s="51">
        <f>IF( AN67="",0,+AN67+Août!AO67)</f>
        <v>8.32</v>
      </c>
      <c r="AP67" s="50"/>
      <c r="AQ67" s="45">
        <f>+AM67-AI67</f>
        <v>6.4600000000000009</v>
      </c>
      <c r="AR67" s="45">
        <f>+AP67-AJ67</f>
        <v>0</v>
      </c>
      <c r="AS67" s="102">
        <f t="shared" si="17"/>
        <v>14.780000000000001</v>
      </c>
    </row>
    <row r="68" spans="1:45" s="63" customFormat="1" ht="6.75" customHeight="1" x14ac:dyDescent="0.25">
      <c r="A68" s="64"/>
      <c r="B68" s="42"/>
      <c r="C68" s="64"/>
      <c r="D68" s="64"/>
      <c r="E68" s="64"/>
      <c r="F68" s="64"/>
      <c r="G68" s="64"/>
      <c r="H68" s="64"/>
      <c r="I68" s="64"/>
      <c r="J68" s="64"/>
      <c r="K68" s="64"/>
      <c r="L68" s="64"/>
      <c r="M68" s="64"/>
      <c r="N68" s="64"/>
      <c r="O68" s="64"/>
      <c r="P68" s="64"/>
      <c r="Q68" s="64"/>
      <c r="R68" s="64"/>
      <c r="S68" s="64"/>
      <c r="T68" s="64"/>
      <c r="U68" s="64"/>
      <c r="V68" s="64"/>
      <c r="W68" s="64"/>
      <c r="X68" s="64"/>
      <c r="Y68" s="64"/>
      <c r="Z68" s="64"/>
      <c r="AA68" s="64"/>
      <c r="AB68" s="64"/>
      <c r="AC68" s="64"/>
      <c r="AD68" s="64"/>
      <c r="AE68" s="64"/>
      <c r="AF68" s="64"/>
      <c r="AG68" s="64"/>
      <c r="AH68" s="65"/>
      <c r="AI68" s="65"/>
      <c r="AJ68" s="65"/>
      <c r="AK68" s="65"/>
      <c r="AL68" s="65"/>
      <c r="AM68" s="64"/>
      <c r="AN68" s="65"/>
      <c r="AO68" s="65"/>
      <c r="AP68" s="64"/>
      <c r="AQ68" s="69"/>
      <c r="AR68" s="69"/>
      <c r="AS68" s="65"/>
    </row>
    <row r="69" spans="1:45" s="63" customFormat="1" ht="12.95" customHeight="1" x14ac:dyDescent="0.25">
      <c r="A69" s="41"/>
      <c r="B69" s="42" t="s">
        <v>15</v>
      </c>
      <c r="C69" s="67"/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43"/>
      <c r="AA69" s="43"/>
      <c r="AB69" s="43"/>
      <c r="AC69" s="43"/>
      <c r="AD69" s="43"/>
      <c r="AE69" s="43"/>
      <c r="AF69" s="43"/>
      <c r="AG69" s="43"/>
      <c r="AH69" s="44">
        <f>COUNTA(Septembre!$C69:$AG69)</f>
        <v>0</v>
      </c>
      <c r="AI69" s="45">
        <f>(COUNTIFS(Septembre!$C69:$AG69,("cp")))/2+Août!AI69</f>
        <v>10</v>
      </c>
      <c r="AJ69" s="45">
        <f>COUNTIFS(Septembre!$C69:$AG69,"RTT")/2+Août!AJ69</f>
        <v>0</v>
      </c>
      <c r="AK69" s="45">
        <f>COUNTIFS(Septembre!$C69:$AG69,"m")/2+Août!AK69</f>
        <v>0</v>
      </c>
      <c r="AL69" s="45">
        <f>COUNTIFS(Septembre!$C69:$AG69,"a")/2+Août!AL69</f>
        <v>1</v>
      </c>
      <c r="AM69" s="46"/>
      <c r="AN69" s="47"/>
      <c r="AO69" s="47"/>
      <c r="AP69" s="46"/>
      <c r="AQ69" s="47"/>
      <c r="AR69" s="47"/>
      <c r="AS69" s="47"/>
    </row>
    <row r="70" spans="1:45" s="63" customFormat="1" ht="12.95" customHeight="1" x14ac:dyDescent="0.25">
      <c r="A70" s="48">
        <v>41701</v>
      </c>
      <c r="B70" s="42" t="s">
        <v>16</v>
      </c>
      <c r="C70" s="67"/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  <c r="S70" s="43"/>
      <c r="T70" s="43"/>
      <c r="U70" s="43"/>
      <c r="V70" s="43"/>
      <c r="W70" s="43"/>
      <c r="X70" s="43"/>
      <c r="Y70" s="43"/>
      <c r="Z70" s="43"/>
      <c r="AA70" s="43"/>
      <c r="AB70" s="43"/>
      <c r="AC70" s="43"/>
      <c r="AD70" s="43"/>
      <c r="AE70" s="43"/>
      <c r="AF70" s="43"/>
      <c r="AG70" s="43"/>
      <c r="AH70" s="44">
        <f>COUNTA(Septembre!$C70:$AG70)</f>
        <v>0</v>
      </c>
      <c r="AI70" s="45">
        <f>(COUNTIFS(Septembre!$C70:$AG70,("cp")))/2+Août!AI70</f>
        <v>10</v>
      </c>
      <c r="AJ70" s="45">
        <f>COUNTIFS(Septembre!$C70:$AG70,"RTT")/2+Août!AJ70</f>
        <v>0</v>
      </c>
      <c r="AK70" s="45">
        <f>COUNTIFS(Septembre!$C70:$AG70,"m")/2+Août!AK70</f>
        <v>0</v>
      </c>
      <c r="AL70" s="45">
        <f>COUNTIFS(Septembre!$C70:$AG70,"a")/2+Août!AL70</f>
        <v>1</v>
      </c>
      <c r="AM70" s="46"/>
      <c r="AN70" s="47"/>
      <c r="AO70" s="47"/>
      <c r="AP70" s="46"/>
      <c r="AQ70" s="47"/>
      <c r="AR70" s="47"/>
      <c r="AS70" s="101"/>
    </row>
    <row r="71" spans="1:45" s="63" customFormat="1" ht="12.95" customHeight="1" x14ac:dyDescent="0.25">
      <c r="A71" s="41"/>
      <c r="B71" s="42"/>
      <c r="C71" s="49" t="str">
        <f t="shared" ref="C71:AG71" si="36">IF(C69&gt;0,C69,IF(C70&gt;0,C70,""))</f>
        <v/>
      </c>
      <c r="D71" s="49" t="str">
        <f t="shared" si="36"/>
        <v/>
      </c>
      <c r="E71" s="49" t="str">
        <f t="shared" si="36"/>
        <v/>
      </c>
      <c r="F71" s="49" t="str">
        <f t="shared" si="36"/>
        <v/>
      </c>
      <c r="G71" s="49" t="str">
        <f t="shared" si="36"/>
        <v/>
      </c>
      <c r="H71" s="49" t="str">
        <f t="shared" si="36"/>
        <v/>
      </c>
      <c r="I71" s="49" t="str">
        <f t="shared" si="36"/>
        <v/>
      </c>
      <c r="J71" s="49" t="str">
        <f t="shared" si="36"/>
        <v/>
      </c>
      <c r="K71" s="49" t="str">
        <f t="shared" si="36"/>
        <v/>
      </c>
      <c r="L71" s="49" t="str">
        <f t="shared" si="36"/>
        <v/>
      </c>
      <c r="M71" s="49" t="str">
        <f t="shared" si="36"/>
        <v/>
      </c>
      <c r="N71" s="49" t="str">
        <f t="shared" si="36"/>
        <v/>
      </c>
      <c r="O71" s="49" t="str">
        <f t="shared" si="36"/>
        <v/>
      </c>
      <c r="P71" s="49" t="str">
        <f t="shared" si="36"/>
        <v/>
      </c>
      <c r="Q71" s="49" t="str">
        <f t="shared" si="36"/>
        <v/>
      </c>
      <c r="R71" s="49" t="str">
        <f t="shared" si="36"/>
        <v/>
      </c>
      <c r="S71" s="49" t="str">
        <f t="shared" si="36"/>
        <v/>
      </c>
      <c r="T71" s="49" t="str">
        <f t="shared" si="36"/>
        <v/>
      </c>
      <c r="U71" s="49" t="str">
        <f t="shared" si="36"/>
        <v/>
      </c>
      <c r="V71" s="49" t="str">
        <f t="shared" si="36"/>
        <v/>
      </c>
      <c r="W71" s="49" t="str">
        <f t="shared" si="36"/>
        <v/>
      </c>
      <c r="X71" s="49" t="str">
        <f t="shared" si="36"/>
        <v/>
      </c>
      <c r="Y71" s="49" t="str">
        <f t="shared" si="36"/>
        <v/>
      </c>
      <c r="Z71" s="49" t="str">
        <f t="shared" si="36"/>
        <v/>
      </c>
      <c r="AA71" s="49" t="str">
        <f t="shared" si="36"/>
        <v/>
      </c>
      <c r="AB71" s="49" t="str">
        <f t="shared" si="36"/>
        <v/>
      </c>
      <c r="AC71" s="49" t="str">
        <f t="shared" si="36"/>
        <v/>
      </c>
      <c r="AD71" s="49" t="str">
        <f t="shared" si="36"/>
        <v/>
      </c>
      <c r="AE71" s="49" t="str">
        <f t="shared" si="36"/>
        <v/>
      </c>
      <c r="AF71" s="49" t="str">
        <f t="shared" si="36"/>
        <v/>
      </c>
      <c r="AG71" s="49" t="str">
        <f t="shared" si="36"/>
        <v/>
      </c>
      <c r="AH71" s="44">
        <f>SUM(AH69:AH70)</f>
        <v>0</v>
      </c>
      <c r="AI71" s="45">
        <f>SUM(AI69:AI70)</f>
        <v>20</v>
      </c>
      <c r="AJ71" s="45">
        <f t="shared" ref="AJ71:AL71" si="37">SUM(AJ69:AJ70)</f>
        <v>0</v>
      </c>
      <c r="AK71" s="45">
        <f t="shared" si="37"/>
        <v>0</v>
      </c>
      <c r="AL71" s="45">
        <f t="shared" si="37"/>
        <v>2</v>
      </c>
      <c r="AM71" s="50">
        <f>Juin!AM71</f>
        <v>45.34</v>
      </c>
      <c r="AN71" s="51">
        <f>IF(A70="","",IF(A70&gt;NomMois,0,IF(A70&lt;$A$3,2.08,(NETWORKDAYS(A70,$A$2)/21.66667)*2.08)))</f>
        <v>2.08</v>
      </c>
      <c r="AO71" s="51">
        <f>IF( AN71="",0,+AN71+Août!AO71)</f>
        <v>8.32</v>
      </c>
      <c r="AP71" s="50"/>
      <c r="AQ71" s="45">
        <f>+AM71-AI71</f>
        <v>25.340000000000003</v>
      </c>
      <c r="AR71" s="45">
        <f>+AP71-AJ71</f>
        <v>0</v>
      </c>
      <c r="AS71" s="102">
        <f t="shared" si="17"/>
        <v>33.660000000000004</v>
      </c>
    </row>
    <row r="72" spans="1:45" s="63" customFormat="1" ht="6.75" customHeight="1" x14ac:dyDescent="0.25">
      <c r="A72" s="60"/>
      <c r="B72" s="53"/>
      <c r="C72" s="60"/>
      <c r="D72" s="60"/>
      <c r="E72" s="60"/>
      <c r="F72" s="60"/>
      <c r="G72" s="60"/>
      <c r="H72" s="60"/>
      <c r="I72" s="60"/>
      <c r="J72" s="60"/>
      <c r="K72" s="60"/>
      <c r="L72" s="60"/>
      <c r="M72" s="60"/>
      <c r="N72" s="60"/>
      <c r="O72" s="60"/>
      <c r="P72" s="60"/>
      <c r="Q72" s="60"/>
      <c r="R72" s="60"/>
      <c r="S72" s="60"/>
      <c r="T72" s="60"/>
      <c r="U72" s="60"/>
      <c r="V72" s="60"/>
      <c r="W72" s="60"/>
      <c r="X72" s="60"/>
      <c r="Y72" s="60"/>
      <c r="Z72" s="60"/>
      <c r="AA72" s="60"/>
      <c r="AB72" s="60"/>
      <c r="AC72" s="60"/>
      <c r="AD72" s="60"/>
      <c r="AE72" s="60"/>
      <c r="AF72" s="60"/>
      <c r="AG72" s="60"/>
      <c r="AH72" s="61"/>
      <c r="AI72" s="61"/>
      <c r="AJ72" s="61"/>
      <c r="AK72" s="61"/>
      <c r="AL72" s="61"/>
      <c r="AM72" s="60"/>
      <c r="AN72" s="61"/>
      <c r="AO72" s="61"/>
      <c r="AP72" s="60"/>
      <c r="AQ72" s="69"/>
      <c r="AR72" s="69"/>
      <c r="AS72" s="65"/>
    </row>
    <row r="73" spans="1:45" s="63" customFormat="1" ht="12.95" customHeight="1" x14ac:dyDescent="0.25">
      <c r="A73" s="41"/>
      <c r="B73" s="42" t="s">
        <v>15</v>
      </c>
      <c r="C73" s="67"/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43"/>
      <c r="AH73" s="44">
        <f>COUNTA(Septembre!$C73:$AG73)</f>
        <v>0</v>
      </c>
      <c r="AI73" s="45">
        <f>(COUNTIFS(Septembre!$C73:$AG73,("cp")))/2+Août!AI73</f>
        <v>0</v>
      </c>
      <c r="AJ73" s="45">
        <f>COUNTIFS(Septembre!$C73:$AG73,"RTT")/2+Août!AJ73</f>
        <v>0</v>
      </c>
      <c r="AK73" s="45">
        <f>COUNTIFS(Septembre!$C73:$AG73,"m")/2+Août!AK73</f>
        <v>0</v>
      </c>
      <c r="AL73" s="45">
        <f>COUNTIFS(Septembre!$C73:$AG73,"a")/2+Août!AL73</f>
        <v>0</v>
      </c>
      <c r="AM73" s="46"/>
      <c r="AN73" s="47"/>
      <c r="AO73" s="47"/>
      <c r="AP73" s="46"/>
      <c r="AQ73" s="47"/>
      <c r="AR73" s="47"/>
      <c r="AS73" s="47"/>
    </row>
    <row r="74" spans="1:45" s="63" customFormat="1" ht="12.95" customHeight="1" x14ac:dyDescent="0.25">
      <c r="A74" s="48">
        <v>42979</v>
      </c>
      <c r="B74" s="42" t="s">
        <v>16</v>
      </c>
      <c r="C74" s="67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43"/>
      <c r="AH74" s="44">
        <f>COUNTA(Septembre!$C74:$AG74)</f>
        <v>0</v>
      </c>
      <c r="AI74" s="45">
        <f>(COUNTIFS(Septembre!$C74:$AG74,("cp")))/2+Août!AI74</f>
        <v>0</v>
      </c>
      <c r="AJ74" s="45">
        <f>COUNTIFS(Septembre!$C74:$AG74,"RTT")/2+Août!AJ74</f>
        <v>0</v>
      </c>
      <c r="AK74" s="45">
        <f>COUNTIFS(Septembre!$C74:$AG74,"m")/2+Août!AK74</f>
        <v>0</v>
      </c>
      <c r="AL74" s="45">
        <f>COUNTIFS(Septembre!$C74:$AG74,"a")/2+Août!AL74</f>
        <v>0</v>
      </c>
      <c r="AM74" s="46"/>
      <c r="AN74" s="47"/>
      <c r="AO74" s="47"/>
      <c r="AP74" s="46"/>
      <c r="AQ74" s="47"/>
      <c r="AR74" s="47"/>
      <c r="AS74" s="101"/>
    </row>
    <row r="75" spans="1:45" s="63" customFormat="1" ht="12.95" customHeight="1" x14ac:dyDescent="0.25">
      <c r="A75" s="41"/>
      <c r="B75" s="42"/>
      <c r="C75" s="49" t="str">
        <f t="shared" ref="C75:AG75" si="38">IF(C73&gt;0,C73,IF(C74&gt;0,C74,""))</f>
        <v/>
      </c>
      <c r="D75" s="49" t="str">
        <f t="shared" si="38"/>
        <v/>
      </c>
      <c r="E75" s="49" t="str">
        <f t="shared" si="38"/>
        <v/>
      </c>
      <c r="F75" s="49" t="str">
        <f t="shared" si="38"/>
        <v/>
      </c>
      <c r="G75" s="49" t="str">
        <f t="shared" si="38"/>
        <v/>
      </c>
      <c r="H75" s="49" t="str">
        <f t="shared" si="38"/>
        <v/>
      </c>
      <c r="I75" s="49" t="str">
        <f t="shared" si="38"/>
        <v/>
      </c>
      <c r="J75" s="49" t="str">
        <f t="shared" si="38"/>
        <v/>
      </c>
      <c r="K75" s="49" t="str">
        <f t="shared" si="38"/>
        <v/>
      </c>
      <c r="L75" s="49" t="str">
        <f t="shared" si="38"/>
        <v/>
      </c>
      <c r="M75" s="49" t="str">
        <f t="shared" si="38"/>
        <v/>
      </c>
      <c r="N75" s="49" t="str">
        <f t="shared" si="38"/>
        <v/>
      </c>
      <c r="O75" s="49" t="str">
        <f t="shared" si="38"/>
        <v/>
      </c>
      <c r="P75" s="49" t="str">
        <f t="shared" si="38"/>
        <v/>
      </c>
      <c r="Q75" s="49" t="str">
        <f t="shared" si="38"/>
        <v/>
      </c>
      <c r="R75" s="49" t="str">
        <f t="shared" si="38"/>
        <v/>
      </c>
      <c r="S75" s="49" t="str">
        <f t="shared" si="38"/>
        <v/>
      </c>
      <c r="T75" s="49" t="str">
        <f t="shared" si="38"/>
        <v/>
      </c>
      <c r="U75" s="49" t="str">
        <f t="shared" si="38"/>
        <v/>
      </c>
      <c r="V75" s="49" t="str">
        <f t="shared" si="38"/>
        <v/>
      </c>
      <c r="W75" s="49" t="str">
        <f t="shared" si="38"/>
        <v/>
      </c>
      <c r="X75" s="49" t="str">
        <f t="shared" si="38"/>
        <v/>
      </c>
      <c r="Y75" s="49" t="str">
        <f t="shared" si="38"/>
        <v/>
      </c>
      <c r="Z75" s="49" t="str">
        <f t="shared" si="38"/>
        <v/>
      </c>
      <c r="AA75" s="49" t="str">
        <f t="shared" si="38"/>
        <v/>
      </c>
      <c r="AB75" s="49" t="str">
        <f t="shared" si="38"/>
        <v/>
      </c>
      <c r="AC75" s="49" t="str">
        <f t="shared" si="38"/>
        <v/>
      </c>
      <c r="AD75" s="49" t="str">
        <f t="shared" si="38"/>
        <v/>
      </c>
      <c r="AE75" s="49" t="str">
        <f t="shared" si="38"/>
        <v/>
      </c>
      <c r="AF75" s="49" t="str">
        <f t="shared" si="38"/>
        <v/>
      </c>
      <c r="AG75" s="49" t="str">
        <f t="shared" si="38"/>
        <v/>
      </c>
      <c r="AH75" s="44">
        <f>SUM(AH73:AH74)</f>
        <v>0</v>
      </c>
      <c r="AI75" s="45">
        <f>SUM(AI73:AI74)</f>
        <v>0</v>
      </c>
      <c r="AJ75" s="45">
        <f t="shared" ref="AJ75:AL75" si="39">SUM(AJ73:AJ74)</f>
        <v>0</v>
      </c>
      <c r="AK75" s="45">
        <f t="shared" si="39"/>
        <v>0</v>
      </c>
      <c r="AL75" s="45">
        <f t="shared" si="39"/>
        <v>0</v>
      </c>
      <c r="AM75" s="50">
        <f>Juin!AM75</f>
        <v>0</v>
      </c>
      <c r="AN75" s="51">
        <f>IF(A74="","",IF(A74&gt;NomMois,0,IF(A74&lt;$A$3,2.08,(NETWORKDAYS(A74,$A$2)/21.66667)*2.08)))</f>
        <v>2.0159996898462018</v>
      </c>
      <c r="AO75" s="51">
        <f>IF( AN75="",0,+AN75+Août!AO75)</f>
        <v>2.0159996898462018</v>
      </c>
      <c r="AP75" s="50"/>
      <c r="AQ75" s="45">
        <f>+AM75-AI75</f>
        <v>0</v>
      </c>
      <c r="AR75" s="45">
        <f>+AP75-AJ75</f>
        <v>0</v>
      </c>
      <c r="AS75" s="102">
        <f t="shared" si="17"/>
        <v>2.0159996898462018</v>
      </c>
    </row>
    <row r="76" spans="1:45" s="63" customFormat="1" ht="6.75" customHeight="1" x14ac:dyDescent="0.25">
      <c r="A76" s="64"/>
      <c r="B76" s="42"/>
      <c r="C76" s="64"/>
      <c r="D76" s="64"/>
      <c r="E76" s="64"/>
      <c r="F76" s="64"/>
      <c r="G76" s="64"/>
      <c r="H76" s="64"/>
      <c r="I76" s="64"/>
      <c r="J76" s="64"/>
      <c r="K76" s="64"/>
      <c r="L76" s="64"/>
      <c r="M76" s="64"/>
      <c r="N76" s="64"/>
      <c r="O76" s="64"/>
      <c r="P76" s="64"/>
      <c r="Q76" s="64"/>
      <c r="R76" s="64"/>
      <c r="S76" s="64"/>
      <c r="T76" s="64"/>
      <c r="U76" s="64"/>
      <c r="V76" s="64"/>
      <c r="W76" s="64"/>
      <c r="X76" s="64"/>
      <c r="Y76" s="64"/>
      <c r="Z76" s="64"/>
      <c r="AA76" s="64"/>
      <c r="AB76" s="64"/>
      <c r="AC76" s="64"/>
      <c r="AD76" s="64"/>
      <c r="AE76" s="64"/>
      <c r="AF76" s="64"/>
      <c r="AG76" s="64"/>
      <c r="AH76" s="65"/>
      <c r="AI76" s="65"/>
      <c r="AJ76" s="65"/>
      <c r="AK76" s="65"/>
      <c r="AL76" s="65"/>
      <c r="AM76" s="64"/>
      <c r="AN76" s="65"/>
      <c r="AO76" s="65"/>
      <c r="AP76" s="64"/>
      <c r="AQ76" s="69"/>
      <c r="AR76" s="69"/>
      <c r="AS76" s="65"/>
    </row>
    <row r="77" spans="1:45" s="63" customFormat="1" ht="12.95" customHeight="1" x14ac:dyDescent="0.25">
      <c r="A77" s="41"/>
      <c r="B77" s="42" t="s">
        <v>15</v>
      </c>
      <c r="C77" s="67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43"/>
      <c r="AH77" s="44">
        <f>COUNTA(Septembre!$C77:$AG77)</f>
        <v>0</v>
      </c>
      <c r="AI77" s="45">
        <f>(COUNTIFS(Septembre!$C77:$AG77,("cp")))/2+Août!AI77</f>
        <v>0</v>
      </c>
      <c r="AJ77" s="45">
        <f>COUNTIFS(Septembre!$C77:$AG77,"RTT")/2+Août!AJ77</f>
        <v>0</v>
      </c>
      <c r="AK77" s="45">
        <f>COUNTIFS(Septembre!$C77:$AG77,"m")/2+Août!AK77</f>
        <v>0</v>
      </c>
      <c r="AL77" s="45">
        <f>COUNTIFS(Septembre!$C77:$AG77,"a")/2+Août!AL77</f>
        <v>0</v>
      </c>
      <c r="AM77" s="46"/>
      <c r="AN77" s="47"/>
      <c r="AO77" s="47"/>
      <c r="AP77" s="46"/>
      <c r="AQ77" s="47"/>
      <c r="AR77" s="47"/>
      <c r="AS77" s="47"/>
    </row>
    <row r="78" spans="1:45" s="63" customFormat="1" ht="12.95" customHeight="1" x14ac:dyDescent="0.25">
      <c r="A78" s="48">
        <v>43059</v>
      </c>
      <c r="B78" s="42" t="s">
        <v>16</v>
      </c>
      <c r="C78" s="67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  <c r="AA78" s="43"/>
      <c r="AB78" s="43"/>
      <c r="AC78" s="43"/>
      <c r="AD78" s="43"/>
      <c r="AE78" s="43"/>
      <c r="AF78" s="43"/>
      <c r="AG78" s="43"/>
      <c r="AH78" s="44">
        <f>COUNTA(Septembre!$C78:$AG78)</f>
        <v>0</v>
      </c>
      <c r="AI78" s="45">
        <f>(COUNTIFS(Septembre!$C78:$AG78,("cp")))/2+Août!AI78</f>
        <v>0</v>
      </c>
      <c r="AJ78" s="45">
        <f>COUNTIFS(Septembre!$C78:$AG78,"RTT")/2+Août!AJ78</f>
        <v>0</v>
      </c>
      <c r="AK78" s="45">
        <f>COUNTIFS(Septembre!$C78:$AG78,"m")/2+Août!AK78</f>
        <v>0</v>
      </c>
      <c r="AL78" s="45">
        <f>COUNTIFS(Septembre!$C78:$AG78,"a")/2+Août!AL78</f>
        <v>0</v>
      </c>
      <c r="AM78" s="46"/>
      <c r="AN78" s="47"/>
      <c r="AO78" s="47"/>
      <c r="AP78" s="46"/>
      <c r="AQ78" s="47"/>
      <c r="AR78" s="47"/>
      <c r="AS78" s="101"/>
    </row>
    <row r="79" spans="1:45" s="63" customFormat="1" ht="12.95" customHeight="1" x14ac:dyDescent="0.25">
      <c r="A79" s="41"/>
      <c r="B79" s="42"/>
      <c r="C79" s="49" t="str">
        <f t="shared" ref="C79:AG79" si="40">IF(C77&gt;0,C77,IF(C78&gt;0,C78,""))</f>
        <v/>
      </c>
      <c r="D79" s="49" t="str">
        <f t="shared" si="40"/>
        <v/>
      </c>
      <c r="E79" s="49" t="str">
        <f t="shared" si="40"/>
        <v/>
      </c>
      <c r="F79" s="49" t="str">
        <f t="shared" si="40"/>
        <v/>
      </c>
      <c r="G79" s="49" t="str">
        <f t="shared" si="40"/>
        <v/>
      </c>
      <c r="H79" s="49" t="str">
        <f t="shared" si="40"/>
        <v/>
      </c>
      <c r="I79" s="49" t="str">
        <f t="shared" si="40"/>
        <v/>
      </c>
      <c r="J79" s="49" t="str">
        <f t="shared" si="40"/>
        <v/>
      </c>
      <c r="K79" s="49" t="str">
        <f t="shared" si="40"/>
        <v/>
      </c>
      <c r="L79" s="49" t="str">
        <f t="shared" si="40"/>
        <v/>
      </c>
      <c r="M79" s="49" t="str">
        <f t="shared" si="40"/>
        <v/>
      </c>
      <c r="N79" s="49" t="str">
        <f t="shared" si="40"/>
        <v/>
      </c>
      <c r="O79" s="49" t="str">
        <f t="shared" si="40"/>
        <v/>
      </c>
      <c r="P79" s="49" t="str">
        <f t="shared" si="40"/>
        <v/>
      </c>
      <c r="Q79" s="49" t="str">
        <f t="shared" si="40"/>
        <v/>
      </c>
      <c r="R79" s="49" t="str">
        <f t="shared" si="40"/>
        <v/>
      </c>
      <c r="S79" s="49" t="str">
        <f t="shared" si="40"/>
        <v/>
      </c>
      <c r="T79" s="49" t="str">
        <f t="shared" si="40"/>
        <v/>
      </c>
      <c r="U79" s="49" t="str">
        <f t="shared" si="40"/>
        <v/>
      </c>
      <c r="V79" s="49" t="str">
        <f t="shared" si="40"/>
        <v/>
      </c>
      <c r="W79" s="49" t="str">
        <f t="shared" si="40"/>
        <v/>
      </c>
      <c r="X79" s="49" t="str">
        <f t="shared" si="40"/>
        <v/>
      </c>
      <c r="Y79" s="49" t="str">
        <f t="shared" si="40"/>
        <v/>
      </c>
      <c r="Z79" s="49" t="str">
        <f t="shared" si="40"/>
        <v/>
      </c>
      <c r="AA79" s="49" t="str">
        <f t="shared" si="40"/>
        <v/>
      </c>
      <c r="AB79" s="49" t="str">
        <f t="shared" si="40"/>
        <v/>
      </c>
      <c r="AC79" s="49" t="str">
        <f t="shared" si="40"/>
        <v/>
      </c>
      <c r="AD79" s="49" t="str">
        <f t="shared" si="40"/>
        <v/>
      </c>
      <c r="AE79" s="49" t="str">
        <f t="shared" si="40"/>
        <v/>
      </c>
      <c r="AF79" s="49" t="str">
        <f t="shared" si="40"/>
        <v/>
      </c>
      <c r="AG79" s="49" t="str">
        <f t="shared" si="40"/>
        <v/>
      </c>
      <c r="AH79" s="44">
        <f>SUM(AH77:AH78)</f>
        <v>0</v>
      </c>
      <c r="AI79" s="45">
        <f>SUM(AI77:AI78)</f>
        <v>0</v>
      </c>
      <c r="AJ79" s="45">
        <f t="shared" ref="AJ79:AL79" si="41">SUM(AJ77:AJ78)</f>
        <v>0</v>
      </c>
      <c r="AK79" s="45">
        <f t="shared" si="41"/>
        <v>0</v>
      </c>
      <c r="AL79" s="45">
        <f t="shared" si="41"/>
        <v>0</v>
      </c>
      <c r="AM79" s="50">
        <f>Juin!AM79</f>
        <v>0</v>
      </c>
      <c r="AN79" s="51">
        <f>IF(A78="","",IF(A78&gt;NomMois,0,IF(A78&lt;$A$3,2.08,(NETWORKDAYS(A78,$A$2)/21.66667)*2.08)))</f>
        <v>0</v>
      </c>
      <c r="AO79" s="51">
        <f>IF( AN79="",0,+AN79+Août!AO79)</f>
        <v>0</v>
      </c>
      <c r="AP79" s="50"/>
      <c r="AQ79" s="45">
        <f>+AM79-AI79</f>
        <v>0</v>
      </c>
      <c r="AR79" s="45">
        <f>+AP79-AJ79</f>
        <v>0</v>
      </c>
      <c r="AS79" s="102">
        <f t="shared" si="17"/>
        <v>0</v>
      </c>
    </row>
    <row r="80" spans="1:45" s="63" customFormat="1" ht="6.75" customHeight="1" x14ac:dyDescent="0.25">
      <c r="A80" s="64"/>
      <c r="B80" s="42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  <c r="X80" s="64"/>
      <c r="Y80" s="64"/>
      <c r="Z80" s="64"/>
      <c r="AA80" s="64"/>
      <c r="AB80" s="64"/>
      <c r="AC80" s="64"/>
      <c r="AD80" s="64"/>
      <c r="AE80" s="64"/>
      <c r="AF80" s="64"/>
      <c r="AG80" s="64"/>
      <c r="AH80" s="65"/>
      <c r="AI80" s="65"/>
      <c r="AJ80" s="65"/>
      <c r="AK80" s="65"/>
      <c r="AL80" s="65"/>
      <c r="AM80" s="64"/>
      <c r="AN80" s="65"/>
      <c r="AO80" s="65"/>
      <c r="AP80" s="64"/>
      <c r="AQ80" s="69"/>
      <c r="AR80" s="69"/>
      <c r="AS80" s="65"/>
    </row>
    <row r="81" spans="1:45" s="63" customFormat="1" ht="12.95" customHeight="1" x14ac:dyDescent="0.25">
      <c r="A81" s="41"/>
      <c r="B81" s="42" t="s">
        <v>15</v>
      </c>
      <c r="C81" s="67"/>
      <c r="D81" s="43"/>
      <c r="E81" s="43"/>
      <c r="F81" s="43" t="s">
        <v>7</v>
      </c>
      <c r="G81" s="43" t="s">
        <v>7</v>
      </c>
      <c r="H81" s="43" t="s">
        <v>7</v>
      </c>
      <c r="I81" s="43" t="s">
        <v>7</v>
      </c>
      <c r="J81" s="43" t="s">
        <v>7</v>
      </c>
      <c r="K81" s="43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  <c r="AA81" s="43"/>
      <c r="AB81" s="43"/>
      <c r="AC81" s="43"/>
      <c r="AD81" s="43"/>
      <c r="AE81" s="43"/>
      <c r="AF81" s="43"/>
      <c r="AG81" s="43"/>
      <c r="AH81" s="44">
        <f>COUNTA(Septembre!$C81:$AG81)</f>
        <v>5</v>
      </c>
      <c r="AI81" s="45">
        <f>(COUNTIFS(Septembre!$C81:$AG81,("cp")))/2+Août!AI81</f>
        <v>2.5</v>
      </c>
      <c r="AJ81" s="45">
        <f>COUNTIFS(Septembre!$C81:$AG81,"RTT")/2+Août!AJ81</f>
        <v>0</v>
      </c>
      <c r="AK81" s="45">
        <f>COUNTIFS(Septembre!$C81:$AG81,"m")/2+Août!AK81</f>
        <v>0</v>
      </c>
      <c r="AL81" s="45">
        <f>COUNTIFS(Septembre!$C81:$AG81,"a")/2+Août!AL81</f>
        <v>0</v>
      </c>
      <c r="AM81" s="46"/>
      <c r="AN81" s="47"/>
      <c r="AO81" s="47"/>
      <c r="AP81" s="46"/>
      <c r="AQ81" s="47"/>
      <c r="AR81" s="47"/>
      <c r="AS81" s="47"/>
    </row>
    <row r="82" spans="1:45" s="63" customFormat="1" ht="12.95" customHeight="1" x14ac:dyDescent="0.25">
      <c r="A82" s="48">
        <v>42506</v>
      </c>
      <c r="B82" s="42" t="s">
        <v>16</v>
      </c>
      <c r="C82" s="67"/>
      <c r="D82" s="43"/>
      <c r="E82" s="43"/>
      <c r="F82" s="43" t="s">
        <v>7</v>
      </c>
      <c r="G82" s="43" t="s">
        <v>7</v>
      </c>
      <c r="H82" s="43" t="s">
        <v>7</v>
      </c>
      <c r="I82" s="43" t="s">
        <v>7</v>
      </c>
      <c r="J82" s="43" t="s">
        <v>7</v>
      </c>
      <c r="K82" s="43"/>
      <c r="L82" s="43"/>
      <c r="M82" s="43"/>
      <c r="N82" s="43"/>
      <c r="O82" s="43"/>
      <c r="P82" s="43"/>
      <c r="Q82" s="43"/>
      <c r="R82" s="43"/>
      <c r="S82" s="43"/>
      <c r="T82" s="43"/>
      <c r="U82" s="43"/>
      <c r="V82" s="43"/>
      <c r="W82" s="43"/>
      <c r="X82" s="43"/>
      <c r="Y82" s="43"/>
      <c r="Z82" s="43"/>
      <c r="AA82" s="43"/>
      <c r="AB82" s="43"/>
      <c r="AC82" s="43"/>
      <c r="AD82" s="43"/>
      <c r="AE82" s="43"/>
      <c r="AF82" s="43"/>
      <c r="AG82" s="43"/>
      <c r="AH82" s="44">
        <f>COUNTA(Septembre!$C82:$AG82)</f>
        <v>5</v>
      </c>
      <c r="AI82" s="45">
        <f>(COUNTIFS(Septembre!$C82:$AG82,("cp")))/2+Août!AI82</f>
        <v>2.5</v>
      </c>
      <c r="AJ82" s="45">
        <f>COUNTIFS(Septembre!$C82:$AG82,"RTT")/2+Août!AJ82</f>
        <v>0</v>
      </c>
      <c r="AK82" s="45">
        <f>COUNTIFS(Septembre!$C82:$AG82,"m")/2+Août!AK82</f>
        <v>0</v>
      </c>
      <c r="AL82" s="45">
        <f>COUNTIFS(Septembre!$C82:$AG82,"a")/2+Août!AL82</f>
        <v>0</v>
      </c>
      <c r="AM82" s="46"/>
      <c r="AN82" s="47"/>
      <c r="AO82" s="47"/>
      <c r="AP82" s="46"/>
      <c r="AQ82" s="47"/>
      <c r="AR82" s="47"/>
      <c r="AS82" s="101"/>
    </row>
    <row r="83" spans="1:45" s="63" customFormat="1" ht="12.95" customHeight="1" x14ac:dyDescent="0.25">
      <c r="A83" s="41"/>
      <c r="B83" s="42"/>
      <c r="C83" s="49" t="str">
        <f t="shared" ref="C83:AG83" si="42">IF(C81&gt;0,C81,IF(C82&gt;0,C82,""))</f>
        <v/>
      </c>
      <c r="D83" s="49" t="str">
        <f t="shared" si="42"/>
        <v/>
      </c>
      <c r="E83" s="49" t="str">
        <f t="shared" si="42"/>
        <v/>
      </c>
      <c r="F83" s="49" t="str">
        <f t="shared" si="42"/>
        <v>CP</v>
      </c>
      <c r="G83" s="49" t="str">
        <f t="shared" si="42"/>
        <v>CP</v>
      </c>
      <c r="H83" s="49" t="str">
        <f t="shared" si="42"/>
        <v>CP</v>
      </c>
      <c r="I83" s="49" t="str">
        <f t="shared" si="42"/>
        <v>CP</v>
      </c>
      <c r="J83" s="49" t="str">
        <f t="shared" si="42"/>
        <v>CP</v>
      </c>
      <c r="K83" s="49" t="str">
        <f t="shared" si="42"/>
        <v/>
      </c>
      <c r="L83" s="49" t="str">
        <f t="shared" si="42"/>
        <v/>
      </c>
      <c r="M83" s="49" t="str">
        <f t="shared" si="42"/>
        <v/>
      </c>
      <c r="N83" s="49" t="str">
        <f t="shared" si="42"/>
        <v/>
      </c>
      <c r="O83" s="49" t="str">
        <f t="shared" si="42"/>
        <v/>
      </c>
      <c r="P83" s="49" t="str">
        <f t="shared" si="42"/>
        <v/>
      </c>
      <c r="Q83" s="49" t="str">
        <f t="shared" si="42"/>
        <v/>
      </c>
      <c r="R83" s="49" t="str">
        <f t="shared" si="42"/>
        <v/>
      </c>
      <c r="S83" s="49" t="str">
        <f t="shared" si="42"/>
        <v/>
      </c>
      <c r="T83" s="49" t="str">
        <f t="shared" si="42"/>
        <v/>
      </c>
      <c r="U83" s="49" t="str">
        <f t="shared" si="42"/>
        <v/>
      </c>
      <c r="V83" s="49" t="str">
        <f t="shared" si="42"/>
        <v/>
      </c>
      <c r="W83" s="49" t="str">
        <f t="shared" si="42"/>
        <v/>
      </c>
      <c r="X83" s="49" t="str">
        <f t="shared" si="42"/>
        <v/>
      </c>
      <c r="Y83" s="49" t="str">
        <f t="shared" si="42"/>
        <v/>
      </c>
      <c r="Z83" s="49" t="str">
        <f t="shared" si="42"/>
        <v/>
      </c>
      <c r="AA83" s="49" t="str">
        <f t="shared" si="42"/>
        <v/>
      </c>
      <c r="AB83" s="49" t="str">
        <f t="shared" si="42"/>
        <v/>
      </c>
      <c r="AC83" s="49" t="str">
        <f t="shared" si="42"/>
        <v/>
      </c>
      <c r="AD83" s="49" t="str">
        <f t="shared" si="42"/>
        <v/>
      </c>
      <c r="AE83" s="49" t="str">
        <f t="shared" si="42"/>
        <v/>
      </c>
      <c r="AF83" s="49" t="str">
        <f t="shared" si="42"/>
        <v/>
      </c>
      <c r="AG83" s="49" t="str">
        <f t="shared" si="42"/>
        <v/>
      </c>
      <c r="AH83" s="44">
        <f>SUM(AH81:AH82)</f>
        <v>10</v>
      </c>
      <c r="AI83" s="45">
        <f>SUM(AI81:AI82)</f>
        <v>5</v>
      </c>
      <c r="AJ83" s="45">
        <f t="shared" ref="AJ83:AL83" si="43">SUM(AJ81:AJ82)</f>
        <v>0</v>
      </c>
      <c r="AK83" s="45">
        <f t="shared" si="43"/>
        <v>0</v>
      </c>
      <c r="AL83" s="45">
        <f t="shared" si="43"/>
        <v>0</v>
      </c>
      <c r="AM83" s="50">
        <f>Juin!AM83</f>
        <v>-9.98</v>
      </c>
      <c r="AN83" s="51">
        <f>IF(A82="","",IF(A82&gt;NomMois,0,IF(A82&lt;$A$3,2.08,(NETWORKDAYS(A82,$A$2)/21.66667)*2.08)))</f>
        <v>2.08</v>
      </c>
      <c r="AO83" s="51">
        <f>IF( AN83="",0,+AN83+Août!AO83)</f>
        <v>8.32</v>
      </c>
      <c r="AP83" s="50"/>
      <c r="AQ83" s="45">
        <f>+AM83-AI83</f>
        <v>-14.98</v>
      </c>
      <c r="AR83" s="45">
        <f>+AP83-AJ83</f>
        <v>0</v>
      </c>
      <c r="AS83" s="102">
        <f t="shared" si="17"/>
        <v>-6.66</v>
      </c>
    </row>
    <row r="84" spans="1:45" s="63" customFormat="1" ht="6.75" customHeight="1" x14ac:dyDescent="0.25">
      <c r="A84" s="64"/>
      <c r="B84" s="42"/>
      <c r="C84" s="64"/>
      <c r="D84" s="64"/>
      <c r="E84" s="64"/>
      <c r="F84" s="64"/>
      <c r="G84" s="64"/>
      <c r="H84" s="64"/>
      <c r="I84" s="64"/>
      <c r="J84" s="64"/>
      <c r="K84" s="64"/>
      <c r="L84" s="64"/>
      <c r="M84" s="64"/>
      <c r="N84" s="64"/>
      <c r="O84" s="64"/>
      <c r="P84" s="64"/>
      <c r="Q84" s="64"/>
      <c r="R84" s="64"/>
      <c r="S84" s="64"/>
      <c r="T84" s="64"/>
      <c r="U84" s="64"/>
      <c r="V84" s="64"/>
      <c r="W84" s="64"/>
      <c r="X84" s="64"/>
      <c r="Y84" s="64"/>
      <c r="Z84" s="64"/>
      <c r="AA84" s="64"/>
      <c r="AB84" s="64"/>
      <c r="AC84" s="64"/>
      <c r="AD84" s="64"/>
      <c r="AE84" s="64"/>
      <c r="AF84" s="64"/>
      <c r="AG84" s="64"/>
      <c r="AH84" s="65"/>
      <c r="AI84" s="65"/>
      <c r="AJ84" s="65"/>
      <c r="AK84" s="65"/>
      <c r="AL84" s="65"/>
      <c r="AM84" s="64"/>
      <c r="AN84" s="65"/>
      <c r="AO84" s="65"/>
      <c r="AP84" s="64"/>
      <c r="AQ84" s="69"/>
      <c r="AR84" s="69"/>
      <c r="AS84" s="65"/>
    </row>
    <row r="85" spans="1:45" s="63" customFormat="1" ht="12.95" customHeight="1" x14ac:dyDescent="0.25">
      <c r="A85" s="41"/>
      <c r="B85" s="42" t="s">
        <v>15</v>
      </c>
      <c r="C85" s="67"/>
      <c r="D85" s="43"/>
      <c r="E85" s="43"/>
      <c r="F85" s="43"/>
      <c r="G85" s="43"/>
      <c r="H85" s="43"/>
      <c r="I85" s="43"/>
      <c r="J85" s="43"/>
      <c r="K85" s="43"/>
      <c r="L85" s="43"/>
      <c r="M85" s="43"/>
      <c r="N85" s="43"/>
      <c r="O85" s="43"/>
      <c r="P85" s="43"/>
      <c r="Q85" s="43"/>
      <c r="R85" s="43"/>
      <c r="S85" s="43"/>
      <c r="T85" s="43"/>
      <c r="U85" s="43"/>
      <c r="V85" s="43"/>
      <c r="W85" s="43"/>
      <c r="X85" s="43"/>
      <c r="Y85" s="43"/>
      <c r="Z85" s="43"/>
      <c r="AA85" s="43"/>
      <c r="AB85" s="43"/>
      <c r="AC85" s="43"/>
      <c r="AD85" s="43"/>
      <c r="AE85" s="43"/>
      <c r="AF85" s="43"/>
      <c r="AG85" s="43"/>
      <c r="AH85" s="44">
        <f>COUNTA(Septembre!$C85:$AG85)</f>
        <v>0</v>
      </c>
      <c r="AI85" s="45">
        <f>(COUNTIFS(Septembre!$C85:$AG85,("cp")))/2+Août!AI85</f>
        <v>10.5</v>
      </c>
      <c r="AJ85" s="45">
        <f>COUNTIFS(Septembre!$C85:$AG85,"RTT")/2+Août!AJ85</f>
        <v>0</v>
      </c>
      <c r="AK85" s="45">
        <f>COUNTIFS(Septembre!$C85:$AG85,"m")/2+Août!AK85</f>
        <v>0</v>
      </c>
      <c r="AL85" s="45">
        <f>COUNTIFS(Septembre!$C85:$AG85,"a")/2+Août!AL85</f>
        <v>0</v>
      </c>
      <c r="AM85" s="46"/>
      <c r="AN85" s="47"/>
      <c r="AO85" s="47"/>
      <c r="AP85" s="46"/>
      <c r="AQ85" s="47"/>
      <c r="AR85" s="47"/>
      <c r="AS85" s="47"/>
    </row>
    <row r="86" spans="1:45" s="63" customFormat="1" ht="12.95" customHeight="1" x14ac:dyDescent="0.25">
      <c r="A86" s="48">
        <v>42303</v>
      </c>
      <c r="B86" s="42" t="s">
        <v>16</v>
      </c>
      <c r="C86" s="67"/>
      <c r="D86" s="43"/>
      <c r="E86" s="43"/>
      <c r="F86" s="43"/>
      <c r="G86" s="43"/>
      <c r="H86" s="43"/>
      <c r="I86" s="43"/>
      <c r="J86" s="43"/>
      <c r="K86" s="43"/>
      <c r="L86" s="43"/>
      <c r="M86" s="43"/>
      <c r="N86" s="43"/>
      <c r="O86" s="43"/>
      <c r="P86" s="43"/>
      <c r="Q86" s="43"/>
      <c r="R86" s="43"/>
      <c r="S86" s="43"/>
      <c r="T86" s="43"/>
      <c r="U86" s="43"/>
      <c r="V86" s="43"/>
      <c r="W86" s="43"/>
      <c r="X86" s="43"/>
      <c r="Y86" s="43"/>
      <c r="Z86" s="43"/>
      <c r="AA86" s="43"/>
      <c r="AB86" s="43"/>
      <c r="AC86" s="43"/>
      <c r="AD86" s="43"/>
      <c r="AE86" s="43"/>
      <c r="AF86" s="43"/>
      <c r="AG86" s="43"/>
      <c r="AH86" s="44">
        <f>COUNTA(Septembre!$C86:$AG86)</f>
        <v>0</v>
      </c>
      <c r="AI86" s="45">
        <f>(COUNTIFS(Septembre!$C86:$AG86,("cp")))/2+Août!AI86</f>
        <v>10.5</v>
      </c>
      <c r="AJ86" s="45">
        <f>COUNTIFS(Septembre!$C86:$AG86,"RTT")/2+Août!AJ86</f>
        <v>0</v>
      </c>
      <c r="AK86" s="45">
        <f>COUNTIFS(Septembre!$C86:$AG86,"m")/2+Août!AK86</f>
        <v>0</v>
      </c>
      <c r="AL86" s="45">
        <f>COUNTIFS(Septembre!$C86:$AG86,"a")/2+Août!AL86</f>
        <v>0</v>
      </c>
      <c r="AM86" s="46"/>
      <c r="AN86" s="47"/>
      <c r="AO86" s="47"/>
      <c r="AP86" s="46"/>
      <c r="AQ86" s="47"/>
      <c r="AR86" s="47"/>
      <c r="AS86" s="101"/>
    </row>
    <row r="87" spans="1:45" s="63" customFormat="1" ht="12.95" customHeight="1" x14ac:dyDescent="0.25">
      <c r="A87" s="41"/>
      <c r="B87" s="42"/>
      <c r="C87" s="49" t="str">
        <f t="shared" ref="C87:AG87" si="44">IF(C85&gt;0,C85,IF(C86&gt;0,C86,""))</f>
        <v/>
      </c>
      <c r="D87" s="49" t="str">
        <f t="shared" si="44"/>
        <v/>
      </c>
      <c r="E87" s="49" t="str">
        <f t="shared" si="44"/>
        <v/>
      </c>
      <c r="F87" s="49" t="str">
        <f t="shared" si="44"/>
        <v/>
      </c>
      <c r="G87" s="49" t="str">
        <f t="shared" si="44"/>
        <v/>
      </c>
      <c r="H87" s="49" t="str">
        <f t="shared" si="44"/>
        <v/>
      </c>
      <c r="I87" s="49" t="str">
        <f t="shared" si="44"/>
        <v/>
      </c>
      <c r="J87" s="49" t="str">
        <f t="shared" si="44"/>
        <v/>
      </c>
      <c r="K87" s="49" t="str">
        <f t="shared" si="44"/>
        <v/>
      </c>
      <c r="L87" s="49" t="str">
        <f t="shared" si="44"/>
        <v/>
      </c>
      <c r="M87" s="49" t="str">
        <f t="shared" si="44"/>
        <v/>
      </c>
      <c r="N87" s="49" t="str">
        <f t="shared" si="44"/>
        <v/>
      </c>
      <c r="O87" s="49" t="str">
        <f t="shared" si="44"/>
        <v/>
      </c>
      <c r="P87" s="49" t="str">
        <f t="shared" si="44"/>
        <v/>
      </c>
      <c r="Q87" s="49" t="str">
        <f t="shared" si="44"/>
        <v/>
      </c>
      <c r="R87" s="49" t="str">
        <f t="shared" si="44"/>
        <v/>
      </c>
      <c r="S87" s="49" t="str">
        <f t="shared" si="44"/>
        <v/>
      </c>
      <c r="T87" s="49" t="str">
        <f t="shared" si="44"/>
        <v/>
      </c>
      <c r="U87" s="49" t="str">
        <f t="shared" si="44"/>
        <v/>
      </c>
      <c r="V87" s="49" t="str">
        <f t="shared" si="44"/>
        <v/>
      </c>
      <c r="W87" s="49" t="str">
        <f t="shared" si="44"/>
        <v/>
      </c>
      <c r="X87" s="49" t="str">
        <f t="shared" si="44"/>
        <v/>
      </c>
      <c r="Y87" s="49" t="str">
        <f t="shared" si="44"/>
        <v/>
      </c>
      <c r="Z87" s="49" t="str">
        <f t="shared" si="44"/>
        <v/>
      </c>
      <c r="AA87" s="49" t="str">
        <f t="shared" si="44"/>
        <v/>
      </c>
      <c r="AB87" s="49" t="str">
        <f t="shared" si="44"/>
        <v/>
      </c>
      <c r="AC87" s="49" t="str">
        <f t="shared" si="44"/>
        <v/>
      </c>
      <c r="AD87" s="49" t="str">
        <f t="shared" si="44"/>
        <v/>
      </c>
      <c r="AE87" s="49" t="str">
        <f t="shared" si="44"/>
        <v/>
      </c>
      <c r="AF87" s="49" t="str">
        <f t="shared" si="44"/>
        <v/>
      </c>
      <c r="AG87" s="49" t="str">
        <f t="shared" si="44"/>
        <v/>
      </c>
      <c r="AH87" s="44">
        <f>SUM(AH85:AH86)</f>
        <v>0</v>
      </c>
      <c r="AI87" s="45">
        <f>SUM(AI85:AI86)</f>
        <v>21</v>
      </c>
      <c r="AJ87" s="45">
        <f t="shared" ref="AJ87:AL87" si="45">SUM(AJ85:AJ86)</f>
        <v>0</v>
      </c>
      <c r="AK87" s="45">
        <f t="shared" si="45"/>
        <v>0</v>
      </c>
      <c r="AL87" s="45">
        <f t="shared" si="45"/>
        <v>0</v>
      </c>
      <c r="AM87" s="50">
        <f>Juin!AM87</f>
        <v>12.02</v>
      </c>
      <c r="AN87" s="51">
        <f>IF(A86="","",IF(A86&gt;NomMois,0,IF(A86&lt;$A$3,2.5,(NETWORKDAYS(A86,$A$2)/21.66667)*2.5)))</f>
        <v>2.5</v>
      </c>
      <c r="AO87" s="51">
        <f>IF( AN87="",0,+AN87+Août!AO87)</f>
        <v>10</v>
      </c>
      <c r="AP87" s="50"/>
      <c r="AQ87" s="45">
        <f>+AM87-AI87</f>
        <v>-8.98</v>
      </c>
      <c r="AR87" s="45">
        <f>+AP87-AJ87</f>
        <v>0</v>
      </c>
      <c r="AS87" s="102">
        <f t="shared" si="17"/>
        <v>1.0199999999999996</v>
      </c>
    </row>
    <row r="88" spans="1:45" s="63" customFormat="1" ht="6.75" customHeight="1" x14ac:dyDescent="0.25">
      <c r="A88" s="64"/>
      <c r="B88" s="42"/>
      <c r="C88" s="64"/>
      <c r="D88" s="64"/>
      <c r="E88" s="64"/>
      <c r="F88" s="64"/>
      <c r="G88" s="64"/>
      <c r="H88" s="64"/>
      <c r="I88" s="64"/>
      <c r="J88" s="64"/>
      <c r="K88" s="64"/>
      <c r="L88" s="64"/>
      <c r="M88" s="64"/>
      <c r="N88" s="64"/>
      <c r="O88" s="64"/>
      <c r="P88" s="64"/>
      <c r="Q88" s="64"/>
      <c r="R88" s="64"/>
      <c r="S88" s="64"/>
      <c r="T88" s="64"/>
      <c r="U88" s="64"/>
      <c r="V88" s="64"/>
      <c r="W88" s="64"/>
      <c r="X88" s="64"/>
      <c r="Y88" s="64"/>
      <c r="Z88" s="64"/>
      <c r="AA88" s="64"/>
      <c r="AB88" s="64"/>
      <c r="AC88" s="64"/>
      <c r="AD88" s="64"/>
      <c r="AE88" s="64"/>
      <c r="AF88" s="64"/>
      <c r="AG88" s="64"/>
      <c r="AH88" s="65"/>
      <c r="AI88" s="65"/>
      <c r="AJ88" s="65"/>
      <c r="AK88" s="65"/>
      <c r="AL88" s="65"/>
      <c r="AM88" s="64"/>
      <c r="AN88" s="65"/>
      <c r="AO88" s="65"/>
      <c r="AP88" s="64"/>
      <c r="AQ88" s="69"/>
      <c r="AR88" s="69"/>
      <c r="AS88" s="65"/>
    </row>
    <row r="89" spans="1:45" s="63" customFormat="1" ht="12.95" customHeight="1" x14ac:dyDescent="0.25">
      <c r="A89" s="41"/>
      <c r="B89" s="42" t="s">
        <v>15</v>
      </c>
      <c r="C89" s="67"/>
      <c r="D89" s="43"/>
      <c r="E89" s="43"/>
      <c r="F89" s="43"/>
      <c r="G89" s="43"/>
      <c r="H89" s="43"/>
      <c r="I89" s="43"/>
      <c r="J89" s="43"/>
      <c r="K89" s="43"/>
      <c r="L89" s="43"/>
      <c r="M89" s="43"/>
      <c r="N89" s="43"/>
      <c r="O89" s="43"/>
      <c r="P89" s="43"/>
      <c r="Q89" s="43"/>
      <c r="R89" s="43"/>
      <c r="S89" s="43"/>
      <c r="T89" s="43"/>
      <c r="U89" s="43"/>
      <c r="V89" s="43"/>
      <c r="W89" s="43"/>
      <c r="X89" s="43"/>
      <c r="Y89" s="43"/>
      <c r="Z89" s="43"/>
      <c r="AA89" s="43"/>
      <c r="AB89" s="43"/>
      <c r="AC89" s="43"/>
      <c r="AD89" s="43"/>
      <c r="AE89" s="43"/>
      <c r="AF89" s="43"/>
      <c r="AG89" s="43"/>
      <c r="AH89" s="44">
        <f>COUNTA(Septembre!$C89:$AG89)</f>
        <v>0</v>
      </c>
      <c r="AI89" s="45">
        <f>(COUNTIFS(Septembre!$C89:$AG89,("cp")))/2+Août!AI89</f>
        <v>11.5</v>
      </c>
      <c r="AJ89" s="45">
        <f>COUNTIFS(Septembre!$C89:$AG89,"RTT")/2+Août!AJ89</f>
        <v>0</v>
      </c>
      <c r="AK89" s="45">
        <f>COUNTIFS(Septembre!$C89:$AG89,"m")/2+Août!AK89</f>
        <v>0</v>
      </c>
      <c r="AL89" s="45">
        <f>COUNTIFS(Septembre!$C89:$AG89,"a")/2+Août!AL89</f>
        <v>0</v>
      </c>
      <c r="AM89" s="46"/>
      <c r="AN89" s="47"/>
      <c r="AO89" s="47"/>
      <c r="AP89" s="46"/>
      <c r="AQ89" s="47"/>
      <c r="AR89" s="47"/>
      <c r="AS89" s="47"/>
    </row>
    <row r="90" spans="1:45" s="63" customFormat="1" ht="12.95" customHeight="1" x14ac:dyDescent="0.25">
      <c r="A90" s="48">
        <v>42303</v>
      </c>
      <c r="B90" s="42" t="s">
        <v>16</v>
      </c>
      <c r="C90" s="67"/>
      <c r="D90" s="43"/>
      <c r="E90" s="43"/>
      <c r="F90" s="43"/>
      <c r="G90" s="43"/>
      <c r="H90" s="43"/>
      <c r="I90" s="43"/>
      <c r="J90" s="43"/>
      <c r="K90" s="43"/>
      <c r="L90" s="43"/>
      <c r="M90" s="43"/>
      <c r="N90" s="43"/>
      <c r="O90" s="43"/>
      <c r="P90" s="43"/>
      <c r="Q90" s="43"/>
      <c r="R90" s="43"/>
      <c r="S90" s="43"/>
      <c r="T90" s="43"/>
      <c r="U90" s="43"/>
      <c r="V90" s="43"/>
      <c r="W90" s="43"/>
      <c r="X90" s="43"/>
      <c r="Y90" s="43"/>
      <c r="Z90" s="43"/>
      <c r="AA90" s="43"/>
      <c r="AB90" s="43"/>
      <c r="AC90" s="43"/>
      <c r="AD90" s="43"/>
      <c r="AE90" s="43"/>
      <c r="AF90" s="43"/>
      <c r="AG90" s="43"/>
      <c r="AH90" s="44">
        <f>COUNTA(Septembre!$C90:$AG90)</f>
        <v>0</v>
      </c>
      <c r="AI90" s="45">
        <f>(COUNTIFS(Septembre!$C90:$AG90,("cp")))/2+Août!AI90</f>
        <v>11.5</v>
      </c>
      <c r="AJ90" s="45">
        <f>COUNTIFS(Septembre!$C90:$AG90,"RTT")/2+Août!AJ90</f>
        <v>0</v>
      </c>
      <c r="AK90" s="45">
        <f>COUNTIFS(Septembre!$C90:$AG90,"m")/2+Août!AK90</f>
        <v>0</v>
      </c>
      <c r="AL90" s="45">
        <f>COUNTIFS(Septembre!$C90:$AG90,"a")/2+Août!AL90</f>
        <v>0</v>
      </c>
      <c r="AM90" s="46"/>
      <c r="AN90" s="47"/>
      <c r="AO90" s="47"/>
      <c r="AP90" s="46"/>
      <c r="AQ90" s="47"/>
      <c r="AR90" s="47"/>
      <c r="AS90" s="101"/>
    </row>
    <row r="91" spans="1:45" s="63" customFormat="1" ht="12.95" customHeight="1" x14ac:dyDescent="0.25">
      <c r="A91" s="41"/>
      <c r="B91" s="42"/>
      <c r="C91" s="49" t="str">
        <f t="shared" ref="C91:AG91" si="46">IF(C89&gt;0,C89,IF(C90&gt;0,C90,""))</f>
        <v/>
      </c>
      <c r="D91" s="49" t="str">
        <f t="shared" si="46"/>
        <v/>
      </c>
      <c r="E91" s="49" t="str">
        <f t="shared" si="46"/>
        <v/>
      </c>
      <c r="F91" s="49" t="str">
        <f t="shared" si="46"/>
        <v/>
      </c>
      <c r="G91" s="49" t="str">
        <f t="shared" si="46"/>
        <v/>
      </c>
      <c r="H91" s="49" t="str">
        <f t="shared" si="46"/>
        <v/>
      </c>
      <c r="I91" s="49" t="str">
        <f t="shared" si="46"/>
        <v/>
      </c>
      <c r="J91" s="49" t="str">
        <f t="shared" si="46"/>
        <v/>
      </c>
      <c r="K91" s="49" t="str">
        <f t="shared" si="46"/>
        <v/>
      </c>
      <c r="L91" s="49" t="str">
        <f t="shared" si="46"/>
        <v/>
      </c>
      <c r="M91" s="49" t="str">
        <f t="shared" si="46"/>
        <v/>
      </c>
      <c r="N91" s="49" t="str">
        <f t="shared" si="46"/>
        <v/>
      </c>
      <c r="O91" s="49" t="str">
        <f t="shared" si="46"/>
        <v/>
      </c>
      <c r="P91" s="49" t="str">
        <f t="shared" si="46"/>
        <v/>
      </c>
      <c r="Q91" s="49" t="str">
        <f t="shared" si="46"/>
        <v/>
      </c>
      <c r="R91" s="49" t="str">
        <f t="shared" si="46"/>
        <v/>
      </c>
      <c r="S91" s="49" t="str">
        <f t="shared" si="46"/>
        <v/>
      </c>
      <c r="T91" s="49" t="str">
        <f t="shared" si="46"/>
        <v/>
      </c>
      <c r="U91" s="49" t="str">
        <f t="shared" si="46"/>
        <v/>
      </c>
      <c r="V91" s="49" t="str">
        <f t="shared" si="46"/>
        <v/>
      </c>
      <c r="W91" s="49" t="str">
        <f t="shared" si="46"/>
        <v/>
      </c>
      <c r="X91" s="49" t="str">
        <f t="shared" si="46"/>
        <v/>
      </c>
      <c r="Y91" s="49" t="str">
        <f t="shared" si="46"/>
        <v/>
      </c>
      <c r="Z91" s="49" t="str">
        <f t="shared" si="46"/>
        <v/>
      </c>
      <c r="AA91" s="49" t="str">
        <f t="shared" si="46"/>
        <v/>
      </c>
      <c r="AB91" s="49" t="str">
        <f t="shared" si="46"/>
        <v/>
      </c>
      <c r="AC91" s="49" t="str">
        <f t="shared" si="46"/>
        <v/>
      </c>
      <c r="AD91" s="49" t="str">
        <f t="shared" si="46"/>
        <v/>
      </c>
      <c r="AE91" s="49" t="str">
        <f t="shared" si="46"/>
        <v/>
      </c>
      <c r="AF91" s="49" t="str">
        <f t="shared" si="46"/>
        <v/>
      </c>
      <c r="AG91" s="49" t="str">
        <f t="shared" si="46"/>
        <v/>
      </c>
      <c r="AH91" s="44">
        <f>SUM(AH89:AH90)</f>
        <v>0</v>
      </c>
      <c r="AI91" s="45">
        <f>SUM(AI89:AI90)</f>
        <v>23</v>
      </c>
      <c r="AJ91" s="45">
        <f t="shared" ref="AJ91:AL91" si="47">SUM(AJ89:AJ90)</f>
        <v>0</v>
      </c>
      <c r="AK91" s="45">
        <f t="shared" si="47"/>
        <v>0</v>
      </c>
      <c r="AL91" s="45">
        <f t="shared" si="47"/>
        <v>0</v>
      </c>
      <c r="AM91" s="50">
        <f>Juin!AM91</f>
        <v>-0.82</v>
      </c>
      <c r="AN91" s="51">
        <f>IF(A90="","",IF(A90&gt;NomMois,0,IF(A90&lt;$A$3,2.5,(NETWORKDAYS(A90,$A$2)/21.66667)*2.5)))</f>
        <v>2.5</v>
      </c>
      <c r="AO91" s="51">
        <f>IF( AN91="",0,+AN91+Août!AO91)</f>
        <v>10</v>
      </c>
      <c r="AP91" s="50"/>
      <c r="AQ91" s="45">
        <f>+AM91-AI91</f>
        <v>-23.82</v>
      </c>
      <c r="AR91" s="45">
        <f>+AP91-AJ91</f>
        <v>0</v>
      </c>
      <c r="AS91" s="102">
        <f t="shared" si="17"/>
        <v>-13.82</v>
      </c>
    </row>
    <row r="92" spans="1:45" s="63" customFormat="1" ht="6.75" customHeight="1" x14ac:dyDescent="0.25">
      <c r="A92" s="64"/>
      <c r="B92" s="42"/>
      <c r="C92" s="64"/>
      <c r="D92" s="64"/>
      <c r="E92" s="64"/>
      <c r="F92" s="64"/>
      <c r="G92" s="64"/>
      <c r="H92" s="64"/>
      <c r="I92" s="64"/>
      <c r="J92" s="64"/>
      <c r="K92" s="64"/>
      <c r="L92" s="64"/>
      <c r="M92" s="64"/>
      <c r="N92" s="64"/>
      <c r="O92" s="64"/>
      <c r="P92" s="64"/>
      <c r="Q92" s="64"/>
      <c r="R92" s="64"/>
      <c r="S92" s="64"/>
      <c r="T92" s="64"/>
      <c r="U92" s="64"/>
      <c r="V92" s="64"/>
      <c r="W92" s="64"/>
      <c r="X92" s="64"/>
      <c r="Y92" s="64"/>
      <c r="Z92" s="64"/>
      <c r="AA92" s="64"/>
      <c r="AB92" s="64"/>
      <c r="AC92" s="64"/>
      <c r="AD92" s="64"/>
      <c r="AE92" s="64"/>
      <c r="AF92" s="64"/>
      <c r="AG92" s="64"/>
      <c r="AH92" s="65"/>
      <c r="AI92" s="65"/>
      <c r="AJ92" s="65"/>
      <c r="AK92" s="65"/>
      <c r="AL92" s="65"/>
      <c r="AM92" s="64"/>
      <c r="AN92" s="65"/>
      <c r="AO92" s="65"/>
      <c r="AP92" s="64"/>
      <c r="AQ92" s="69"/>
      <c r="AR92" s="69"/>
      <c r="AS92" s="65"/>
    </row>
    <row r="93" spans="1:45" ht="12.95" customHeight="1" x14ac:dyDescent="0.25">
      <c r="A93" s="41"/>
      <c r="B93" s="42" t="s">
        <v>15</v>
      </c>
      <c r="C93" s="67"/>
      <c r="D93" s="43"/>
      <c r="E93" s="43"/>
      <c r="F93" s="43"/>
      <c r="G93" s="43"/>
      <c r="H93" s="43"/>
      <c r="I93" s="43"/>
      <c r="J93" s="43"/>
      <c r="K93" s="43"/>
      <c r="L93" s="43"/>
      <c r="M93" s="43"/>
      <c r="N93" s="43"/>
      <c r="O93" s="43"/>
      <c r="P93" s="43"/>
      <c r="Q93" s="43"/>
      <c r="R93" s="43"/>
      <c r="S93" s="43"/>
      <c r="T93" s="43"/>
      <c r="U93" s="43"/>
      <c r="V93" s="43"/>
      <c r="W93" s="43"/>
      <c r="X93" s="43"/>
      <c r="Y93" s="43"/>
      <c r="Z93" s="43"/>
      <c r="AA93" s="43"/>
      <c r="AB93" s="43"/>
      <c r="AC93" s="43"/>
      <c r="AD93" s="43"/>
      <c r="AE93" s="43"/>
      <c r="AF93" s="43"/>
      <c r="AG93" s="43"/>
      <c r="AH93" s="44">
        <f>COUNTA(Septembre!$C93:$AG93)</f>
        <v>0</v>
      </c>
      <c r="AI93" s="45">
        <f>(COUNTIFS(Septembre!$C93:$AG93,("cp")))/2+Août!AI93</f>
        <v>0</v>
      </c>
      <c r="AJ93" s="45">
        <f>COUNTIFS(Septembre!$C93:$AG93,"RTT")/2+Août!AJ93</f>
        <v>0</v>
      </c>
      <c r="AK93" s="45">
        <f>COUNTIFS(Septembre!$C93:$AG93,"m")/2+Août!AK93</f>
        <v>5</v>
      </c>
      <c r="AL93" s="45">
        <f>COUNTIFS(Septembre!$C93:$AG93,"a")/2+Août!AL93</f>
        <v>0</v>
      </c>
      <c r="AM93" s="46"/>
      <c r="AN93" s="47"/>
      <c r="AO93" s="47"/>
      <c r="AP93" s="46"/>
      <c r="AQ93" s="47"/>
      <c r="AR93" s="47"/>
      <c r="AS93" s="47"/>
    </row>
    <row r="94" spans="1:45" s="79" customFormat="1" ht="12.95" customHeight="1" x14ac:dyDescent="0.25">
      <c r="A94" s="48">
        <v>42921</v>
      </c>
      <c r="B94" s="42" t="s">
        <v>16</v>
      </c>
      <c r="C94" s="67"/>
      <c r="D94" s="43"/>
      <c r="E94" s="43"/>
      <c r="F94" s="43"/>
      <c r="G94" s="43"/>
      <c r="H94" s="43"/>
      <c r="I94" s="43"/>
      <c r="J94" s="43"/>
      <c r="K94" s="43"/>
      <c r="L94" s="43"/>
      <c r="M94" s="43"/>
      <c r="N94" s="43"/>
      <c r="O94" s="43"/>
      <c r="P94" s="43"/>
      <c r="Q94" s="43"/>
      <c r="R94" s="43"/>
      <c r="S94" s="43"/>
      <c r="T94" s="43"/>
      <c r="U94" s="43"/>
      <c r="V94" s="43"/>
      <c r="W94" s="43"/>
      <c r="X94" s="43"/>
      <c r="Y94" s="43"/>
      <c r="Z94" s="43"/>
      <c r="AA94" s="43"/>
      <c r="AB94" s="43"/>
      <c r="AC94" s="43"/>
      <c r="AD94" s="43"/>
      <c r="AE94" s="43"/>
      <c r="AF94" s="43"/>
      <c r="AG94" s="43"/>
      <c r="AH94" s="44">
        <f>COUNTA(Septembre!$C94:$AG94)</f>
        <v>0</v>
      </c>
      <c r="AI94" s="45">
        <f>(COUNTIFS(Septembre!$C94:$AG94,("cp")))/2+Août!AI94</f>
        <v>0</v>
      </c>
      <c r="AJ94" s="45">
        <f>COUNTIFS(Septembre!$C94:$AG94,"RTT")/2+Août!AJ94</f>
        <v>0</v>
      </c>
      <c r="AK94" s="45">
        <f>COUNTIFS(Septembre!$C94:$AG94,"m")/2+Août!AK94</f>
        <v>5</v>
      </c>
      <c r="AL94" s="45">
        <f>COUNTIFS(Septembre!$C94:$AG94,"a")/2+Août!AL94</f>
        <v>0</v>
      </c>
      <c r="AM94" s="46"/>
      <c r="AN94" s="47"/>
      <c r="AO94" s="47"/>
      <c r="AP94" s="46"/>
      <c r="AQ94" s="47"/>
      <c r="AR94" s="47"/>
      <c r="AS94" s="101"/>
    </row>
    <row r="95" spans="1:45" s="79" customFormat="1" ht="12.95" customHeight="1" x14ac:dyDescent="0.25">
      <c r="A95" s="41"/>
      <c r="B95" s="42"/>
      <c r="C95" s="49" t="str">
        <f t="shared" ref="C95:AG95" si="48">IF(C93&gt;0,C93,IF(C94&gt;0,C94,""))</f>
        <v/>
      </c>
      <c r="D95" s="49" t="str">
        <f t="shared" si="48"/>
        <v/>
      </c>
      <c r="E95" s="49" t="str">
        <f t="shared" si="48"/>
        <v/>
      </c>
      <c r="F95" s="49" t="str">
        <f t="shared" si="48"/>
        <v/>
      </c>
      <c r="G95" s="49" t="str">
        <f t="shared" si="48"/>
        <v/>
      </c>
      <c r="H95" s="49" t="str">
        <f t="shared" si="48"/>
        <v/>
      </c>
      <c r="I95" s="49" t="str">
        <f t="shared" si="48"/>
        <v/>
      </c>
      <c r="J95" s="49" t="str">
        <f t="shared" si="48"/>
        <v/>
      </c>
      <c r="K95" s="49" t="str">
        <f t="shared" si="48"/>
        <v/>
      </c>
      <c r="L95" s="49" t="str">
        <f t="shared" si="48"/>
        <v/>
      </c>
      <c r="M95" s="49" t="str">
        <f t="shared" si="48"/>
        <v/>
      </c>
      <c r="N95" s="49" t="str">
        <f t="shared" si="48"/>
        <v/>
      </c>
      <c r="O95" s="49" t="str">
        <f t="shared" si="48"/>
        <v/>
      </c>
      <c r="P95" s="49" t="str">
        <f t="shared" si="48"/>
        <v/>
      </c>
      <c r="Q95" s="49" t="str">
        <f t="shared" si="48"/>
        <v/>
      </c>
      <c r="R95" s="49" t="str">
        <f t="shared" si="48"/>
        <v/>
      </c>
      <c r="S95" s="49" t="str">
        <f t="shared" si="48"/>
        <v/>
      </c>
      <c r="T95" s="49" t="str">
        <f t="shared" si="48"/>
        <v/>
      </c>
      <c r="U95" s="49" t="str">
        <f t="shared" si="48"/>
        <v/>
      </c>
      <c r="V95" s="49" t="str">
        <f t="shared" si="48"/>
        <v/>
      </c>
      <c r="W95" s="49" t="str">
        <f t="shared" si="48"/>
        <v/>
      </c>
      <c r="X95" s="49" t="str">
        <f t="shared" si="48"/>
        <v/>
      </c>
      <c r="Y95" s="49" t="str">
        <f t="shared" si="48"/>
        <v/>
      </c>
      <c r="Z95" s="49" t="str">
        <f t="shared" si="48"/>
        <v/>
      </c>
      <c r="AA95" s="49" t="str">
        <f t="shared" si="48"/>
        <v/>
      </c>
      <c r="AB95" s="49" t="str">
        <f t="shared" si="48"/>
        <v/>
      </c>
      <c r="AC95" s="49" t="str">
        <f t="shared" si="48"/>
        <v/>
      </c>
      <c r="AD95" s="49" t="str">
        <f t="shared" si="48"/>
        <v/>
      </c>
      <c r="AE95" s="49" t="str">
        <f t="shared" si="48"/>
        <v/>
      </c>
      <c r="AF95" s="49" t="str">
        <f t="shared" si="48"/>
        <v/>
      </c>
      <c r="AG95" s="49" t="str">
        <f t="shared" si="48"/>
        <v/>
      </c>
      <c r="AH95" s="44">
        <f>SUM(AH93:AH94)</f>
        <v>0</v>
      </c>
      <c r="AI95" s="45">
        <f>SUM(AI93:AI94)</f>
        <v>0</v>
      </c>
      <c r="AJ95" s="45">
        <f t="shared" ref="AJ95:AL95" si="49">SUM(AJ93:AJ94)</f>
        <v>0</v>
      </c>
      <c r="AK95" s="45">
        <f t="shared" si="49"/>
        <v>10</v>
      </c>
      <c r="AL95" s="45">
        <f t="shared" si="49"/>
        <v>0</v>
      </c>
      <c r="AM95" s="50">
        <f>Juin!AM95</f>
        <v>0</v>
      </c>
      <c r="AN95" s="51">
        <f>IF(A94="","",IF(A94&gt;NomMois,0,IF(A94&lt;$A$3,2.08,(NETWORKDAYS(A94,$A$2)/21.66667)*2.08)))</f>
        <v>2.08</v>
      </c>
      <c r="AO95" s="51">
        <f>IF( AN95="",0,+AN95+Août!AO95)</f>
        <v>5.9839997193846592</v>
      </c>
      <c r="AP95" s="50"/>
      <c r="AQ95" s="45">
        <f>+AM95-AI95</f>
        <v>0</v>
      </c>
      <c r="AR95" s="45">
        <f>+AP95-AJ95</f>
        <v>0</v>
      </c>
      <c r="AS95" s="102">
        <f t="shared" ref="AS95:AS123" si="50">+AO95+AQ95</f>
        <v>5.9839997193846592</v>
      </c>
    </row>
    <row r="96" spans="1:45" s="63" customFormat="1" ht="6.75" customHeight="1" x14ac:dyDescent="0.25">
      <c r="A96" s="64"/>
      <c r="B96" s="42"/>
      <c r="C96" s="64"/>
      <c r="D96" s="64"/>
      <c r="E96" s="64"/>
      <c r="F96" s="64"/>
      <c r="G96" s="64"/>
      <c r="H96" s="64"/>
      <c r="I96" s="64"/>
      <c r="J96" s="64"/>
      <c r="K96" s="64"/>
      <c r="L96" s="64"/>
      <c r="M96" s="64"/>
      <c r="N96" s="64"/>
      <c r="O96" s="64"/>
      <c r="P96" s="64"/>
      <c r="Q96" s="64"/>
      <c r="R96" s="64"/>
      <c r="S96" s="64"/>
      <c r="T96" s="64"/>
      <c r="U96" s="64"/>
      <c r="V96" s="64"/>
      <c r="W96" s="64"/>
      <c r="X96" s="64"/>
      <c r="Y96" s="64"/>
      <c r="Z96" s="64"/>
      <c r="AA96" s="64"/>
      <c r="AB96" s="64"/>
      <c r="AC96" s="64"/>
      <c r="AD96" s="64"/>
      <c r="AE96" s="64"/>
      <c r="AF96" s="64"/>
      <c r="AG96" s="64"/>
      <c r="AH96" s="65"/>
      <c r="AI96" s="65"/>
      <c r="AJ96" s="65"/>
      <c r="AK96" s="65"/>
      <c r="AL96" s="65"/>
      <c r="AM96" s="64"/>
      <c r="AN96" s="65"/>
      <c r="AO96" s="65"/>
      <c r="AP96" s="64"/>
      <c r="AQ96" s="69"/>
      <c r="AR96" s="69"/>
      <c r="AS96" s="65"/>
    </row>
    <row r="97" spans="1:45" s="79" customFormat="1" ht="12.95" customHeight="1" x14ac:dyDescent="0.25">
      <c r="A97" s="70"/>
      <c r="B97" s="42" t="s">
        <v>15</v>
      </c>
      <c r="C97" s="71"/>
      <c r="D97" s="71"/>
      <c r="E97" s="71"/>
      <c r="F97" s="71"/>
      <c r="G97" s="71"/>
      <c r="H97" s="71"/>
      <c r="I97" s="71"/>
      <c r="J97" s="71"/>
      <c r="K97" s="71"/>
      <c r="L97" s="71"/>
      <c r="M97" s="71"/>
      <c r="N97" s="71"/>
      <c r="O97" s="71"/>
      <c r="P97" s="71"/>
      <c r="Q97" s="71"/>
      <c r="R97" s="71"/>
      <c r="S97" s="71"/>
      <c r="T97" s="71"/>
      <c r="U97" s="71"/>
      <c r="V97" s="71"/>
      <c r="W97" s="71"/>
      <c r="X97" s="71"/>
      <c r="Y97" s="71"/>
      <c r="Z97" s="71"/>
      <c r="AA97" s="71"/>
      <c r="AB97" s="71"/>
      <c r="AC97" s="71"/>
      <c r="AD97" s="71"/>
      <c r="AE97" s="71"/>
      <c r="AF97" s="71"/>
      <c r="AG97" s="71"/>
      <c r="AH97" s="72">
        <f>COUNTA(Septembre!$C97:$AG97)</f>
        <v>0</v>
      </c>
      <c r="AI97" s="45">
        <f>(COUNTIFS(Septembre!$C97:$AG97,("cp")))/2+Août!AI97</f>
        <v>11.5</v>
      </c>
      <c r="AJ97" s="45">
        <f>COUNTIFS(Septembre!$C97:$AG97,"RTT")/2+Août!AJ97</f>
        <v>0</v>
      </c>
      <c r="AK97" s="45">
        <f>COUNTIFS(Septembre!$C97:$AG97,"m")/2+Août!AK97</f>
        <v>0</v>
      </c>
      <c r="AL97" s="45">
        <f>COUNTIFS(Septembre!$C97:$AG97,"a")/2+Août!AL97</f>
        <v>0</v>
      </c>
      <c r="AM97" s="46"/>
      <c r="AN97" s="47"/>
      <c r="AO97" s="47"/>
      <c r="AP97" s="46"/>
      <c r="AQ97" s="47"/>
      <c r="AR97" s="47"/>
      <c r="AS97" s="47"/>
    </row>
    <row r="98" spans="1:45" s="79" customFormat="1" ht="12.95" customHeight="1" x14ac:dyDescent="0.25">
      <c r="A98" s="73">
        <v>42736</v>
      </c>
      <c r="B98" s="42" t="s">
        <v>16</v>
      </c>
      <c r="C98" s="71"/>
      <c r="D98" s="71"/>
      <c r="E98" s="71"/>
      <c r="F98" s="71"/>
      <c r="G98" s="71"/>
      <c r="H98" s="71"/>
      <c r="I98" s="71"/>
      <c r="J98" s="71"/>
      <c r="K98" s="71"/>
      <c r="L98" s="71"/>
      <c r="M98" s="71"/>
      <c r="N98" s="71"/>
      <c r="O98" s="71"/>
      <c r="P98" s="71"/>
      <c r="Q98" s="71"/>
      <c r="R98" s="71"/>
      <c r="S98" s="71"/>
      <c r="T98" s="71"/>
      <c r="U98" s="71"/>
      <c r="V98" s="71"/>
      <c r="W98" s="71"/>
      <c r="X98" s="71"/>
      <c r="Y98" s="71"/>
      <c r="Z98" s="71"/>
      <c r="AA98" s="71"/>
      <c r="AB98" s="71"/>
      <c r="AC98" s="71"/>
      <c r="AD98" s="71"/>
      <c r="AE98" s="71"/>
      <c r="AF98" s="71"/>
      <c r="AG98" s="71"/>
      <c r="AH98" s="72">
        <f>COUNTA(Septembre!$C98:$AG98)</f>
        <v>0</v>
      </c>
      <c r="AI98" s="45">
        <f>(COUNTIFS(Septembre!$C98:$AG98,("cp")))/2+Août!AI98</f>
        <v>11.5</v>
      </c>
      <c r="AJ98" s="45">
        <f>COUNTIFS(Septembre!$C98:$AG98,"RTT")/2+Août!AJ98</f>
        <v>0</v>
      </c>
      <c r="AK98" s="45">
        <f>COUNTIFS(Septembre!$C98:$AG98,"m")/2+Août!AK98</f>
        <v>0</v>
      </c>
      <c r="AL98" s="45">
        <f>COUNTIFS(Septembre!$C98:$AG98,"a")/2+Août!AL98</f>
        <v>0</v>
      </c>
      <c r="AM98" s="46"/>
      <c r="AN98" s="47"/>
      <c r="AO98" s="47"/>
      <c r="AP98" s="46"/>
      <c r="AQ98" s="47"/>
      <c r="AR98" s="47"/>
      <c r="AS98" s="101"/>
    </row>
    <row r="99" spans="1:45" s="79" customFormat="1" ht="12.95" customHeight="1" x14ac:dyDescent="0.25">
      <c r="A99" s="70"/>
      <c r="B99" s="42"/>
      <c r="C99" s="71" t="str">
        <f t="shared" ref="C99:AG99" si="51">IF(C97&gt;0,C97,IF(C98&gt;0,C98,""))</f>
        <v/>
      </c>
      <c r="D99" s="71" t="str">
        <f t="shared" si="51"/>
        <v/>
      </c>
      <c r="E99" s="71" t="str">
        <f t="shared" si="51"/>
        <v/>
      </c>
      <c r="F99" s="71" t="str">
        <f t="shared" si="51"/>
        <v/>
      </c>
      <c r="G99" s="71" t="str">
        <f t="shared" si="51"/>
        <v/>
      </c>
      <c r="H99" s="71" t="str">
        <f t="shared" si="51"/>
        <v/>
      </c>
      <c r="I99" s="71" t="str">
        <f t="shared" si="51"/>
        <v/>
      </c>
      <c r="J99" s="71" t="str">
        <f t="shared" si="51"/>
        <v/>
      </c>
      <c r="K99" s="71" t="str">
        <f t="shared" si="51"/>
        <v/>
      </c>
      <c r="L99" s="71" t="str">
        <f t="shared" si="51"/>
        <v/>
      </c>
      <c r="M99" s="71" t="str">
        <f t="shared" si="51"/>
        <v/>
      </c>
      <c r="N99" s="71" t="str">
        <f t="shared" si="51"/>
        <v/>
      </c>
      <c r="O99" s="71" t="str">
        <f t="shared" si="51"/>
        <v/>
      </c>
      <c r="P99" s="71" t="str">
        <f t="shared" si="51"/>
        <v/>
      </c>
      <c r="Q99" s="71" t="str">
        <f t="shared" si="51"/>
        <v/>
      </c>
      <c r="R99" s="71" t="str">
        <f t="shared" si="51"/>
        <v/>
      </c>
      <c r="S99" s="71" t="str">
        <f t="shared" si="51"/>
        <v/>
      </c>
      <c r="T99" s="71" t="str">
        <f t="shared" si="51"/>
        <v/>
      </c>
      <c r="U99" s="71" t="str">
        <f t="shared" si="51"/>
        <v/>
      </c>
      <c r="V99" s="71" t="str">
        <f t="shared" si="51"/>
        <v/>
      </c>
      <c r="W99" s="71" t="str">
        <f t="shared" si="51"/>
        <v/>
      </c>
      <c r="X99" s="71" t="str">
        <f t="shared" si="51"/>
        <v/>
      </c>
      <c r="Y99" s="71" t="str">
        <f t="shared" si="51"/>
        <v/>
      </c>
      <c r="Z99" s="71" t="str">
        <f t="shared" si="51"/>
        <v/>
      </c>
      <c r="AA99" s="71" t="str">
        <f t="shared" si="51"/>
        <v/>
      </c>
      <c r="AB99" s="71" t="str">
        <f t="shared" si="51"/>
        <v/>
      </c>
      <c r="AC99" s="71" t="str">
        <f t="shared" si="51"/>
        <v/>
      </c>
      <c r="AD99" s="71" t="str">
        <f t="shared" si="51"/>
        <v/>
      </c>
      <c r="AE99" s="71" t="str">
        <f t="shared" si="51"/>
        <v/>
      </c>
      <c r="AF99" s="71" t="str">
        <f t="shared" si="51"/>
        <v/>
      </c>
      <c r="AG99" s="71" t="str">
        <f t="shared" si="51"/>
        <v/>
      </c>
      <c r="AH99" s="72">
        <f>SUM(AH97:AH98)</f>
        <v>0</v>
      </c>
      <c r="AI99" s="45">
        <f>SUM(AI97:AI98)</f>
        <v>23</v>
      </c>
      <c r="AJ99" s="45">
        <f t="shared" ref="AJ99:AL99" si="52">SUM(AJ97:AJ98)</f>
        <v>0</v>
      </c>
      <c r="AK99" s="45">
        <f t="shared" si="52"/>
        <v>0</v>
      </c>
      <c r="AL99" s="45">
        <f t="shared" si="52"/>
        <v>0</v>
      </c>
      <c r="AM99" s="50">
        <f>Juin!AM99</f>
        <v>5.41</v>
      </c>
      <c r="AN99" s="51">
        <f>IF(A98="","",IF(A98&gt;NomMois,0,IF(A98&lt;$A$3,2.08,(NETWORKDAYS(A98,$A$2)/21.66667)*2.08)))</f>
        <v>2.08</v>
      </c>
      <c r="AO99" s="51">
        <f>IF( AN99="",0,+AN99+Août!AO99)</f>
        <v>8.32</v>
      </c>
      <c r="AP99" s="50"/>
      <c r="AQ99" s="45">
        <f>+AM99-AI99</f>
        <v>-17.59</v>
      </c>
      <c r="AR99" s="45">
        <f>+AP99-AJ99</f>
        <v>0</v>
      </c>
      <c r="AS99" s="102">
        <f t="shared" si="50"/>
        <v>-9.27</v>
      </c>
    </row>
    <row r="100" spans="1:45" s="63" customFormat="1" ht="6.75" customHeight="1" x14ac:dyDescent="0.25">
      <c r="A100" s="64"/>
      <c r="B100" s="42"/>
      <c r="C100" s="64"/>
      <c r="D100" s="64"/>
      <c r="E100" s="64"/>
      <c r="F100" s="64"/>
      <c r="G100" s="64"/>
      <c r="H100" s="64"/>
      <c r="I100" s="64"/>
      <c r="J100" s="64"/>
      <c r="K100" s="64"/>
      <c r="L100" s="64"/>
      <c r="M100" s="64"/>
      <c r="N100" s="64"/>
      <c r="O100" s="64"/>
      <c r="P100" s="64"/>
      <c r="Q100" s="64"/>
      <c r="R100" s="64"/>
      <c r="S100" s="64"/>
      <c r="T100" s="64"/>
      <c r="U100" s="64"/>
      <c r="V100" s="64"/>
      <c r="W100" s="64"/>
      <c r="X100" s="64"/>
      <c r="Y100" s="64"/>
      <c r="Z100" s="64"/>
      <c r="AA100" s="64"/>
      <c r="AB100" s="64"/>
      <c r="AC100" s="64"/>
      <c r="AD100" s="64"/>
      <c r="AE100" s="64"/>
      <c r="AF100" s="64"/>
      <c r="AG100" s="64"/>
      <c r="AH100" s="65"/>
      <c r="AI100" s="65"/>
      <c r="AJ100" s="65"/>
      <c r="AK100" s="65"/>
      <c r="AL100" s="65"/>
      <c r="AM100" s="64"/>
      <c r="AN100" s="65"/>
      <c r="AO100" s="65"/>
      <c r="AP100" s="64"/>
      <c r="AQ100" s="69"/>
      <c r="AR100" s="69"/>
      <c r="AS100" s="65"/>
    </row>
    <row r="101" spans="1:45" s="79" customFormat="1" ht="12.95" customHeight="1" x14ac:dyDescent="0.25">
      <c r="A101" s="70"/>
      <c r="B101" s="42" t="s">
        <v>15</v>
      </c>
      <c r="C101" s="71"/>
      <c r="D101" s="71"/>
      <c r="E101" s="71"/>
      <c r="F101" s="71"/>
      <c r="G101" s="71"/>
      <c r="H101" s="71"/>
      <c r="I101" s="71"/>
      <c r="J101" s="71"/>
      <c r="K101" s="71"/>
      <c r="L101" s="71"/>
      <c r="M101" s="71"/>
      <c r="N101" s="71"/>
      <c r="O101" s="71"/>
      <c r="P101" s="71"/>
      <c r="Q101" s="71"/>
      <c r="R101" s="71"/>
      <c r="S101" s="71"/>
      <c r="T101" s="71"/>
      <c r="U101" s="71"/>
      <c r="V101" s="71"/>
      <c r="W101" s="71"/>
      <c r="X101" s="71"/>
      <c r="Y101" s="71"/>
      <c r="Z101" s="71"/>
      <c r="AA101" s="71"/>
      <c r="AB101" s="71"/>
      <c r="AC101" s="71"/>
      <c r="AD101" s="71"/>
      <c r="AE101" s="71"/>
      <c r="AF101" s="71"/>
      <c r="AG101" s="71"/>
      <c r="AH101" s="72">
        <f>COUNTA(Septembre!$C101:$AG101)</f>
        <v>0</v>
      </c>
      <c r="AI101" s="45">
        <f>(COUNTIFS(Septembre!$C101:$AG101,("cp")))/2+Août!AI101</f>
        <v>2</v>
      </c>
      <c r="AJ101" s="45">
        <f>COUNTIFS(Septembre!$C101:$AG101,"RTT")/2+Août!AJ101</f>
        <v>0</v>
      </c>
      <c r="AK101" s="45">
        <f>COUNTIFS(Septembre!$C101:$AG101,"m")/2+Août!AK101</f>
        <v>0</v>
      </c>
      <c r="AL101" s="45">
        <f>COUNTIFS(Septembre!$C101:$AG101,"a")/2+Août!AL101</f>
        <v>0</v>
      </c>
      <c r="AM101" s="46"/>
      <c r="AN101" s="47"/>
      <c r="AO101" s="47"/>
      <c r="AP101" s="46"/>
      <c r="AQ101" s="47"/>
      <c r="AR101" s="47"/>
      <c r="AS101" s="47"/>
    </row>
    <row r="102" spans="1:45" s="79" customFormat="1" ht="12.95" customHeight="1" x14ac:dyDescent="0.25">
      <c r="A102" s="73">
        <v>42814</v>
      </c>
      <c r="B102" s="42" t="s">
        <v>16</v>
      </c>
      <c r="C102" s="71"/>
      <c r="D102" s="71"/>
      <c r="E102" s="71"/>
      <c r="F102" s="71"/>
      <c r="G102" s="71"/>
      <c r="H102" s="71"/>
      <c r="I102" s="71"/>
      <c r="J102" s="71"/>
      <c r="K102" s="71"/>
      <c r="L102" s="71"/>
      <c r="M102" s="71"/>
      <c r="N102" s="71"/>
      <c r="O102" s="71"/>
      <c r="P102" s="71"/>
      <c r="Q102" s="71"/>
      <c r="R102" s="71"/>
      <c r="S102" s="71"/>
      <c r="T102" s="71"/>
      <c r="U102" s="71"/>
      <c r="V102" s="71"/>
      <c r="W102" s="71"/>
      <c r="X102" s="71"/>
      <c r="Y102" s="71"/>
      <c r="Z102" s="71"/>
      <c r="AA102" s="71"/>
      <c r="AB102" s="71"/>
      <c r="AC102" s="71"/>
      <c r="AD102" s="71"/>
      <c r="AE102" s="71"/>
      <c r="AF102" s="71"/>
      <c r="AG102" s="71"/>
      <c r="AH102" s="72">
        <f>COUNTA(Septembre!$C102:$AG102)</f>
        <v>0</v>
      </c>
      <c r="AI102" s="45">
        <f>(COUNTIFS(Septembre!$C102:$AG102,("cp")))/2+Août!AI102</f>
        <v>2</v>
      </c>
      <c r="AJ102" s="45">
        <f>COUNTIFS(Septembre!$C102:$AG102,"RTT")/2+Août!AJ102</f>
        <v>0</v>
      </c>
      <c r="AK102" s="45">
        <f>COUNTIFS(Septembre!$C102:$AG102,"m")/2+Août!AK102</f>
        <v>0</v>
      </c>
      <c r="AL102" s="45">
        <f>COUNTIFS(Septembre!$C102:$AG102,"a")/2+Août!AL102</f>
        <v>0</v>
      </c>
      <c r="AM102" s="46"/>
      <c r="AN102" s="47"/>
      <c r="AO102" s="47"/>
      <c r="AP102" s="46"/>
      <c r="AQ102" s="47"/>
      <c r="AR102" s="47"/>
      <c r="AS102" s="101"/>
    </row>
    <row r="103" spans="1:45" s="79" customFormat="1" ht="12.95" customHeight="1" x14ac:dyDescent="0.25">
      <c r="A103" s="70"/>
      <c r="B103" s="42"/>
      <c r="C103" s="71" t="str">
        <f t="shared" ref="C103:AG103" si="53">IF(C101&gt;0,C101,IF(C102&gt;0,C102,""))</f>
        <v/>
      </c>
      <c r="D103" s="71" t="str">
        <f t="shared" si="53"/>
        <v/>
      </c>
      <c r="E103" s="71" t="str">
        <f t="shared" si="53"/>
        <v/>
      </c>
      <c r="F103" s="71" t="str">
        <f t="shared" si="53"/>
        <v/>
      </c>
      <c r="G103" s="71" t="str">
        <f t="shared" si="53"/>
        <v/>
      </c>
      <c r="H103" s="71" t="str">
        <f t="shared" si="53"/>
        <v/>
      </c>
      <c r="I103" s="71" t="str">
        <f t="shared" si="53"/>
        <v/>
      </c>
      <c r="J103" s="71" t="str">
        <f t="shared" si="53"/>
        <v/>
      </c>
      <c r="K103" s="71" t="str">
        <f t="shared" si="53"/>
        <v/>
      </c>
      <c r="L103" s="71" t="str">
        <f t="shared" si="53"/>
        <v/>
      </c>
      <c r="M103" s="71" t="str">
        <f t="shared" si="53"/>
        <v/>
      </c>
      <c r="N103" s="71" t="str">
        <f t="shared" si="53"/>
        <v/>
      </c>
      <c r="O103" s="71" t="str">
        <f t="shared" si="53"/>
        <v/>
      </c>
      <c r="P103" s="71" t="str">
        <f t="shared" si="53"/>
        <v/>
      </c>
      <c r="Q103" s="71" t="str">
        <f t="shared" si="53"/>
        <v/>
      </c>
      <c r="R103" s="71" t="str">
        <f t="shared" si="53"/>
        <v/>
      </c>
      <c r="S103" s="71" t="str">
        <f t="shared" si="53"/>
        <v/>
      </c>
      <c r="T103" s="71" t="str">
        <f t="shared" si="53"/>
        <v/>
      </c>
      <c r="U103" s="71" t="str">
        <f t="shared" si="53"/>
        <v/>
      </c>
      <c r="V103" s="71" t="str">
        <f t="shared" si="53"/>
        <v/>
      </c>
      <c r="W103" s="71" t="str">
        <f t="shared" si="53"/>
        <v/>
      </c>
      <c r="X103" s="71" t="str">
        <f t="shared" si="53"/>
        <v/>
      </c>
      <c r="Y103" s="71" t="str">
        <f t="shared" si="53"/>
        <v/>
      </c>
      <c r="Z103" s="71" t="str">
        <f t="shared" si="53"/>
        <v/>
      </c>
      <c r="AA103" s="71" t="str">
        <f t="shared" si="53"/>
        <v/>
      </c>
      <c r="AB103" s="71" t="str">
        <f t="shared" si="53"/>
        <v/>
      </c>
      <c r="AC103" s="71" t="str">
        <f t="shared" si="53"/>
        <v/>
      </c>
      <c r="AD103" s="71" t="str">
        <f t="shared" si="53"/>
        <v/>
      </c>
      <c r="AE103" s="71" t="str">
        <f t="shared" si="53"/>
        <v/>
      </c>
      <c r="AF103" s="71" t="str">
        <f t="shared" si="53"/>
        <v/>
      </c>
      <c r="AG103" s="71" t="str">
        <f t="shared" si="53"/>
        <v/>
      </c>
      <c r="AH103" s="72">
        <f>SUM(AH101:AH102)</f>
        <v>0</v>
      </c>
      <c r="AI103" s="45">
        <f>SUM(AI101:AI102)</f>
        <v>4</v>
      </c>
      <c r="AJ103" s="45">
        <f t="shared" ref="AJ103:AL103" si="54">SUM(AJ101:AJ102)</f>
        <v>0</v>
      </c>
      <c r="AK103" s="45">
        <f t="shared" si="54"/>
        <v>0</v>
      </c>
      <c r="AL103" s="45">
        <f t="shared" si="54"/>
        <v>0</v>
      </c>
      <c r="AM103" s="50">
        <f>Juin!AM103</f>
        <v>2.65</v>
      </c>
      <c r="AN103" s="51">
        <f>IF(A102="","",IF(A102&gt;NomMois,0,IF(A102&lt;$A$3,2.08,(NETWORKDAYS(A102,$A$2)/21.66667)*2.08)))</f>
        <v>2.08</v>
      </c>
      <c r="AO103" s="51">
        <f>IF( AN103="",0,+AN103+Août!AO103)</f>
        <v>8.32</v>
      </c>
      <c r="AP103" s="50"/>
      <c r="AQ103" s="45">
        <f>+AM103-AI103</f>
        <v>-1.35</v>
      </c>
      <c r="AR103" s="45">
        <f>+AP103-AJ103</f>
        <v>0</v>
      </c>
      <c r="AS103" s="102">
        <f t="shared" si="50"/>
        <v>6.9700000000000006</v>
      </c>
    </row>
    <row r="104" spans="1:45" s="79" customFormat="1" ht="8.25" customHeight="1" x14ac:dyDescent="0.25">
      <c r="A104" s="64"/>
      <c r="B104" s="42"/>
      <c r="C104" s="64"/>
      <c r="D104" s="64"/>
      <c r="E104" s="64"/>
      <c r="F104" s="64"/>
      <c r="G104" s="64"/>
      <c r="H104" s="64"/>
      <c r="I104" s="64"/>
      <c r="J104" s="64"/>
      <c r="K104" s="64"/>
      <c r="L104" s="64"/>
      <c r="M104" s="64"/>
      <c r="N104" s="64"/>
      <c r="O104" s="64"/>
      <c r="P104" s="64"/>
      <c r="Q104" s="64"/>
      <c r="R104" s="64"/>
      <c r="S104" s="64"/>
      <c r="T104" s="64"/>
      <c r="U104" s="64"/>
      <c r="V104" s="64"/>
      <c r="W104" s="64"/>
      <c r="X104" s="64"/>
      <c r="Y104" s="64"/>
      <c r="Z104" s="64"/>
      <c r="AA104" s="64"/>
      <c r="AB104" s="64"/>
      <c r="AC104" s="64"/>
      <c r="AD104" s="64"/>
      <c r="AE104" s="64"/>
      <c r="AF104" s="64"/>
      <c r="AG104" s="64"/>
      <c r="AH104" s="65"/>
      <c r="AI104" s="65"/>
      <c r="AJ104" s="65"/>
      <c r="AK104" s="65"/>
      <c r="AL104" s="65"/>
      <c r="AM104" s="64"/>
      <c r="AN104" s="65"/>
      <c r="AO104" s="65"/>
      <c r="AP104" s="64"/>
      <c r="AQ104" s="69"/>
      <c r="AR104" s="69"/>
      <c r="AS104" s="65"/>
    </row>
    <row r="105" spans="1:45" s="79" customFormat="1" ht="12.95" customHeight="1" x14ac:dyDescent="0.25">
      <c r="A105" s="41"/>
      <c r="B105" s="42" t="s">
        <v>15</v>
      </c>
      <c r="C105" s="67"/>
      <c r="D105" s="43"/>
      <c r="E105" s="43"/>
      <c r="F105" s="43"/>
      <c r="G105" s="43"/>
      <c r="H105" s="43"/>
      <c r="I105" s="43"/>
      <c r="J105" s="43"/>
      <c r="K105" s="43"/>
      <c r="L105" s="43"/>
      <c r="M105" s="43"/>
      <c r="N105" s="43"/>
      <c r="O105" s="43"/>
      <c r="P105" s="43"/>
      <c r="Q105" s="43"/>
      <c r="R105" s="43"/>
      <c r="S105" s="43"/>
      <c r="T105" s="43"/>
      <c r="U105" s="43"/>
      <c r="V105" s="43"/>
      <c r="W105" s="43"/>
      <c r="X105" s="43"/>
      <c r="Y105" s="43"/>
      <c r="Z105" s="43"/>
      <c r="AA105" s="43"/>
      <c r="AB105" s="43"/>
      <c r="AC105" s="43"/>
      <c r="AD105" s="43"/>
      <c r="AE105" s="43"/>
      <c r="AF105" s="43"/>
      <c r="AG105" s="43"/>
      <c r="AH105" s="44">
        <f>COUNTA(Septembre!$C105:$AG105)</f>
        <v>0</v>
      </c>
      <c r="AI105" s="45">
        <f>(COUNTIFS(Septembre!$C105:$AG105,("cp")))/2+Août!AI105</f>
        <v>0</v>
      </c>
      <c r="AJ105" s="45">
        <f>COUNTIFS(Septembre!$C105:$AG105,"RTT")/2+Août!AJ105</f>
        <v>0</v>
      </c>
      <c r="AK105" s="45">
        <f>COUNTIFS(Septembre!$C105:$AG105,"m")/2+Août!AK105</f>
        <v>0</v>
      </c>
      <c r="AL105" s="45">
        <f>COUNTIFS(Septembre!$C105:$AG105,"a")/2+Août!AL105</f>
        <v>0</v>
      </c>
      <c r="AM105" s="46"/>
      <c r="AN105" s="47"/>
      <c r="AO105" s="47"/>
      <c r="AP105" s="46"/>
      <c r="AQ105" s="47"/>
      <c r="AR105" s="47"/>
      <c r="AS105" s="47"/>
    </row>
    <row r="106" spans="1:45" s="79" customFormat="1" ht="12.95" customHeight="1" x14ac:dyDescent="0.25">
      <c r="A106" s="48">
        <v>43037</v>
      </c>
      <c r="B106" s="42" t="s">
        <v>16</v>
      </c>
      <c r="C106" s="67"/>
      <c r="D106" s="43"/>
      <c r="E106" s="43"/>
      <c r="F106" s="43"/>
      <c r="G106" s="43"/>
      <c r="H106" s="43"/>
      <c r="I106" s="43"/>
      <c r="J106" s="43"/>
      <c r="K106" s="43"/>
      <c r="L106" s="43"/>
      <c r="M106" s="43"/>
      <c r="N106" s="43"/>
      <c r="O106" s="43"/>
      <c r="P106" s="43"/>
      <c r="Q106" s="43"/>
      <c r="R106" s="43"/>
      <c r="S106" s="43"/>
      <c r="T106" s="43"/>
      <c r="U106" s="43"/>
      <c r="V106" s="43"/>
      <c r="W106" s="43"/>
      <c r="X106" s="43"/>
      <c r="Y106" s="43"/>
      <c r="Z106" s="43"/>
      <c r="AA106" s="43"/>
      <c r="AB106" s="43"/>
      <c r="AC106" s="43"/>
      <c r="AD106" s="43"/>
      <c r="AE106" s="43"/>
      <c r="AF106" s="43"/>
      <c r="AG106" s="43"/>
      <c r="AH106" s="44">
        <f>COUNTA(Septembre!$C106:$AG106)</f>
        <v>0</v>
      </c>
      <c r="AI106" s="45">
        <f>(COUNTIFS(Septembre!$C106:$AG106,("cp")))/2+Août!AI106</f>
        <v>0</v>
      </c>
      <c r="AJ106" s="45">
        <f>COUNTIFS(Septembre!$C106:$AG106,"RTT")/2+Août!AJ106</f>
        <v>0</v>
      </c>
      <c r="AK106" s="45">
        <f>COUNTIFS(Septembre!$C106:$AG106,"m")/2+Août!AK106</f>
        <v>0</v>
      </c>
      <c r="AL106" s="45">
        <f>COUNTIFS(Septembre!$C106:$AG106,"a")/2+Août!AL106</f>
        <v>0</v>
      </c>
      <c r="AM106" s="46"/>
      <c r="AN106" s="47"/>
      <c r="AO106" s="47"/>
      <c r="AP106" s="46"/>
      <c r="AQ106" s="47"/>
      <c r="AR106" s="47"/>
      <c r="AS106" s="101"/>
    </row>
    <row r="107" spans="1:45" s="79" customFormat="1" ht="12.95" customHeight="1" x14ac:dyDescent="0.25">
      <c r="A107" s="41"/>
      <c r="B107" s="42"/>
      <c r="C107" s="49" t="str">
        <f t="shared" ref="C107:AG107" si="55">IF(C105&gt;0,C105,IF(C106&gt;0,C106,""))</f>
        <v/>
      </c>
      <c r="D107" s="49" t="str">
        <f t="shared" si="55"/>
        <v/>
      </c>
      <c r="E107" s="49" t="str">
        <f t="shared" si="55"/>
        <v/>
      </c>
      <c r="F107" s="49" t="str">
        <f t="shared" si="55"/>
        <v/>
      </c>
      <c r="G107" s="49" t="str">
        <f t="shared" si="55"/>
        <v/>
      </c>
      <c r="H107" s="49" t="str">
        <f t="shared" si="55"/>
        <v/>
      </c>
      <c r="I107" s="49" t="str">
        <f t="shared" si="55"/>
        <v/>
      </c>
      <c r="J107" s="49" t="str">
        <f t="shared" si="55"/>
        <v/>
      </c>
      <c r="K107" s="49" t="str">
        <f t="shared" si="55"/>
        <v/>
      </c>
      <c r="L107" s="49" t="str">
        <f t="shared" si="55"/>
        <v/>
      </c>
      <c r="M107" s="49" t="str">
        <f t="shared" si="55"/>
        <v/>
      </c>
      <c r="N107" s="49" t="str">
        <f t="shared" si="55"/>
        <v/>
      </c>
      <c r="O107" s="49" t="str">
        <f t="shared" si="55"/>
        <v/>
      </c>
      <c r="P107" s="49" t="str">
        <f t="shared" si="55"/>
        <v/>
      </c>
      <c r="Q107" s="49" t="str">
        <f t="shared" si="55"/>
        <v/>
      </c>
      <c r="R107" s="49" t="str">
        <f t="shared" si="55"/>
        <v/>
      </c>
      <c r="S107" s="49" t="str">
        <f t="shared" si="55"/>
        <v/>
      </c>
      <c r="T107" s="49" t="str">
        <f t="shared" si="55"/>
        <v/>
      </c>
      <c r="U107" s="49" t="str">
        <f t="shared" si="55"/>
        <v/>
      </c>
      <c r="V107" s="49" t="str">
        <f t="shared" si="55"/>
        <v/>
      </c>
      <c r="W107" s="49" t="str">
        <f t="shared" si="55"/>
        <v/>
      </c>
      <c r="X107" s="49" t="str">
        <f t="shared" si="55"/>
        <v/>
      </c>
      <c r="Y107" s="49" t="str">
        <f t="shared" si="55"/>
        <v/>
      </c>
      <c r="Z107" s="49" t="str">
        <f t="shared" si="55"/>
        <v/>
      </c>
      <c r="AA107" s="49" t="str">
        <f t="shared" si="55"/>
        <v/>
      </c>
      <c r="AB107" s="49" t="str">
        <f t="shared" si="55"/>
        <v/>
      </c>
      <c r="AC107" s="49" t="str">
        <f t="shared" si="55"/>
        <v/>
      </c>
      <c r="AD107" s="49" t="str">
        <f t="shared" si="55"/>
        <v/>
      </c>
      <c r="AE107" s="49" t="str">
        <f t="shared" si="55"/>
        <v/>
      </c>
      <c r="AF107" s="49" t="str">
        <f t="shared" si="55"/>
        <v/>
      </c>
      <c r="AG107" s="49" t="str">
        <f t="shared" si="55"/>
        <v/>
      </c>
      <c r="AH107" s="44">
        <f>SUM(AH105:AH106)</f>
        <v>0</v>
      </c>
      <c r="AI107" s="45">
        <f>SUM(AI105:AI106)</f>
        <v>0</v>
      </c>
      <c r="AJ107" s="45">
        <f t="shared" ref="AJ107:AL107" si="56">SUM(AJ105:AJ106)</f>
        <v>0</v>
      </c>
      <c r="AK107" s="45">
        <f t="shared" si="56"/>
        <v>0</v>
      </c>
      <c r="AL107" s="45">
        <f t="shared" si="56"/>
        <v>0</v>
      </c>
      <c r="AM107" s="50">
        <v>0</v>
      </c>
      <c r="AN107" s="51">
        <f>IF(A106="","",IF(A106&gt;NomMois,0,IF(A106&lt;$A$3,2.08,(NETWORKDAYS(A106,$A$2)/21.66667)*2.08)))</f>
        <v>0</v>
      </c>
      <c r="AO107" s="51">
        <f>IF( AN107="",0,+AN107+Août!AO107)</f>
        <v>0</v>
      </c>
      <c r="AP107" s="50"/>
      <c r="AQ107" s="45">
        <f>+AM107-AI107</f>
        <v>0</v>
      </c>
      <c r="AR107" s="45">
        <f>+AP107-AJ107</f>
        <v>0</v>
      </c>
      <c r="AS107" s="102">
        <f t="shared" si="50"/>
        <v>0</v>
      </c>
    </row>
    <row r="108" spans="1:45" s="79" customFormat="1" ht="6.75" customHeight="1" x14ac:dyDescent="0.25">
      <c r="A108" s="64"/>
      <c r="B108" s="42"/>
      <c r="C108" s="64"/>
      <c r="D108" s="64"/>
      <c r="E108" s="64"/>
      <c r="F108" s="64"/>
      <c r="G108" s="64"/>
      <c r="H108" s="64"/>
      <c r="I108" s="64"/>
      <c r="J108" s="64"/>
      <c r="K108" s="64"/>
      <c r="L108" s="64"/>
      <c r="M108" s="64"/>
      <c r="N108" s="64"/>
      <c r="O108" s="64"/>
      <c r="P108" s="64"/>
      <c r="Q108" s="64"/>
      <c r="R108" s="64"/>
      <c r="S108" s="64"/>
      <c r="T108" s="64"/>
      <c r="U108" s="64"/>
      <c r="V108" s="64"/>
      <c r="W108" s="64"/>
      <c r="X108" s="64"/>
      <c r="Y108" s="64"/>
      <c r="Z108" s="64"/>
      <c r="AA108" s="64"/>
      <c r="AB108" s="64"/>
      <c r="AC108" s="64"/>
      <c r="AD108" s="64"/>
      <c r="AE108" s="64"/>
      <c r="AF108" s="64"/>
      <c r="AG108" s="64"/>
      <c r="AH108" s="65"/>
      <c r="AI108" s="65"/>
      <c r="AJ108" s="65"/>
      <c r="AK108" s="65"/>
      <c r="AL108" s="65"/>
      <c r="AM108" s="64"/>
      <c r="AN108" s="65"/>
      <c r="AO108" s="65"/>
      <c r="AP108" s="64"/>
      <c r="AQ108" s="69"/>
      <c r="AR108" s="69"/>
      <c r="AS108" s="65"/>
    </row>
    <row r="109" spans="1:45" s="79" customFormat="1" ht="12.95" customHeight="1" x14ac:dyDescent="0.25">
      <c r="A109" s="41"/>
      <c r="B109" s="42" t="s">
        <v>15</v>
      </c>
      <c r="C109" s="67"/>
      <c r="D109" s="43"/>
      <c r="E109" s="43"/>
      <c r="F109" s="43"/>
      <c r="G109" s="43"/>
      <c r="H109" s="43"/>
      <c r="I109" s="43"/>
      <c r="J109" s="43"/>
      <c r="K109" s="43"/>
      <c r="L109" s="43"/>
      <c r="M109" s="43"/>
      <c r="N109" s="43"/>
      <c r="O109" s="43"/>
      <c r="P109" s="43"/>
      <c r="Q109" s="43"/>
      <c r="R109" s="43"/>
      <c r="S109" s="43"/>
      <c r="T109" s="43"/>
      <c r="U109" s="43"/>
      <c r="V109" s="43"/>
      <c r="W109" s="43"/>
      <c r="X109" s="43"/>
      <c r="Y109" s="43"/>
      <c r="Z109" s="43"/>
      <c r="AA109" s="43"/>
      <c r="AB109" s="43"/>
      <c r="AC109" s="43"/>
      <c r="AD109" s="43"/>
      <c r="AE109" s="43"/>
      <c r="AF109" s="43"/>
      <c r="AG109" s="43"/>
      <c r="AH109" s="44">
        <f>COUNTA(Septembre!$C109:$AG109)</f>
        <v>0</v>
      </c>
      <c r="AI109" s="45">
        <f>(COUNTIFS(Septembre!$C109:$AG109,("cp")))/2+Août!AI109</f>
        <v>0</v>
      </c>
      <c r="AJ109" s="45">
        <f>COUNTIFS(Septembre!$C109:$AG109,"RTT")/2+Août!AJ109</f>
        <v>0</v>
      </c>
      <c r="AK109" s="45">
        <f>COUNTIFS(Septembre!$C109:$AG109,"m")/2+Août!AK109</f>
        <v>0</v>
      </c>
      <c r="AL109" s="45">
        <f>COUNTIFS(Septembre!$C109:$AG109,"a")/2+Août!AL109</f>
        <v>0</v>
      </c>
      <c r="AM109" s="46"/>
      <c r="AN109" s="47"/>
      <c r="AO109" s="47"/>
      <c r="AP109" s="46"/>
      <c r="AQ109" s="47"/>
      <c r="AR109" s="47"/>
      <c r="AS109" s="47"/>
    </row>
    <row r="110" spans="1:45" s="79" customFormat="1" ht="12.95" customHeight="1" x14ac:dyDescent="0.25">
      <c r="A110" s="48">
        <v>42991</v>
      </c>
      <c r="B110" s="42" t="s">
        <v>16</v>
      </c>
      <c r="C110" s="67"/>
      <c r="D110" s="43"/>
      <c r="E110" s="43"/>
      <c r="F110" s="43"/>
      <c r="G110" s="43"/>
      <c r="H110" s="43"/>
      <c r="I110" s="43"/>
      <c r="J110" s="43"/>
      <c r="K110" s="43"/>
      <c r="L110" s="43"/>
      <c r="M110" s="43"/>
      <c r="N110" s="43"/>
      <c r="O110" s="43"/>
      <c r="P110" s="43"/>
      <c r="Q110" s="43"/>
      <c r="R110" s="43"/>
      <c r="S110" s="43"/>
      <c r="T110" s="43"/>
      <c r="U110" s="43"/>
      <c r="V110" s="43"/>
      <c r="W110" s="43"/>
      <c r="X110" s="43"/>
      <c r="Y110" s="43"/>
      <c r="Z110" s="43"/>
      <c r="AA110" s="43"/>
      <c r="AB110" s="43"/>
      <c r="AC110" s="43"/>
      <c r="AD110" s="43"/>
      <c r="AE110" s="43"/>
      <c r="AF110" s="43"/>
      <c r="AG110" s="43"/>
      <c r="AH110" s="44">
        <f>COUNTA(Septembre!$C110:$AG110)</f>
        <v>0</v>
      </c>
      <c r="AI110" s="45">
        <f>(COUNTIFS(Septembre!$C110:$AG110,("cp")))/2+Août!AI110</f>
        <v>0</v>
      </c>
      <c r="AJ110" s="45">
        <f>COUNTIFS(Septembre!$C110:$AG110,"RTT")/2+Août!AJ110</f>
        <v>0</v>
      </c>
      <c r="AK110" s="45">
        <f>COUNTIFS(Septembre!$C110:$AG110,"m")/2+Août!AK110</f>
        <v>0</v>
      </c>
      <c r="AL110" s="45">
        <f>COUNTIFS(Septembre!$C110:$AG110,"a")/2+Août!AL110</f>
        <v>0</v>
      </c>
      <c r="AM110" s="46"/>
      <c r="AN110" s="47"/>
      <c r="AO110" s="47"/>
      <c r="AP110" s="46"/>
      <c r="AQ110" s="47"/>
      <c r="AR110" s="47"/>
      <c r="AS110" s="101"/>
    </row>
    <row r="111" spans="1:45" s="79" customFormat="1" ht="12.95" customHeight="1" x14ac:dyDescent="0.25">
      <c r="A111" s="41"/>
      <c r="B111" s="42"/>
      <c r="C111" s="49" t="str">
        <f t="shared" ref="C111:AG111" si="57">IF(C109&gt;0,C109,IF(C110&gt;0,C110,""))</f>
        <v/>
      </c>
      <c r="D111" s="49" t="str">
        <f t="shared" si="57"/>
        <v/>
      </c>
      <c r="E111" s="49" t="str">
        <f t="shared" si="57"/>
        <v/>
      </c>
      <c r="F111" s="49" t="str">
        <f t="shared" si="57"/>
        <v/>
      </c>
      <c r="G111" s="49" t="str">
        <f t="shared" si="57"/>
        <v/>
      </c>
      <c r="H111" s="49" t="str">
        <f t="shared" si="57"/>
        <v/>
      </c>
      <c r="I111" s="49" t="str">
        <f t="shared" si="57"/>
        <v/>
      </c>
      <c r="J111" s="49" t="str">
        <f t="shared" si="57"/>
        <v/>
      </c>
      <c r="K111" s="49" t="str">
        <f t="shared" si="57"/>
        <v/>
      </c>
      <c r="L111" s="49" t="str">
        <f t="shared" si="57"/>
        <v/>
      </c>
      <c r="M111" s="49" t="str">
        <f t="shared" si="57"/>
        <v/>
      </c>
      <c r="N111" s="49" t="str">
        <f t="shared" si="57"/>
        <v/>
      </c>
      <c r="O111" s="49" t="str">
        <f t="shared" si="57"/>
        <v/>
      </c>
      <c r="P111" s="49" t="str">
        <f t="shared" si="57"/>
        <v/>
      </c>
      <c r="Q111" s="49" t="str">
        <f t="shared" si="57"/>
        <v/>
      </c>
      <c r="R111" s="49" t="str">
        <f t="shared" si="57"/>
        <v/>
      </c>
      <c r="S111" s="49" t="str">
        <f t="shared" si="57"/>
        <v/>
      </c>
      <c r="T111" s="49" t="str">
        <f t="shared" si="57"/>
        <v/>
      </c>
      <c r="U111" s="49" t="str">
        <f t="shared" si="57"/>
        <v/>
      </c>
      <c r="V111" s="49" t="str">
        <f t="shared" si="57"/>
        <v/>
      </c>
      <c r="W111" s="49" t="str">
        <f t="shared" si="57"/>
        <v/>
      </c>
      <c r="X111" s="49" t="str">
        <f t="shared" si="57"/>
        <v/>
      </c>
      <c r="Y111" s="49" t="str">
        <f t="shared" si="57"/>
        <v/>
      </c>
      <c r="Z111" s="49" t="str">
        <f t="shared" si="57"/>
        <v/>
      </c>
      <c r="AA111" s="49" t="str">
        <f t="shared" si="57"/>
        <v/>
      </c>
      <c r="AB111" s="49" t="str">
        <f t="shared" si="57"/>
        <v/>
      </c>
      <c r="AC111" s="49" t="str">
        <f t="shared" si="57"/>
        <v/>
      </c>
      <c r="AD111" s="49" t="str">
        <f t="shared" si="57"/>
        <v/>
      </c>
      <c r="AE111" s="49" t="str">
        <f t="shared" si="57"/>
        <v/>
      </c>
      <c r="AF111" s="49" t="str">
        <f t="shared" si="57"/>
        <v/>
      </c>
      <c r="AG111" s="49" t="str">
        <f t="shared" si="57"/>
        <v/>
      </c>
      <c r="AH111" s="44">
        <f>SUM(AH109:AH110)</f>
        <v>0</v>
      </c>
      <c r="AI111" s="45">
        <f>SUM(AI109:AI110)</f>
        <v>0</v>
      </c>
      <c r="AJ111" s="45">
        <f t="shared" ref="AJ111:AL111" si="58">SUM(AJ109:AJ110)</f>
        <v>0</v>
      </c>
      <c r="AK111" s="45">
        <f t="shared" si="58"/>
        <v>0</v>
      </c>
      <c r="AL111" s="45">
        <f t="shared" si="58"/>
        <v>0</v>
      </c>
      <c r="AM111" s="50">
        <v>0</v>
      </c>
      <c r="AN111" s="51">
        <f>IF(A110="","",IF(A110&gt;NomMois,0,IF(A110&lt;$A$3,2.08,(NETWORKDAYS(A110,$A$2)/21.66667)*2.08)))</f>
        <v>1.2479998080000296</v>
      </c>
      <c r="AO111" s="51">
        <f>IF( AN111="",0,+AN111+Août!AO111)</f>
        <v>1.2479998080000296</v>
      </c>
      <c r="AP111" s="50"/>
      <c r="AQ111" s="45">
        <f>+AM111-AI111</f>
        <v>0</v>
      </c>
      <c r="AR111" s="45">
        <f>+AP111-AJ111</f>
        <v>0</v>
      </c>
      <c r="AS111" s="102">
        <f t="shared" si="50"/>
        <v>1.2479998080000296</v>
      </c>
    </row>
    <row r="112" spans="1:45" s="79" customFormat="1" ht="6.75" customHeight="1" x14ac:dyDescent="0.25">
      <c r="A112" s="64"/>
      <c r="B112" s="42"/>
      <c r="C112" s="64"/>
      <c r="D112" s="64"/>
      <c r="E112" s="64"/>
      <c r="F112" s="64"/>
      <c r="G112" s="64"/>
      <c r="H112" s="64"/>
      <c r="I112" s="64"/>
      <c r="J112" s="64"/>
      <c r="K112" s="64"/>
      <c r="L112" s="64"/>
      <c r="M112" s="64"/>
      <c r="N112" s="64"/>
      <c r="O112" s="64"/>
      <c r="P112" s="64"/>
      <c r="Q112" s="64"/>
      <c r="R112" s="64"/>
      <c r="S112" s="64"/>
      <c r="T112" s="64"/>
      <c r="U112" s="64"/>
      <c r="V112" s="64"/>
      <c r="W112" s="64"/>
      <c r="X112" s="64"/>
      <c r="Y112" s="64"/>
      <c r="Z112" s="64"/>
      <c r="AA112" s="64"/>
      <c r="AB112" s="64"/>
      <c r="AC112" s="64"/>
      <c r="AD112" s="64"/>
      <c r="AE112" s="64"/>
      <c r="AF112" s="64"/>
      <c r="AG112" s="64"/>
      <c r="AH112" s="65"/>
      <c r="AI112" s="65"/>
      <c r="AJ112" s="65"/>
      <c r="AK112" s="65"/>
      <c r="AL112" s="65"/>
      <c r="AM112" s="64"/>
      <c r="AN112" s="65"/>
      <c r="AO112" s="65"/>
      <c r="AP112" s="64"/>
      <c r="AQ112" s="69"/>
      <c r="AR112" s="69"/>
      <c r="AS112" s="65"/>
    </row>
    <row r="113" spans="1:45" s="79" customFormat="1" ht="12.95" customHeight="1" x14ac:dyDescent="0.25">
      <c r="A113" s="41"/>
      <c r="B113" s="42" t="s">
        <v>15</v>
      </c>
      <c r="C113" s="67"/>
      <c r="D113" s="43"/>
      <c r="E113" s="43"/>
      <c r="F113" s="43"/>
      <c r="G113" s="43"/>
      <c r="H113" s="43"/>
      <c r="I113" s="43"/>
      <c r="J113" s="43"/>
      <c r="K113" s="43"/>
      <c r="L113" s="43"/>
      <c r="M113" s="43"/>
      <c r="N113" s="43"/>
      <c r="O113" s="43"/>
      <c r="P113" s="43"/>
      <c r="Q113" s="43"/>
      <c r="R113" s="43"/>
      <c r="S113" s="43"/>
      <c r="T113" s="43"/>
      <c r="U113" s="43"/>
      <c r="V113" s="43"/>
      <c r="W113" s="43"/>
      <c r="X113" s="43"/>
      <c r="Y113" s="43"/>
      <c r="Z113" s="43"/>
      <c r="AA113" s="43"/>
      <c r="AB113" s="43"/>
      <c r="AC113" s="43"/>
      <c r="AD113" s="43"/>
      <c r="AE113" s="43"/>
      <c r="AF113" s="43"/>
      <c r="AG113" s="43"/>
      <c r="AH113" s="44">
        <f>COUNTA(Septembre!$C113:$AG113)</f>
        <v>0</v>
      </c>
      <c r="AI113" s="45">
        <f>(COUNTIFS(Septembre!$C113:$AG113,("cp")))/2+Août!AI113</f>
        <v>0</v>
      </c>
      <c r="AJ113" s="45">
        <f>COUNTIFS(Septembre!$C113:$AG113,"RTT")/2+Août!AJ113</f>
        <v>0</v>
      </c>
      <c r="AK113" s="45">
        <f>COUNTIFS(Septembre!$C113:$AG113,"m")/2+Août!AK113</f>
        <v>0</v>
      </c>
      <c r="AL113" s="45">
        <f>COUNTIFS(Septembre!$C113:$AG113,"a")/2+Août!AL113</f>
        <v>0</v>
      </c>
      <c r="AM113" s="46"/>
      <c r="AN113" s="47"/>
      <c r="AO113" s="47"/>
      <c r="AP113" s="46"/>
      <c r="AQ113" s="47"/>
      <c r="AR113" s="47"/>
      <c r="AS113" s="47"/>
    </row>
    <row r="114" spans="1:45" s="79" customFormat="1" ht="12.95" customHeight="1" x14ac:dyDescent="0.25">
      <c r="A114" s="48">
        <v>43052</v>
      </c>
      <c r="B114" s="42" t="s">
        <v>16</v>
      </c>
      <c r="C114" s="67"/>
      <c r="D114" s="43"/>
      <c r="E114" s="43"/>
      <c r="F114" s="43"/>
      <c r="G114" s="43"/>
      <c r="H114" s="43"/>
      <c r="I114" s="43"/>
      <c r="J114" s="43"/>
      <c r="K114" s="43"/>
      <c r="L114" s="43"/>
      <c r="M114" s="43"/>
      <c r="N114" s="43"/>
      <c r="O114" s="43"/>
      <c r="P114" s="43"/>
      <c r="Q114" s="43"/>
      <c r="R114" s="43"/>
      <c r="S114" s="43"/>
      <c r="T114" s="43"/>
      <c r="U114" s="43"/>
      <c r="V114" s="43"/>
      <c r="W114" s="43"/>
      <c r="X114" s="43"/>
      <c r="Y114" s="43"/>
      <c r="Z114" s="43"/>
      <c r="AA114" s="43"/>
      <c r="AB114" s="43"/>
      <c r="AC114" s="43"/>
      <c r="AD114" s="43"/>
      <c r="AE114" s="43"/>
      <c r="AF114" s="43"/>
      <c r="AG114" s="43"/>
      <c r="AH114" s="44">
        <f>COUNTA(Septembre!$C114:$AG114)</f>
        <v>0</v>
      </c>
      <c r="AI114" s="45">
        <f>(COUNTIFS(Septembre!$C114:$AG114,("cp")))/2+Août!AI114</f>
        <v>0</v>
      </c>
      <c r="AJ114" s="45">
        <f>COUNTIFS(Septembre!$C114:$AG114,"RTT")/2+Août!AJ114</f>
        <v>0</v>
      </c>
      <c r="AK114" s="45">
        <f>COUNTIFS(Septembre!$C114:$AG114,"m")/2+Août!AK114</f>
        <v>0</v>
      </c>
      <c r="AL114" s="45">
        <f>COUNTIFS(Septembre!$C114:$AG114,"a")/2+Août!AL114</f>
        <v>0</v>
      </c>
      <c r="AM114" s="46"/>
      <c r="AN114" s="47"/>
      <c r="AO114" s="47"/>
      <c r="AP114" s="46"/>
      <c r="AQ114" s="47"/>
      <c r="AR114" s="47"/>
      <c r="AS114" s="101"/>
    </row>
    <row r="115" spans="1:45" s="79" customFormat="1" ht="12.95" customHeight="1" x14ac:dyDescent="0.25">
      <c r="A115" s="41"/>
      <c r="B115" s="42"/>
      <c r="C115" s="49" t="str">
        <f t="shared" ref="C115:AG115" si="59">IF(C113&gt;0,C113,IF(C114&gt;0,C114,""))</f>
        <v/>
      </c>
      <c r="D115" s="49" t="str">
        <f t="shared" si="59"/>
        <v/>
      </c>
      <c r="E115" s="49" t="str">
        <f t="shared" si="59"/>
        <v/>
      </c>
      <c r="F115" s="49" t="str">
        <f t="shared" si="59"/>
        <v/>
      </c>
      <c r="G115" s="49" t="str">
        <f t="shared" si="59"/>
        <v/>
      </c>
      <c r="H115" s="49" t="str">
        <f t="shared" si="59"/>
        <v/>
      </c>
      <c r="I115" s="49" t="str">
        <f t="shared" si="59"/>
        <v/>
      </c>
      <c r="J115" s="49" t="str">
        <f t="shared" si="59"/>
        <v/>
      </c>
      <c r="K115" s="49" t="str">
        <f t="shared" si="59"/>
        <v/>
      </c>
      <c r="L115" s="49" t="str">
        <f t="shared" si="59"/>
        <v/>
      </c>
      <c r="M115" s="49" t="str">
        <f t="shared" si="59"/>
        <v/>
      </c>
      <c r="N115" s="49" t="str">
        <f t="shared" si="59"/>
        <v/>
      </c>
      <c r="O115" s="49" t="str">
        <f t="shared" si="59"/>
        <v/>
      </c>
      <c r="P115" s="49" t="str">
        <f t="shared" si="59"/>
        <v/>
      </c>
      <c r="Q115" s="49" t="str">
        <f t="shared" si="59"/>
        <v/>
      </c>
      <c r="R115" s="49" t="str">
        <f t="shared" si="59"/>
        <v/>
      </c>
      <c r="S115" s="49" t="str">
        <f t="shared" si="59"/>
        <v/>
      </c>
      <c r="T115" s="49" t="str">
        <f t="shared" si="59"/>
        <v/>
      </c>
      <c r="U115" s="49" t="str">
        <f t="shared" si="59"/>
        <v/>
      </c>
      <c r="V115" s="49" t="str">
        <f t="shared" si="59"/>
        <v/>
      </c>
      <c r="W115" s="49" t="str">
        <f t="shared" si="59"/>
        <v/>
      </c>
      <c r="X115" s="49" t="str">
        <f t="shared" si="59"/>
        <v/>
      </c>
      <c r="Y115" s="49" t="str">
        <f t="shared" si="59"/>
        <v/>
      </c>
      <c r="Z115" s="49" t="str">
        <f t="shared" si="59"/>
        <v/>
      </c>
      <c r="AA115" s="49" t="str">
        <f t="shared" si="59"/>
        <v/>
      </c>
      <c r="AB115" s="49" t="str">
        <f t="shared" si="59"/>
        <v/>
      </c>
      <c r="AC115" s="49" t="str">
        <f t="shared" si="59"/>
        <v/>
      </c>
      <c r="AD115" s="49" t="str">
        <f t="shared" si="59"/>
        <v/>
      </c>
      <c r="AE115" s="49" t="str">
        <f t="shared" si="59"/>
        <v/>
      </c>
      <c r="AF115" s="49" t="str">
        <f t="shared" si="59"/>
        <v/>
      </c>
      <c r="AG115" s="49" t="str">
        <f t="shared" si="59"/>
        <v/>
      </c>
      <c r="AH115" s="44">
        <f>SUM(AH113:AH114)</f>
        <v>0</v>
      </c>
      <c r="AI115" s="45">
        <f>SUM(AI113:AI114)</f>
        <v>0</v>
      </c>
      <c r="AJ115" s="45">
        <f t="shared" ref="AJ115:AL115" si="60">SUM(AJ113:AJ114)</f>
        <v>0</v>
      </c>
      <c r="AK115" s="45">
        <f t="shared" si="60"/>
        <v>0</v>
      </c>
      <c r="AL115" s="45">
        <f t="shared" si="60"/>
        <v>0</v>
      </c>
      <c r="AM115" s="50">
        <v>0</v>
      </c>
      <c r="AN115" s="51">
        <f>IF(A114="","",IF(A114&gt;NomMois,0,IF(A114&lt;$A$3,2.08,(NETWORKDAYS(A114,$A$2)/21.66667)*2.08)))</f>
        <v>0</v>
      </c>
      <c r="AO115" s="51">
        <f>IF( AN115="",0,+AN115+Août!AO115)</f>
        <v>0</v>
      </c>
      <c r="AP115" s="50"/>
      <c r="AQ115" s="45">
        <f>+AM115-AI115</f>
        <v>0</v>
      </c>
      <c r="AR115" s="45">
        <f>+AP115-AJ115</f>
        <v>0</v>
      </c>
      <c r="AS115" s="102">
        <f t="shared" si="50"/>
        <v>0</v>
      </c>
    </row>
    <row r="116" spans="1:45" s="79" customFormat="1" ht="6.75" customHeight="1" x14ac:dyDescent="0.25">
      <c r="A116" s="64"/>
      <c r="B116" s="42"/>
      <c r="C116" s="64"/>
      <c r="D116" s="64"/>
      <c r="E116" s="64"/>
      <c r="F116" s="64"/>
      <c r="G116" s="64"/>
      <c r="H116" s="64"/>
      <c r="I116" s="64"/>
      <c r="J116" s="64"/>
      <c r="K116" s="64"/>
      <c r="L116" s="64"/>
      <c r="M116" s="64"/>
      <c r="N116" s="64"/>
      <c r="O116" s="64"/>
      <c r="P116" s="64"/>
      <c r="Q116" s="64"/>
      <c r="R116" s="64"/>
      <c r="S116" s="64"/>
      <c r="T116" s="64"/>
      <c r="U116" s="64"/>
      <c r="V116" s="64"/>
      <c r="W116" s="64"/>
      <c r="X116" s="64"/>
      <c r="Y116" s="64"/>
      <c r="Z116" s="64"/>
      <c r="AA116" s="64"/>
      <c r="AB116" s="64"/>
      <c r="AC116" s="64"/>
      <c r="AD116" s="64"/>
      <c r="AE116" s="64"/>
      <c r="AF116" s="64"/>
      <c r="AG116" s="64"/>
      <c r="AH116" s="65"/>
      <c r="AI116" s="65"/>
      <c r="AJ116" s="65"/>
      <c r="AK116" s="65"/>
      <c r="AL116" s="65"/>
      <c r="AM116" s="64"/>
      <c r="AN116" s="65"/>
      <c r="AO116" s="65"/>
      <c r="AP116" s="64"/>
      <c r="AQ116" s="69"/>
      <c r="AR116" s="69"/>
      <c r="AS116" s="65"/>
    </row>
    <row r="117" spans="1:45" s="79" customFormat="1" ht="12.95" customHeight="1" x14ac:dyDescent="0.25">
      <c r="A117" s="41"/>
      <c r="B117" s="42" t="s">
        <v>15</v>
      </c>
      <c r="C117" s="67"/>
      <c r="D117" s="43"/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  <c r="S117" s="43"/>
      <c r="T117" s="43"/>
      <c r="U117" s="43"/>
      <c r="V117" s="43"/>
      <c r="W117" s="43"/>
      <c r="X117" s="43"/>
      <c r="Y117" s="43"/>
      <c r="Z117" s="43"/>
      <c r="AA117" s="43"/>
      <c r="AB117" s="43"/>
      <c r="AC117" s="43"/>
      <c r="AD117" s="43"/>
      <c r="AE117" s="43"/>
      <c r="AF117" s="43"/>
      <c r="AG117" s="43"/>
      <c r="AH117" s="44">
        <f>COUNTA(Septembre!$C117:$AG117)</f>
        <v>0</v>
      </c>
      <c r="AI117" s="45">
        <f>(COUNTIFS(Septembre!$C117:$AG117,("cp")))/2+Août!AI117</f>
        <v>0</v>
      </c>
      <c r="AJ117" s="45">
        <f>COUNTIFS(Septembre!$C117:$AG117,"RTT")/2+Août!AJ117</f>
        <v>0</v>
      </c>
      <c r="AK117" s="45">
        <f>COUNTIFS(Septembre!$C117:$AG117,"m")/2+Août!AK117</f>
        <v>0</v>
      </c>
      <c r="AL117" s="45">
        <f>COUNTIFS(Septembre!$C117:$AG117,"a")/2+Août!AL117</f>
        <v>0</v>
      </c>
      <c r="AM117" s="46"/>
      <c r="AN117" s="47"/>
      <c r="AO117" s="47"/>
      <c r="AP117" s="46"/>
      <c r="AQ117" s="47"/>
      <c r="AR117" s="47"/>
      <c r="AS117" s="47"/>
    </row>
    <row r="118" spans="1:45" s="79" customFormat="1" ht="12.95" customHeight="1" x14ac:dyDescent="0.25">
      <c r="A118" s="48"/>
      <c r="B118" s="42" t="s">
        <v>16</v>
      </c>
      <c r="C118" s="67"/>
      <c r="D118" s="43"/>
      <c r="E118" s="43"/>
      <c r="F118" s="43"/>
      <c r="G118" s="43"/>
      <c r="H118" s="43"/>
      <c r="I118" s="43"/>
      <c r="J118" s="43"/>
      <c r="K118" s="43"/>
      <c r="L118" s="43"/>
      <c r="M118" s="43"/>
      <c r="N118" s="43"/>
      <c r="O118" s="43"/>
      <c r="P118" s="43"/>
      <c r="Q118" s="43"/>
      <c r="R118" s="43"/>
      <c r="S118" s="43"/>
      <c r="T118" s="43"/>
      <c r="U118" s="43"/>
      <c r="V118" s="43"/>
      <c r="W118" s="43"/>
      <c r="X118" s="43"/>
      <c r="Y118" s="43"/>
      <c r="Z118" s="43"/>
      <c r="AA118" s="43"/>
      <c r="AB118" s="43"/>
      <c r="AC118" s="43"/>
      <c r="AD118" s="43"/>
      <c r="AE118" s="43"/>
      <c r="AF118" s="43"/>
      <c r="AG118" s="43"/>
      <c r="AH118" s="44">
        <f>COUNTA(Septembre!$C118:$AG118)</f>
        <v>0</v>
      </c>
      <c r="AI118" s="45">
        <f>(COUNTIFS(Septembre!$C118:$AG118,("cp")))/2+Août!AI118</f>
        <v>0</v>
      </c>
      <c r="AJ118" s="45">
        <f>COUNTIFS(Septembre!$C118:$AG118,"RTT")/2+Août!AJ118</f>
        <v>0</v>
      </c>
      <c r="AK118" s="45">
        <f>COUNTIFS(Septembre!$C118:$AG118,"m")/2+Août!AK118</f>
        <v>0</v>
      </c>
      <c r="AL118" s="45">
        <f>COUNTIFS(Septembre!$C118:$AG118,"a")/2+Août!AL118</f>
        <v>0</v>
      </c>
      <c r="AM118" s="46"/>
      <c r="AN118" s="47"/>
      <c r="AO118" s="47"/>
      <c r="AP118" s="46"/>
      <c r="AQ118" s="47"/>
      <c r="AR118" s="47"/>
      <c r="AS118" s="101"/>
    </row>
    <row r="119" spans="1:45" s="79" customFormat="1" ht="12.95" customHeight="1" x14ac:dyDescent="0.25">
      <c r="A119" s="41"/>
      <c r="B119" s="42"/>
      <c r="C119" s="49" t="str">
        <f t="shared" ref="C119:AG119" si="61">IF(C117&gt;0,C117,IF(C118&gt;0,C118,""))</f>
        <v/>
      </c>
      <c r="D119" s="49" t="str">
        <f t="shared" si="61"/>
        <v/>
      </c>
      <c r="E119" s="49" t="str">
        <f t="shared" si="61"/>
        <v/>
      </c>
      <c r="F119" s="49" t="str">
        <f t="shared" si="61"/>
        <v/>
      </c>
      <c r="G119" s="49" t="str">
        <f t="shared" si="61"/>
        <v/>
      </c>
      <c r="H119" s="49" t="str">
        <f t="shared" si="61"/>
        <v/>
      </c>
      <c r="I119" s="49" t="str">
        <f t="shared" si="61"/>
        <v/>
      </c>
      <c r="J119" s="49" t="str">
        <f t="shared" si="61"/>
        <v/>
      </c>
      <c r="K119" s="49" t="str">
        <f t="shared" si="61"/>
        <v/>
      </c>
      <c r="L119" s="49" t="str">
        <f t="shared" si="61"/>
        <v/>
      </c>
      <c r="M119" s="49" t="str">
        <f t="shared" si="61"/>
        <v/>
      </c>
      <c r="N119" s="49" t="str">
        <f t="shared" si="61"/>
        <v/>
      </c>
      <c r="O119" s="49" t="str">
        <f t="shared" si="61"/>
        <v/>
      </c>
      <c r="P119" s="49" t="str">
        <f t="shared" si="61"/>
        <v/>
      </c>
      <c r="Q119" s="49" t="str">
        <f t="shared" si="61"/>
        <v/>
      </c>
      <c r="R119" s="49" t="str">
        <f t="shared" si="61"/>
        <v/>
      </c>
      <c r="S119" s="49" t="str">
        <f t="shared" si="61"/>
        <v/>
      </c>
      <c r="T119" s="49" t="str">
        <f t="shared" si="61"/>
        <v/>
      </c>
      <c r="U119" s="49" t="str">
        <f t="shared" si="61"/>
        <v/>
      </c>
      <c r="V119" s="49" t="str">
        <f t="shared" si="61"/>
        <v/>
      </c>
      <c r="W119" s="49" t="str">
        <f t="shared" si="61"/>
        <v/>
      </c>
      <c r="X119" s="49" t="str">
        <f t="shared" si="61"/>
        <v/>
      </c>
      <c r="Y119" s="49" t="str">
        <f t="shared" si="61"/>
        <v/>
      </c>
      <c r="Z119" s="49" t="str">
        <f t="shared" si="61"/>
        <v/>
      </c>
      <c r="AA119" s="49" t="str">
        <f t="shared" si="61"/>
        <v/>
      </c>
      <c r="AB119" s="49" t="str">
        <f t="shared" si="61"/>
        <v/>
      </c>
      <c r="AC119" s="49" t="str">
        <f t="shared" si="61"/>
        <v/>
      </c>
      <c r="AD119" s="49" t="str">
        <f t="shared" si="61"/>
        <v/>
      </c>
      <c r="AE119" s="49" t="str">
        <f t="shared" si="61"/>
        <v/>
      </c>
      <c r="AF119" s="49" t="str">
        <f t="shared" si="61"/>
        <v/>
      </c>
      <c r="AG119" s="49" t="str">
        <f t="shared" si="61"/>
        <v/>
      </c>
      <c r="AH119" s="44">
        <f>SUM(AH117:AH118)</f>
        <v>0</v>
      </c>
      <c r="AI119" s="45">
        <f>SUM(AI117:AI118)</f>
        <v>0</v>
      </c>
      <c r="AJ119" s="45">
        <f t="shared" ref="AJ119:AL119" si="62">SUM(AJ117:AJ118)</f>
        <v>0</v>
      </c>
      <c r="AK119" s="45">
        <f t="shared" si="62"/>
        <v>0</v>
      </c>
      <c r="AL119" s="45">
        <f t="shared" si="62"/>
        <v>0</v>
      </c>
      <c r="AM119" s="50">
        <v>0</v>
      </c>
      <c r="AN119" s="51" t="str">
        <f>IF(A118="","",IF(A118&gt;NomMois,0,IF(A118&lt;$A$3,2.08,(NETWORKDAYS(A118,$A$2)/21.66667)*2.08)))</f>
        <v/>
      </c>
      <c r="AO119" s="51">
        <f>IF( AN119="",0,+AN119+Août!AO119)</f>
        <v>0</v>
      </c>
      <c r="AP119" s="50"/>
      <c r="AQ119" s="45">
        <f>+AM119-AI119</f>
        <v>0</v>
      </c>
      <c r="AR119" s="45">
        <f>+AP119-AJ119</f>
        <v>0</v>
      </c>
      <c r="AS119" s="102">
        <f t="shared" si="50"/>
        <v>0</v>
      </c>
    </row>
    <row r="120" spans="1:45" s="79" customFormat="1" ht="6.75" customHeight="1" x14ac:dyDescent="0.25">
      <c r="A120" s="64"/>
      <c r="B120" s="42"/>
      <c r="C120" s="64"/>
      <c r="D120" s="64"/>
      <c r="E120" s="64"/>
      <c r="F120" s="64"/>
      <c r="G120" s="64"/>
      <c r="H120" s="64"/>
      <c r="I120" s="64"/>
      <c r="J120" s="64"/>
      <c r="K120" s="64"/>
      <c r="L120" s="64"/>
      <c r="M120" s="64"/>
      <c r="N120" s="64"/>
      <c r="O120" s="64"/>
      <c r="P120" s="64"/>
      <c r="Q120" s="64"/>
      <c r="R120" s="64"/>
      <c r="S120" s="64"/>
      <c r="T120" s="64"/>
      <c r="U120" s="64"/>
      <c r="V120" s="64"/>
      <c r="W120" s="64"/>
      <c r="X120" s="64"/>
      <c r="Y120" s="64"/>
      <c r="Z120" s="64"/>
      <c r="AA120" s="64"/>
      <c r="AB120" s="64"/>
      <c r="AC120" s="64"/>
      <c r="AD120" s="64"/>
      <c r="AE120" s="64"/>
      <c r="AF120" s="64"/>
      <c r="AG120" s="64"/>
      <c r="AH120" s="65"/>
      <c r="AI120" s="65"/>
      <c r="AJ120" s="65"/>
      <c r="AK120" s="65"/>
      <c r="AL120" s="65"/>
      <c r="AM120" s="64"/>
      <c r="AN120" s="65"/>
      <c r="AO120" s="65"/>
      <c r="AP120" s="64"/>
      <c r="AQ120" s="69"/>
      <c r="AR120" s="69"/>
      <c r="AS120" s="65"/>
    </row>
    <row r="121" spans="1:45" s="79" customFormat="1" ht="12.95" customHeight="1" x14ac:dyDescent="0.25">
      <c r="A121" s="41"/>
      <c r="B121" s="42" t="s">
        <v>15</v>
      </c>
      <c r="C121" s="67"/>
      <c r="D121" s="43"/>
      <c r="E121" s="43"/>
      <c r="F121" s="43"/>
      <c r="G121" s="43"/>
      <c r="H121" s="43"/>
      <c r="I121" s="43"/>
      <c r="J121" s="43"/>
      <c r="K121" s="43"/>
      <c r="L121" s="43"/>
      <c r="M121" s="43"/>
      <c r="N121" s="43"/>
      <c r="O121" s="43"/>
      <c r="P121" s="43"/>
      <c r="Q121" s="43"/>
      <c r="R121" s="43"/>
      <c r="S121" s="43"/>
      <c r="T121" s="43"/>
      <c r="U121" s="43"/>
      <c r="V121" s="43"/>
      <c r="W121" s="43"/>
      <c r="X121" s="43"/>
      <c r="Y121" s="43"/>
      <c r="Z121" s="43"/>
      <c r="AA121" s="43"/>
      <c r="AB121" s="43"/>
      <c r="AC121" s="43"/>
      <c r="AD121" s="43"/>
      <c r="AE121" s="43"/>
      <c r="AF121" s="43"/>
      <c r="AG121" s="43"/>
      <c r="AH121" s="44">
        <f>COUNTA(Septembre!$C121:$AG121)</f>
        <v>0</v>
      </c>
      <c r="AI121" s="45">
        <f>(COUNTIFS(Septembre!$C121:$AG121,("cp")))/2+Août!AI121</f>
        <v>0</v>
      </c>
      <c r="AJ121" s="45">
        <f>COUNTIFS(Septembre!$C121:$AG121,"RTT")/2+Août!AJ121</f>
        <v>0</v>
      </c>
      <c r="AK121" s="45">
        <f>COUNTIFS(Septembre!$C121:$AG121,"m")/2+Août!AK121</f>
        <v>0</v>
      </c>
      <c r="AL121" s="45">
        <f>COUNTIFS(Septembre!$C121:$AG121,"a")/2+Août!AL121</f>
        <v>0</v>
      </c>
      <c r="AM121" s="46"/>
      <c r="AN121" s="47"/>
      <c r="AO121" s="47"/>
      <c r="AP121" s="46"/>
      <c r="AQ121" s="47"/>
      <c r="AR121" s="47"/>
      <c r="AS121" s="47"/>
    </row>
    <row r="122" spans="1:45" s="79" customFormat="1" ht="12.95" customHeight="1" x14ac:dyDescent="0.25">
      <c r="A122" s="48"/>
      <c r="B122" s="42" t="s">
        <v>16</v>
      </c>
      <c r="C122" s="67"/>
      <c r="D122" s="43"/>
      <c r="E122" s="43"/>
      <c r="F122" s="43"/>
      <c r="G122" s="43"/>
      <c r="H122" s="43"/>
      <c r="I122" s="43"/>
      <c r="J122" s="43"/>
      <c r="K122" s="43"/>
      <c r="L122" s="43"/>
      <c r="M122" s="43"/>
      <c r="N122" s="43"/>
      <c r="O122" s="43"/>
      <c r="P122" s="43"/>
      <c r="Q122" s="43"/>
      <c r="R122" s="43"/>
      <c r="S122" s="43"/>
      <c r="T122" s="43"/>
      <c r="U122" s="43"/>
      <c r="V122" s="43"/>
      <c r="W122" s="43"/>
      <c r="X122" s="43"/>
      <c r="Y122" s="43"/>
      <c r="Z122" s="43"/>
      <c r="AA122" s="43"/>
      <c r="AB122" s="43"/>
      <c r="AC122" s="43"/>
      <c r="AD122" s="43"/>
      <c r="AE122" s="43"/>
      <c r="AF122" s="43"/>
      <c r="AG122" s="43"/>
      <c r="AH122" s="44">
        <f>COUNTA(Septembre!$C122:$AG122)</f>
        <v>0</v>
      </c>
      <c r="AI122" s="45">
        <f>(COUNTIFS(Septembre!$C122:$AG122,("cp")))/2+Août!AI122</f>
        <v>0</v>
      </c>
      <c r="AJ122" s="45">
        <f>COUNTIFS(Septembre!$C122:$AG122,"RTT")/2+Août!AJ122</f>
        <v>0</v>
      </c>
      <c r="AK122" s="45">
        <f>COUNTIFS(Septembre!$C122:$AG122,"m")/2+Août!AK122</f>
        <v>0</v>
      </c>
      <c r="AL122" s="45">
        <f>COUNTIFS(Septembre!$C122:$AG122,"a")/2+Août!AL122</f>
        <v>0</v>
      </c>
      <c r="AM122" s="46"/>
      <c r="AN122" s="47"/>
      <c r="AO122" s="47"/>
      <c r="AP122" s="46"/>
      <c r="AQ122" s="47"/>
      <c r="AR122" s="47"/>
      <c r="AS122" s="101"/>
    </row>
    <row r="123" spans="1:45" s="79" customFormat="1" ht="12.95" customHeight="1" x14ac:dyDescent="0.25">
      <c r="A123" s="41"/>
      <c r="B123" s="42"/>
      <c r="C123" s="49" t="str">
        <f t="shared" ref="C123:AG123" si="63">IF(C121&gt;0,C121,IF(C122&gt;0,C122,""))</f>
        <v/>
      </c>
      <c r="D123" s="49" t="str">
        <f t="shared" si="63"/>
        <v/>
      </c>
      <c r="E123" s="49" t="str">
        <f t="shared" si="63"/>
        <v/>
      </c>
      <c r="F123" s="49" t="str">
        <f t="shared" si="63"/>
        <v/>
      </c>
      <c r="G123" s="49" t="str">
        <f t="shared" si="63"/>
        <v/>
      </c>
      <c r="H123" s="49" t="str">
        <f t="shared" si="63"/>
        <v/>
      </c>
      <c r="I123" s="49" t="str">
        <f t="shared" si="63"/>
        <v/>
      </c>
      <c r="J123" s="49" t="str">
        <f t="shared" si="63"/>
        <v/>
      </c>
      <c r="K123" s="49" t="str">
        <f t="shared" si="63"/>
        <v/>
      </c>
      <c r="L123" s="49" t="str">
        <f t="shared" si="63"/>
        <v/>
      </c>
      <c r="M123" s="49" t="str">
        <f t="shared" si="63"/>
        <v/>
      </c>
      <c r="N123" s="49" t="str">
        <f t="shared" si="63"/>
        <v/>
      </c>
      <c r="O123" s="49" t="str">
        <f t="shared" si="63"/>
        <v/>
      </c>
      <c r="P123" s="49" t="str">
        <f t="shared" si="63"/>
        <v/>
      </c>
      <c r="Q123" s="49" t="str">
        <f t="shared" si="63"/>
        <v/>
      </c>
      <c r="R123" s="49" t="str">
        <f t="shared" si="63"/>
        <v/>
      </c>
      <c r="S123" s="49" t="str">
        <f t="shared" si="63"/>
        <v/>
      </c>
      <c r="T123" s="49" t="str">
        <f t="shared" si="63"/>
        <v/>
      </c>
      <c r="U123" s="49" t="str">
        <f t="shared" si="63"/>
        <v/>
      </c>
      <c r="V123" s="49" t="str">
        <f t="shared" si="63"/>
        <v/>
      </c>
      <c r="W123" s="49" t="str">
        <f t="shared" si="63"/>
        <v/>
      </c>
      <c r="X123" s="49" t="str">
        <f t="shared" si="63"/>
        <v/>
      </c>
      <c r="Y123" s="49" t="str">
        <f t="shared" si="63"/>
        <v/>
      </c>
      <c r="Z123" s="49" t="str">
        <f t="shared" si="63"/>
        <v/>
      </c>
      <c r="AA123" s="49" t="str">
        <f t="shared" si="63"/>
        <v/>
      </c>
      <c r="AB123" s="49" t="str">
        <f t="shared" si="63"/>
        <v/>
      </c>
      <c r="AC123" s="49" t="str">
        <f t="shared" si="63"/>
        <v/>
      </c>
      <c r="AD123" s="49" t="str">
        <f t="shared" si="63"/>
        <v/>
      </c>
      <c r="AE123" s="49" t="str">
        <f t="shared" si="63"/>
        <v/>
      </c>
      <c r="AF123" s="49" t="str">
        <f t="shared" si="63"/>
        <v/>
      </c>
      <c r="AG123" s="49" t="str">
        <f t="shared" si="63"/>
        <v/>
      </c>
      <c r="AH123" s="44">
        <f>SUM(AH121:AH122)</f>
        <v>0</v>
      </c>
      <c r="AI123" s="45">
        <f>SUM(AI121:AI122)</f>
        <v>0</v>
      </c>
      <c r="AJ123" s="45">
        <f t="shared" ref="AJ123:AL123" si="64">SUM(AJ121:AJ122)</f>
        <v>0</v>
      </c>
      <c r="AK123" s="45">
        <f t="shared" si="64"/>
        <v>0</v>
      </c>
      <c r="AL123" s="45">
        <f t="shared" si="64"/>
        <v>0</v>
      </c>
      <c r="AM123" s="50">
        <v>0</v>
      </c>
      <c r="AN123" s="51" t="str">
        <f>IF(A122="","",IF(A122&gt;NomMois,0,IF(A122&lt;$A$3,2.08,(NETWORKDAYS(A122,$A$2)/21.66667)*2.08)))</f>
        <v/>
      </c>
      <c r="AO123" s="51">
        <f>IF( AN123="",0,+AN123+Août!AO123)</f>
        <v>0</v>
      </c>
      <c r="AP123" s="50"/>
      <c r="AQ123" s="45">
        <f>+AM123-AI123</f>
        <v>0</v>
      </c>
      <c r="AR123" s="45">
        <f>+AP123-AJ123</f>
        <v>0</v>
      </c>
      <c r="AS123" s="102">
        <f t="shared" si="50"/>
        <v>0</v>
      </c>
    </row>
    <row r="124" spans="1:45" s="79" customFormat="1" ht="6.75" customHeight="1" x14ac:dyDescent="0.25">
      <c r="A124" s="64"/>
      <c r="B124" s="64"/>
      <c r="C124" s="64"/>
      <c r="D124" s="64"/>
      <c r="E124" s="64"/>
      <c r="F124" s="64"/>
      <c r="G124" s="64"/>
      <c r="H124" s="64"/>
      <c r="I124" s="64"/>
      <c r="J124" s="64"/>
      <c r="K124" s="64"/>
      <c r="L124" s="64"/>
      <c r="M124" s="64"/>
      <c r="N124" s="64"/>
      <c r="O124" s="64"/>
      <c r="P124" s="64"/>
      <c r="Q124" s="64"/>
      <c r="R124" s="64"/>
      <c r="S124" s="64"/>
      <c r="T124" s="64"/>
      <c r="U124" s="64"/>
      <c r="V124" s="64"/>
      <c r="W124" s="64"/>
      <c r="X124" s="64"/>
      <c r="Y124" s="64"/>
      <c r="Z124" s="64"/>
      <c r="AA124" s="64"/>
      <c r="AB124" s="64"/>
      <c r="AC124" s="64"/>
      <c r="AD124" s="64"/>
      <c r="AE124" s="64"/>
      <c r="AF124" s="64"/>
      <c r="AG124" s="64"/>
      <c r="AH124" s="64"/>
      <c r="AI124" s="64"/>
      <c r="AJ124" s="64"/>
      <c r="AK124" s="64"/>
      <c r="AL124" s="64"/>
      <c r="AM124" s="64"/>
      <c r="AN124" s="64"/>
      <c r="AO124" s="64"/>
      <c r="AP124" s="64"/>
      <c r="AQ124" s="74"/>
      <c r="AR124" s="74"/>
      <c r="AS124" s="65"/>
    </row>
    <row r="125" spans="1:45" s="79" customFormat="1" x14ac:dyDescent="0.25">
      <c r="A125" s="100"/>
      <c r="B125" s="100"/>
      <c r="C125" s="100"/>
      <c r="D125" s="100"/>
      <c r="E125" s="100"/>
      <c r="F125" s="100"/>
      <c r="G125" s="100"/>
      <c r="H125" s="100"/>
      <c r="I125" s="100"/>
      <c r="J125" s="100"/>
      <c r="K125" s="100"/>
      <c r="L125" s="100"/>
      <c r="M125" s="100"/>
      <c r="N125" s="100"/>
      <c r="O125" s="100"/>
      <c r="P125" s="100"/>
      <c r="Q125" s="100"/>
      <c r="R125" s="100"/>
      <c r="S125" s="100"/>
      <c r="T125" s="100"/>
      <c r="U125" s="100"/>
      <c r="V125" s="100"/>
      <c r="W125" s="100"/>
      <c r="X125" s="100"/>
      <c r="Y125" s="100"/>
      <c r="Z125" s="100"/>
      <c r="AA125" s="100"/>
      <c r="AB125" s="100"/>
      <c r="AC125" s="100"/>
      <c r="AD125" s="100"/>
      <c r="AE125" s="100"/>
      <c r="AF125" s="100"/>
      <c r="AG125" s="100"/>
      <c r="AH125" s="100"/>
      <c r="AM125" s="8"/>
      <c r="AN125" s="8"/>
      <c r="AO125" s="8"/>
    </row>
    <row r="126" spans="1:45" s="79" customFormat="1" x14ac:dyDescent="0.25">
      <c r="A126" s="100"/>
      <c r="B126" s="100"/>
      <c r="C126" s="100"/>
      <c r="D126" s="100"/>
      <c r="E126" s="100"/>
      <c r="F126" s="100"/>
      <c r="G126" s="100"/>
      <c r="H126" s="100"/>
      <c r="I126" s="100"/>
      <c r="J126" s="100"/>
      <c r="K126" s="100"/>
      <c r="L126" s="100"/>
      <c r="M126" s="100"/>
      <c r="N126" s="100"/>
      <c r="O126" s="100"/>
      <c r="P126" s="100"/>
      <c r="Q126" s="100"/>
      <c r="R126" s="100"/>
      <c r="S126" s="100"/>
      <c r="T126" s="100"/>
      <c r="U126" s="100"/>
      <c r="V126" s="100"/>
      <c r="W126" s="100"/>
      <c r="X126" s="100"/>
      <c r="Y126" s="100"/>
      <c r="Z126" s="100"/>
      <c r="AA126" s="100"/>
      <c r="AB126" s="100"/>
      <c r="AC126" s="100"/>
      <c r="AD126" s="100"/>
      <c r="AE126" s="100"/>
      <c r="AF126" s="100"/>
      <c r="AG126" s="100"/>
      <c r="AH126" s="100"/>
      <c r="AM126" s="8"/>
      <c r="AN126" s="8"/>
      <c r="AO126" s="8"/>
    </row>
    <row r="127" spans="1:45" s="79" customFormat="1" x14ac:dyDescent="0.25">
      <c r="A127" s="80"/>
      <c r="B127" s="80"/>
      <c r="C127" s="82" t="s">
        <v>17</v>
      </c>
      <c r="D127" s="82"/>
      <c r="E127" s="82"/>
      <c r="F127" s="82"/>
      <c r="G127" s="83"/>
      <c r="H127" s="84" t="s">
        <v>7</v>
      </c>
      <c r="I127" s="85" t="s">
        <v>18</v>
      </c>
      <c r="J127" s="86"/>
      <c r="K127" s="86"/>
      <c r="L127" s="87" t="s">
        <v>8</v>
      </c>
      <c r="M127" s="85" t="s">
        <v>8</v>
      </c>
      <c r="N127" s="86"/>
      <c r="O127" s="86"/>
      <c r="P127" s="88" t="s">
        <v>9</v>
      </c>
      <c r="Q127" s="85" t="s">
        <v>19</v>
      </c>
      <c r="R127" s="86"/>
      <c r="S127" s="86"/>
      <c r="T127" s="89" t="s">
        <v>10</v>
      </c>
      <c r="U127" s="90" t="s">
        <v>20</v>
      </c>
      <c r="V127" s="91"/>
      <c r="W127" s="86"/>
      <c r="X127" s="93"/>
      <c r="Y127" s="92"/>
      <c r="Z127" s="90" t="s">
        <v>21</v>
      </c>
      <c r="AA127" s="86"/>
      <c r="AB127" s="91"/>
      <c r="AC127" s="93"/>
      <c r="AD127" s="93"/>
      <c r="AE127" s="93"/>
      <c r="AF127" s="93"/>
      <c r="AG127" s="93"/>
      <c r="AH127" s="94"/>
      <c r="AM127" s="8"/>
      <c r="AN127" s="8"/>
      <c r="AO127" s="8"/>
    </row>
    <row r="128" spans="1:45" s="79" customFormat="1" x14ac:dyDescent="0.25"/>
    <row r="129" s="79" customFormat="1" x14ac:dyDescent="0.25"/>
    <row r="130" s="79" customFormat="1" x14ac:dyDescent="0.25"/>
    <row r="131" s="79" customFormat="1" ht="15" customHeight="1" x14ac:dyDescent="0.25"/>
    <row r="132" s="79" customFormat="1" ht="15" customHeight="1" x14ac:dyDescent="0.25"/>
    <row r="133" s="79" customFormat="1" ht="15" customHeight="1" x14ac:dyDescent="0.25"/>
    <row r="134" s="79" customFormat="1" ht="15" customHeight="1" x14ac:dyDescent="0.25"/>
    <row r="135" s="79" customFormat="1" ht="15" customHeight="1" x14ac:dyDescent="0.25"/>
    <row r="136" s="79" customFormat="1" ht="15" customHeight="1" x14ac:dyDescent="0.25"/>
    <row r="137" s="79" customFormat="1" ht="15" customHeight="1" x14ac:dyDescent="0.25"/>
    <row r="138" s="79" customFormat="1" ht="15" customHeight="1" x14ac:dyDescent="0.25"/>
    <row r="139" s="79" customFormat="1" ht="15" customHeight="1" x14ac:dyDescent="0.25"/>
    <row r="140" s="79" customFormat="1" ht="15" customHeight="1" x14ac:dyDescent="0.25"/>
    <row r="141" s="79" customFormat="1" ht="15" customHeight="1" x14ac:dyDescent="0.25"/>
    <row r="142" s="79" customFormat="1" ht="15" customHeight="1" x14ac:dyDescent="0.25"/>
    <row r="143" s="79" customFormat="1" ht="15" customHeight="1" x14ac:dyDescent="0.25"/>
    <row r="144" s="79" customFormat="1" ht="15" customHeight="1" x14ac:dyDescent="0.25"/>
    <row r="145" s="79" customFormat="1" ht="15" customHeight="1" x14ac:dyDescent="0.25"/>
    <row r="146" s="79" customFormat="1" ht="15" customHeight="1" x14ac:dyDescent="0.25"/>
    <row r="147" s="79" customFormat="1" ht="15" customHeight="1" x14ac:dyDescent="0.25"/>
    <row r="148" s="79" customFormat="1" ht="15" customHeight="1" x14ac:dyDescent="0.25"/>
    <row r="149" s="79" customFormat="1" ht="15" customHeight="1" x14ac:dyDescent="0.25"/>
    <row r="150" s="79" customFormat="1" ht="15" customHeight="1" x14ac:dyDescent="0.25"/>
    <row r="151" s="79" customFormat="1" ht="15" customHeight="1" x14ac:dyDescent="0.25"/>
    <row r="152" s="79" customFormat="1" ht="15" customHeight="1" x14ac:dyDescent="0.25"/>
    <row r="153" s="79" customFormat="1" ht="15" customHeight="1" x14ac:dyDescent="0.25"/>
    <row r="154" s="79" customFormat="1" ht="15" customHeight="1" x14ac:dyDescent="0.25"/>
    <row r="155" s="79" customFormat="1" ht="15" customHeight="1" x14ac:dyDescent="0.25"/>
    <row r="156" s="79" customFormat="1" ht="15" customHeight="1" x14ac:dyDescent="0.25"/>
    <row r="157" s="79" customFormat="1" ht="15" customHeight="1" x14ac:dyDescent="0.25"/>
    <row r="158" s="79" customFormat="1" ht="15" customHeight="1" x14ac:dyDescent="0.25"/>
    <row r="159" s="79" customFormat="1" ht="15" customHeight="1" x14ac:dyDescent="0.25"/>
    <row r="160" s="79" customFormat="1" ht="15" customHeight="1" x14ac:dyDescent="0.25"/>
    <row r="161" s="79" customFormat="1" ht="15" customHeight="1" x14ac:dyDescent="0.25"/>
    <row r="162" s="79" customFormat="1" ht="15" customHeight="1" x14ac:dyDescent="0.25"/>
    <row r="163" s="79" customFormat="1" ht="15" customHeight="1" x14ac:dyDescent="0.25"/>
    <row r="164" s="79" customFormat="1" ht="15" customHeight="1" x14ac:dyDescent="0.25"/>
    <row r="165" s="79" customFormat="1" ht="15" customHeight="1" x14ac:dyDescent="0.25"/>
    <row r="166" s="79" customFormat="1" ht="15" customHeight="1" x14ac:dyDescent="0.25"/>
    <row r="167" s="79" customFormat="1" ht="15" customHeight="1" x14ac:dyDescent="0.25"/>
    <row r="168" s="79" customFormat="1" ht="15" customHeight="1" x14ac:dyDescent="0.25"/>
    <row r="169" s="79" customFormat="1" ht="15" customHeight="1" x14ac:dyDescent="0.25"/>
    <row r="170" s="79" customFormat="1" ht="15" customHeight="1" x14ac:dyDescent="0.25"/>
    <row r="171" s="79" customFormat="1" ht="15" customHeight="1" x14ac:dyDescent="0.25"/>
    <row r="172" s="79" customFormat="1" ht="15" customHeight="1" x14ac:dyDescent="0.25"/>
    <row r="173" s="79" customFormat="1" ht="15" customHeight="1" x14ac:dyDescent="0.25"/>
    <row r="174" s="79" customFormat="1" ht="15" customHeight="1" x14ac:dyDescent="0.25"/>
    <row r="175" s="79" customFormat="1" ht="15" customHeight="1" x14ac:dyDescent="0.25"/>
    <row r="176" s="79" customFormat="1" ht="15" customHeight="1" x14ac:dyDescent="0.25"/>
    <row r="177" s="79" customFormat="1" ht="15" customHeight="1" x14ac:dyDescent="0.25"/>
    <row r="178" s="79" customFormat="1" ht="15" customHeight="1" x14ac:dyDescent="0.25"/>
    <row r="179" s="79" customFormat="1" ht="15" customHeight="1" x14ac:dyDescent="0.25"/>
    <row r="180" s="79" customFormat="1" ht="15" customHeight="1" x14ac:dyDescent="0.25"/>
    <row r="181" s="79" customFormat="1" ht="15" customHeight="1" x14ac:dyDescent="0.25"/>
    <row r="182" s="79" customFormat="1" ht="15" customHeight="1" x14ac:dyDescent="0.25"/>
    <row r="183" s="79" customFormat="1" ht="15" customHeight="1" x14ac:dyDescent="0.25"/>
    <row r="184" s="79" customFormat="1" ht="15" customHeight="1" x14ac:dyDescent="0.25"/>
    <row r="185" s="79" customFormat="1" ht="15" customHeight="1" x14ac:dyDescent="0.25"/>
    <row r="186" s="79" customFormat="1" ht="15" customHeight="1" x14ac:dyDescent="0.25"/>
    <row r="187" s="79" customFormat="1" ht="15" customHeight="1" x14ac:dyDescent="0.25"/>
    <row r="188" s="79" customFormat="1" ht="15" customHeight="1" x14ac:dyDescent="0.25"/>
    <row r="189" s="79" customFormat="1" ht="15" customHeight="1" x14ac:dyDescent="0.25"/>
    <row r="190" s="79" customFormat="1" ht="15" customHeight="1" x14ac:dyDescent="0.25"/>
    <row r="191" s="79" customFormat="1" ht="15" customHeight="1" x14ac:dyDescent="0.25"/>
    <row r="192" s="79" customFormat="1" ht="15" customHeight="1" x14ac:dyDescent="0.25"/>
    <row r="193" s="79" customFormat="1" ht="15" customHeight="1" x14ac:dyDescent="0.25"/>
    <row r="194" s="79" customFormat="1" ht="15" customHeight="1" x14ac:dyDescent="0.25"/>
    <row r="195" s="79" customFormat="1" ht="15" customHeight="1" x14ac:dyDescent="0.25"/>
    <row r="196" s="79" customFormat="1" ht="15" customHeight="1" x14ac:dyDescent="0.25"/>
    <row r="197" s="79" customFormat="1" ht="15" customHeight="1" x14ac:dyDescent="0.25"/>
    <row r="198" s="79" customFormat="1" ht="15" customHeight="1" x14ac:dyDescent="0.25"/>
    <row r="199" s="79" customFormat="1" ht="15" customHeight="1" x14ac:dyDescent="0.25"/>
    <row r="200" s="79" customFormat="1" ht="15" customHeight="1" x14ac:dyDescent="0.25"/>
    <row r="201" s="79" customFormat="1" ht="15" customHeight="1" x14ac:dyDescent="0.25"/>
    <row r="202" s="79" customFormat="1" ht="15" customHeight="1" x14ac:dyDescent="0.25"/>
    <row r="203" s="79" customFormat="1" ht="15" customHeight="1" x14ac:dyDescent="0.25"/>
    <row r="204" s="79" customFormat="1" ht="15" customHeight="1" x14ac:dyDescent="0.25"/>
    <row r="205" s="79" customFormat="1" ht="15" customHeight="1" x14ac:dyDescent="0.25"/>
    <row r="206" s="79" customFormat="1" ht="15" customHeight="1" x14ac:dyDescent="0.25"/>
    <row r="207" s="79" customFormat="1" ht="15" customHeight="1" x14ac:dyDescent="0.25"/>
    <row r="208" s="79" customFormat="1" ht="15" customHeight="1" x14ac:dyDescent="0.25"/>
    <row r="209" s="79" customFormat="1" ht="15" customHeight="1" x14ac:dyDescent="0.25"/>
    <row r="210" s="79" customFormat="1" ht="15" customHeight="1" x14ac:dyDescent="0.25"/>
    <row r="211" s="79" customFormat="1" ht="15" customHeight="1" x14ac:dyDescent="0.25"/>
    <row r="212" s="79" customFormat="1" ht="15" customHeight="1" x14ac:dyDescent="0.25"/>
    <row r="213" s="79" customFormat="1" ht="15" customHeight="1" x14ac:dyDescent="0.25"/>
    <row r="214" s="79" customFormat="1" ht="15" customHeight="1" x14ac:dyDescent="0.25"/>
    <row r="215" s="79" customFormat="1" ht="15" customHeight="1" x14ac:dyDescent="0.25"/>
    <row r="216" s="79" customFormat="1" ht="15" customHeight="1" x14ac:dyDescent="0.25"/>
    <row r="217" s="79" customFormat="1" ht="15" customHeight="1" x14ac:dyDescent="0.25"/>
    <row r="218" s="79" customFormat="1" ht="15" customHeight="1" x14ac:dyDescent="0.25"/>
    <row r="219" s="79" customFormat="1" ht="15" customHeight="1" x14ac:dyDescent="0.25"/>
    <row r="220" s="79" customFormat="1" ht="15" customHeight="1" x14ac:dyDescent="0.25"/>
    <row r="221" s="79" customFormat="1" ht="15" customHeight="1" x14ac:dyDescent="0.25"/>
    <row r="222" s="79" customFormat="1" ht="15" customHeight="1" x14ac:dyDescent="0.25"/>
    <row r="223" s="79" customFormat="1" ht="15" customHeight="1" x14ac:dyDescent="0.25"/>
    <row r="224" s="79" customFormat="1" ht="15" customHeight="1" x14ac:dyDescent="0.25"/>
    <row r="225" s="79" customFormat="1" ht="15" customHeight="1" x14ac:dyDescent="0.25"/>
    <row r="226" s="79" customFormat="1" ht="15" customHeight="1" x14ac:dyDescent="0.25"/>
    <row r="227" s="79" customFormat="1" ht="15" customHeight="1" x14ac:dyDescent="0.25"/>
    <row r="228" s="79" customFormat="1" ht="15" customHeight="1" x14ac:dyDescent="0.25"/>
    <row r="229" s="79" customFormat="1" ht="15" customHeight="1" x14ac:dyDescent="0.25"/>
    <row r="230" s="79" customFormat="1" ht="15" customHeight="1" x14ac:dyDescent="0.25"/>
    <row r="231" s="79" customFormat="1" ht="15" customHeight="1" x14ac:dyDescent="0.25"/>
    <row r="232" s="79" customFormat="1" ht="15" customHeight="1" x14ac:dyDescent="0.25"/>
    <row r="233" s="79" customFormat="1" ht="15" customHeight="1" x14ac:dyDescent="0.25"/>
    <row r="234" s="79" customFormat="1" ht="15" customHeight="1" x14ac:dyDescent="0.25"/>
    <row r="235" s="79" customFormat="1" ht="15" customHeight="1" x14ac:dyDescent="0.25"/>
    <row r="236" s="79" customFormat="1" ht="15" customHeight="1" x14ac:dyDescent="0.25"/>
    <row r="237" s="79" customFormat="1" ht="15" customHeight="1" x14ac:dyDescent="0.25"/>
    <row r="238" s="79" customFormat="1" ht="15" customHeight="1" x14ac:dyDescent="0.25"/>
    <row r="239" s="79" customFormat="1" ht="15" customHeight="1" x14ac:dyDescent="0.25"/>
    <row r="240" s="79" customFormat="1" ht="15" customHeight="1" x14ac:dyDescent="0.25"/>
    <row r="241" s="79" customFormat="1" ht="15" customHeight="1" x14ac:dyDescent="0.25"/>
    <row r="242" s="79" customFormat="1" ht="15" customHeight="1" x14ac:dyDescent="0.25"/>
    <row r="243" s="79" customFormat="1" ht="15" customHeight="1" x14ac:dyDescent="0.25"/>
    <row r="244" s="79" customFormat="1" ht="15" customHeight="1" x14ac:dyDescent="0.25"/>
    <row r="245" s="79" customFormat="1" ht="15" customHeight="1" x14ac:dyDescent="0.25"/>
    <row r="246" s="79" customFormat="1" ht="15" customHeight="1" x14ac:dyDescent="0.25"/>
    <row r="247" s="79" customFormat="1" ht="15" customHeight="1" x14ac:dyDescent="0.25"/>
    <row r="248" s="79" customFormat="1" ht="15" customHeight="1" x14ac:dyDescent="0.25"/>
    <row r="249" s="79" customFormat="1" ht="15" customHeight="1" x14ac:dyDescent="0.25"/>
    <row r="250" s="79" customFormat="1" ht="15" customHeight="1" x14ac:dyDescent="0.25"/>
    <row r="251" s="79" customFormat="1" ht="15" customHeight="1" x14ac:dyDescent="0.25"/>
    <row r="252" s="79" customFormat="1" ht="15" customHeight="1" x14ac:dyDescent="0.25"/>
    <row r="253" s="79" customFormat="1" ht="15" customHeight="1" x14ac:dyDescent="0.25"/>
    <row r="254" s="79" customFormat="1" ht="15" customHeight="1" x14ac:dyDescent="0.25"/>
    <row r="255" s="79" customFormat="1" ht="15" customHeight="1" x14ac:dyDescent="0.25"/>
    <row r="256" s="79" customFormat="1" ht="15" customHeight="1" x14ac:dyDescent="0.25"/>
    <row r="257" s="79" customFormat="1" ht="15" customHeight="1" x14ac:dyDescent="0.25"/>
    <row r="258" s="79" customFormat="1" ht="15" customHeight="1" x14ac:dyDescent="0.25"/>
    <row r="259" s="79" customFormat="1" ht="15" customHeight="1" x14ac:dyDescent="0.25"/>
    <row r="260" s="79" customFormat="1" ht="15" customHeight="1" x14ac:dyDescent="0.25"/>
    <row r="261" s="79" customFormat="1" ht="15" customHeight="1" x14ac:dyDescent="0.25"/>
    <row r="262" s="79" customFormat="1" ht="15" customHeight="1" x14ac:dyDescent="0.25"/>
    <row r="263" s="79" customFormat="1" ht="15" customHeight="1" x14ac:dyDescent="0.25"/>
    <row r="264" s="79" customFormat="1" ht="15" customHeight="1" x14ac:dyDescent="0.25"/>
    <row r="265" s="79" customFormat="1" ht="15" customHeight="1" x14ac:dyDescent="0.25"/>
    <row r="266" s="79" customFormat="1" ht="15" customHeight="1" x14ac:dyDescent="0.25"/>
    <row r="267" s="79" customFormat="1" ht="15" customHeight="1" x14ac:dyDescent="0.25"/>
    <row r="268" s="79" customFormat="1" ht="15" customHeight="1" x14ac:dyDescent="0.25"/>
    <row r="269" s="79" customFormat="1" ht="15" customHeight="1" x14ac:dyDescent="0.25"/>
    <row r="270" s="79" customFormat="1" ht="15" customHeight="1" x14ac:dyDescent="0.25"/>
    <row r="271" s="79" customFormat="1" ht="15" customHeight="1" x14ac:dyDescent="0.25"/>
    <row r="272" s="79" customFormat="1" ht="15" customHeight="1" x14ac:dyDescent="0.25"/>
    <row r="273" s="79" customFormat="1" ht="15" customHeight="1" x14ac:dyDescent="0.25"/>
    <row r="274" s="79" customFormat="1" ht="15" customHeight="1" x14ac:dyDescent="0.25"/>
    <row r="275" s="79" customFormat="1" ht="15" customHeight="1" x14ac:dyDescent="0.25"/>
    <row r="276" s="79" customFormat="1" ht="15" customHeight="1" x14ac:dyDescent="0.25"/>
    <row r="277" s="79" customFormat="1" ht="15" customHeight="1" x14ac:dyDescent="0.25"/>
    <row r="278" s="79" customFormat="1" ht="15" customHeight="1" x14ac:dyDescent="0.25"/>
    <row r="279" s="79" customFormat="1" ht="15" customHeight="1" x14ac:dyDescent="0.25"/>
    <row r="280" s="79" customFormat="1" ht="15" customHeight="1" x14ac:dyDescent="0.25"/>
    <row r="281" s="79" customFormat="1" ht="15" customHeight="1" x14ac:dyDescent="0.25"/>
    <row r="282" s="79" customFormat="1" ht="15" customHeight="1" x14ac:dyDescent="0.25"/>
    <row r="283" s="79" customFormat="1" ht="15" customHeight="1" x14ac:dyDescent="0.25"/>
    <row r="284" s="79" customFormat="1" ht="15" customHeight="1" x14ac:dyDescent="0.25"/>
    <row r="285" s="79" customFormat="1" ht="15" customHeight="1" x14ac:dyDescent="0.25"/>
    <row r="286" s="79" customFormat="1" ht="15" customHeight="1" x14ac:dyDescent="0.25"/>
    <row r="287" s="79" customFormat="1" ht="15" customHeight="1" x14ac:dyDescent="0.25"/>
    <row r="288" s="79" customFormat="1" ht="15" customHeight="1" x14ac:dyDescent="0.25"/>
    <row r="289" s="79" customFormat="1" ht="15" customHeight="1" x14ac:dyDescent="0.25"/>
    <row r="290" s="79" customFormat="1" ht="15" customHeight="1" x14ac:dyDescent="0.25"/>
    <row r="291" s="79" customFormat="1" ht="15" customHeight="1" x14ac:dyDescent="0.25"/>
    <row r="292" s="79" customFormat="1" ht="15" customHeight="1" x14ac:dyDescent="0.25"/>
    <row r="293" s="79" customFormat="1" ht="15" customHeight="1" x14ac:dyDescent="0.25"/>
    <row r="294" s="79" customFormat="1" ht="15" customHeight="1" x14ac:dyDescent="0.25"/>
    <row r="295" s="79" customFormat="1" ht="15" customHeight="1" x14ac:dyDescent="0.25"/>
    <row r="296" s="79" customFormat="1" ht="15" customHeight="1" x14ac:dyDescent="0.25"/>
    <row r="297" s="79" customFormat="1" ht="15" customHeight="1" x14ac:dyDescent="0.25"/>
    <row r="298" s="79" customFormat="1" ht="15" customHeight="1" x14ac:dyDescent="0.25"/>
    <row r="299" s="79" customFormat="1" ht="15" customHeight="1" x14ac:dyDescent="0.25"/>
    <row r="300" s="79" customFormat="1" ht="15" customHeight="1" x14ac:dyDescent="0.25"/>
    <row r="301" s="79" customFormat="1" ht="15" customHeight="1" x14ac:dyDescent="0.25"/>
    <row r="302" s="79" customFormat="1" ht="15" customHeight="1" x14ac:dyDescent="0.25"/>
    <row r="303" s="79" customFormat="1" ht="15" customHeight="1" x14ac:dyDescent="0.25"/>
    <row r="304" s="79" customFormat="1" ht="15" customHeight="1" x14ac:dyDescent="0.25"/>
    <row r="305" s="79" customFormat="1" ht="15" customHeight="1" x14ac:dyDescent="0.25"/>
    <row r="306" s="79" customFormat="1" ht="15" customHeight="1" x14ac:dyDescent="0.25"/>
    <row r="307" s="79" customFormat="1" ht="15" customHeight="1" x14ac:dyDescent="0.25"/>
    <row r="308" s="79" customFormat="1" ht="15" customHeight="1" x14ac:dyDescent="0.25"/>
    <row r="309" s="79" customFormat="1" ht="15" customHeight="1" x14ac:dyDescent="0.25"/>
    <row r="310" s="79" customFormat="1" ht="15" customHeight="1" x14ac:dyDescent="0.25"/>
    <row r="311" s="79" customFormat="1" ht="15" customHeight="1" x14ac:dyDescent="0.25"/>
    <row r="312" s="79" customFormat="1" ht="15" customHeight="1" x14ac:dyDescent="0.25"/>
    <row r="313" s="79" customFormat="1" ht="15" customHeight="1" x14ac:dyDescent="0.25"/>
    <row r="314" s="79" customFormat="1" ht="15" customHeight="1" x14ac:dyDescent="0.25"/>
    <row r="315" s="79" customFormat="1" ht="15" customHeight="1" x14ac:dyDescent="0.25"/>
    <row r="316" s="79" customFormat="1" ht="15" customHeight="1" x14ac:dyDescent="0.25"/>
    <row r="317" s="79" customFormat="1" ht="15" customHeight="1" x14ac:dyDescent="0.25"/>
    <row r="318" s="79" customFormat="1" ht="15" customHeight="1" x14ac:dyDescent="0.25"/>
    <row r="319" s="79" customFormat="1" ht="15" customHeight="1" x14ac:dyDescent="0.25"/>
    <row r="320" s="79" customFormat="1" ht="15" customHeight="1" x14ac:dyDescent="0.25"/>
    <row r="321" s="79" customFormat="1" ht="15" customHeight="1" x14ac:dyDescent="0.25"/>
    <row r="322" s="79" customFormat="1" ht="15" customHeight="1" x14ac:dyDescent="0.25"/>
    <row r="323" s="79" customFormat="1" ht="15" customHeight="1" x14ac:dyDescent="0.25"/>
    <row r="324" s="79" customFormat="1" ht="15" customHeight="1" x14ac:dyDescent="0.25"/>
    <row r="325" s="79" customFormat="1" ht="15" customHeight="1" x14ac:dyDescent="0.25"/>
    <row r="326" s="79" customFormat="1" ht="15" customHeight="1" x14ac:dyDescent="0.25"/>
    <row r="327" s="79" customFormat="1" ht="15" customHeight="1" x14ac:dyDescent="0.25"/>
    <row r="328" s="79" customFormat="1" ht="15" customHeight="1" x14ac:dyDescent="0.25"/>
    <row r="329" s="79" customFormat="1" ht="15" customHeight="1" x14ac:dyDescent="0.25"/>
    <row r="330" s="79" customFormat="1" ht="15" customHeight="1" x14ac:dyDescent="0.25"/>
    <row r="331" s="79" customFormat="1" ht="15" customHeight="1" x14ac:dyDescent="0.25"/>
    <row r="332" s="79" customFormat="1" ht="15" customHeight="1" x14ac:dyDescent="0.25"/>
    <row r="333" s="79" customFormat="1" ht="15" customHeight="1" x14ac:dyDescent="0.25"/>
    <row r="334" s="79" customFormat="1" ht="15" customHeight="1" x14ac:dyDescent="0.25"/>
    <row r="335" s="79" customFormat="1" ht="15" customHeight="1" x14ac:dyDescent="0.25"/>
    <row r="336" s="79" customFormat="1" ht="15" customHeight="1" x14ac:dyDescent="0.25"/>
    <row r="337" s="79" customFormat="1" ht="15" customHeight="1" x14ac:dyDescent="0.25"/>
    <row r="338" s="79" customFormat="1" ht="15" customHeight="1" x14ac:dyDescent="0.25"/>
    <row r="339" s="79" customFormat="1" ht="15" customHeight="1" x14ac:dyDescent="0.25"/>
    <row r="340" s="79" customFormat="1" ht="15" customHeight="1" x14ac:dyDescent="0.25"/>
    <row r="341" s="79" customFormat="1" ht="15" customHeight="1" x14ac:dyDescent="0.25"/>
    <row r="342" s="79" customFormat="1" ht="15" customHeight="1" x14ac:dyDescent="0.25"/>
    <row r="343" s="79" customFormat="1" ht="15" customHeight="1" x14ac:dyDescent="0.25"/>
    <row r="344" s="79" customFormat="1" ht="15" customHeight="1" x14ac:dyDescent="0.25"/>
    <row r="345" s="79" customFormat="1" ht="15" customHeight="1" x14ac:dyDescent="0.25"/>
    <row r="346" s="79" customFormat="1" ht="15" customHeight="1" x14ac:dyDescent="0.25"/>
    <row r="347" s="79" customFormat="1" ht="15" customHeight="1" x14ac:dyDescent="0.25"/>
    <row r="348" s="79" customFormat="1" ht="15" customHeight="1" x14ac:dyDescent="0.25"/>
    <row r="349" s="79" customFormat="1" ht="15" customHeight="1" x14ac:dyDescent="0.25"/>
    <row r="350" s="79" customFormat="1" ht="15" customHeight="1" x14ac:dyDescent="0.25"/>
    <row r="351" s="79" customFormat="1" ht="15" customHeight="1" x14ac:dyDescent="0.25"/>
    <row r="352" s="79" customFormat="1" ht="15" customHeight="1" x14ac:dyDescent="0.25"/>
    <row r="353" s="79" customFormat="1" ht="15" customHeight="1" x14ac:dyDescent="0.25"/>
    <row r="354" s="79" customFormat="1" ht="15" customHeight="1" x14ac:dyDescent="0.25"/>
    <row r="355" s="79" customFormat="1" ht="15" customHeight="1" x14ac:dyDescent="0.25"/>
    <row r="356" s="79" customFormat="1" ht="15" customHeight="1" x14ac:dyDescent="0.25"/>
    <row r="357" s="79" customFormat="1" ht="15" customHeight="1" x14ac:dyDescent="0.25"/>
    <row r="358" s="79" customFormat="1" ht="15" customHeight="1" x14ac:dyDescent="0.25"/>
    <row r="359" s="79" customFormat="1" ht="15" customHeight="1" x14ac:dyDescent="0.25"/>
    <row r="360" s="79" customFormat="1" ht="15" customHeight="1" x14ac:dyDescent="0.25"/>
    <row r="361" s="79" customFormat="1" ht="15" customHeight="1" x14ac:dyDescent="0.25"/>
    <row r="362" s="79" customFormat="1" ht="15" customHeight="1" x14ac:dyDescent="0.25"/>
    <row r="363" s="79" customFormat="1" ht="15" customHeight="1" x14ac:dyDescent="0.25"/>
    <row r="364" s="79" customFormat="1" ht="15" customHeight="1" x14ac:dyDescent="0.25"/>
    <row r="365" s="79" customFormat="1" ht="15" customHeight="1" x14ac:dyDescent="0.25"/>
    <row r="366" s="79" customFormat="1" ht="15" customHeight="1" x14ac:dyDescent="0.25"/>
    <row r="367" s="79" customFormat="1" ht="15" customHeight="1" x14ac:dyDescent="0.25"/>
    <row r="368" s="79" customFormat="1" ht="15" customHeight="1" x14ac:dyDescent="0.25"/>
    <row r="369" s="79" customFormat="1" ht="15" customHeight="1" x14ac:dyDescent="0.25"/>
    <row r="370" s="79" customFormat="1" ht="15" customHeight="1" x14ac:dyDescent="0.25"/>
    <row r="371" s="79" customFormat="1" ht="15" customHeight="1" x14ac:dyDescent="0.25"/>
    <row r="372" s="79" customFormat="1" ht="15" customHeight="1" x14ac:dyDescent="0.25"/>
    <row r="373" s="79" customFormat="1" ht="15" customHeight="1" x14ac:dyDescent="0.25"/>
    <row r="374" s="79" customFormat="1" ht="15" customHeight="1" x14ac:dyDescent="0.25"/>
    <row r="375" s="79" customFormat="1" ht="15" customHeight="1" x14ac:dyDescent="0.25"/>
    <row r="376" s="79" customFormat="1" ht="15" customHeight="1" x14ac:dyDescent="0.25"/>
    <row r="377" s="79" customFormat="1" ht="15" customHeight="1" x14ac:dyDescent="0.25"/>
    <row r="378" s="79" customFormat="1" ht="15" customHeight="1" x14ac:dyDescent="0.25"/>
    <row r="379" s="79" customFormat="1" ht="15" customHeight="1" x14ac:dyDescent="0.25"/>
    <row r="380" s="79" customFormat="1" ht="15" customHeight="1" x14ac:dyDescent="0.25"/>
    <row r="381" s="79" customFormat="1" ht="15" customHeight="1" x14ac:dyDescent="0.25"/>
    <row r="382" s="79" customFormat="1" ht="15" customHeight="1" x14ac:dyDescent="0.25"/>
    <row r="383" s="79" customFormat="1" ht="15" customHeight="1" x14ac:dyDescent="0.25"/>
    <row r="384" s="79" customFormat="1" ht="15" customHeight="1" x14ac:dyDescent="0.25"/>
    <row r="385" s="79" customFormat="1" ht="15" customHeight="1" x14ac:dyDescent="0.25"/>
    <row r="386" s="79" customFormat="1" ht="15" customHeight="1" x14ac:dyDescent="0.25"/>
    <row r="387" s="79" customFormat="1" ht="15" customHeight="1" x14ac:dyDescent="0.25"/>
    <row r="388" s="79" customFormat="1" ht="15" customHeight="1" x14ac:dyDescent="0.25"/>
    <row r="389" s="79" customFormat="1" ht="15" customHeight="1" x14ac:dyDescent="0.25"/>
    <row r="390" s="79" customFormat="1" ht="15" customHeight="1" x14ac:dyDescent="0.25"/>
    <row r="391" s="79" customFormat="1" ht="15" customHeight="1" x14ac:dyDescent="0.25"/>
    <row r="392" s="79" customFormat="1" ht="15" customHeight="1" x14ac:dyDescent="0.25"/>
    <row r="393" s="79" customFormat="1" ht="15" customHeight="1" x14ac:dyDescent="0.25"/>
    <row r="394" s="79" customFormat="1" ht="15" customHeight="1" x14ac:dyDescent="0.25"/>
    <row r="395" s="79" customFormat="1" ht="15" customHeight="1" x14ac:dyDescent="0.25"/>
    <row r="396" s="79" customFormat="1" ht="15" customHeight="1" x14ac:dyDescent="0.25"/>
    <row r="397" s="79" customFormat="1" ht="15" customHeight="1" x14ac:dyDescent="0.25"/>
    <row r="398" s="79" customFormat="1" ht="15" customHeight="1" x14ac:dyDescent="0.25"/>
    <row r="399" s="79" customFormat="1" ht="15" customHeight="1" x14ac:dyDescent="0.25"/>
    <row r="400" s="79" customFormat="1" ht="15" customHeight="1" x14ac:dyDescent="0.25"/>
    <row r="401" s="79" customFormat="1" ht="15" customHeight="1" x14ac:dyDescent="0.25"/>
    <row r="402" s="79" customFormat="1" ht="15" customHeight="1" x14ac:dyDescent="0.25"/>
    <row r="403" s="79" customFormat="1" ht="15" customHeight="1" x14ac:dyDescent="0.25"/>
    <row r="404" s="79" customFormat="1" ht="15" customHeight="1" x14ac:dyDescent="0.25"/>
    <row r="405" s="79" customFormat="1" ht="15" customHeight="1" x14ac:dyDescent="0.25"/>
    <row r="406" s="79" customFormat="1" ht="15" customHeight="1" x14ac:dyDescent="0.25"/>
    <row r="407" s="79" customFormat="1" ht="15" customHeight="1" x14ac:dyDescent="0.25"/>
    <row r="408" s="79" customFormat="1" ht="15" customHeight="1" x14ac:dyDescent="0.25"/>
    <row r="409" s="79" customFormat="1" ht="15" customHeight="1" x14ac:dyDescent="0.25"/>
    <row r="410" s="79" customFormat="1" ht="15" customHeight="1" x14ac:dyDescent="0.25"/>
    <row r="411" s="79" customFormat="1" ht="15" customHeight="1" x14ac:dyDescent="0.25"/>
    <row r="412" s="79" customFormat="1" ht="15" customHeight="1" x14ac:dyDescent="0.25"/>
    <row r="413" s="79" customFormat="1" ht="15" customHeight="1" x14ac:dyDescent="0.25"/>
    <row r="414" s="79" customFormat="1" ht="15" customHeight="1" x14ac:dyDescent="0.25"/>
    <row r="415" s="79" customFormat="1" ht="15" customHeight="1" x14ac:dyDescent="0.25"/>
    <row r="416" s="79" customFormat="1" ht="15" customHeight="1" x14ac:dyDescent="0.25"/>
    <row r="417" s="79" customFormat="1" ht="15" customHeight="1" x14ac:dyDescent="0.25"/>
    <row r="418" s="79" customFormat="1" ht="15" customHeight="1" x14ac:dyDescent="0.25"/>
    <row r="419" s="79" customFormat="1" ht="15" customHeight="1" x14ac:dyDescent="0.25"/>
    <row r="420" s="79" customFormat="1" ht="15" customHeight="1" x14ac:dyDescent="0.25"/>
    <row r="421" s="79" customFormat="1" ht="15" customHeight="1" x14ac:dyDescent="0.25"/>
    <row r="422" s="79" customFormat="1" ht="15" customHeight="1" x14ac:dyDescent="0.25"/>
    <row r="423" s="79" customFormat="1" ht="15" customHeight="1" x14ac:dyDescent="0.25"/>
    <row r="424" s="79" customFormat="1" ht="15" customHeight="1" x14ac:dyDescent="0.25"/>
    <row r="425" s="79" customFormat="1" ht="15" customHeight="1" x14ac:dyDescent="0.25"/>
    <row r="426" s="79" customFormat="1" ht="15" customHeight="1" x14ac:dyDescent="0.25"/>
    <row r="427" s="79" customFormat="1" ht="15" customHeight="1" x14ac:dyDescent="0.25"/>
    <row r="428" s="79" customFormat="1" ht="15" customHeight="1" x14ac:dyDescent="0.25"/>
    <row r="429" s="79" customFormat="1" ht="15" customHeight="1" x14ac:dyDescent="0.25"/>
    <row r="430" s="79" customFormat="1" ht="15" customHeight="1" x14ac:dyDescent="0.25"/>
    <row r="431" s="79" customFormat="1" ht="15" customHeight="1" x14ac:dyDescent="0.25"/>
    <row r="432" s="79" customFormat="1" ht="15" customHeight="1" x14ac:dyDescent="0.25"/>
    <row r="433" s="79" customFormat="1" ht="15" customHeight="1" x14ac:dyDescent="0.25"/>
    <row r="434" s="79" customFormat="1" ht="15" customHeight="1" x14ac:dyDescent="0.25"/>
    <row r="435" s="79" customFormat="1" ht="15" customHeight="1" x14ac:dyDescent="0.25"/>
    <row r="436" s="79" customFormat="1" ht="15" customHeight="1" x14ac:dyDescent="0.25"/>
    <row r="437" s="79" customFormat="1" ht="15" customHeight="1" x14ac:dyDescent="0.25"/>
    <row r="438" s="79" customFormat="1" ht="15" customHeight="1" x14ac:dyDescent="0.25"/>
    <row r="439" s="79" customFormat="1" ht="15" customHeight="1" x14ac:dyDescent="0.25"/>
    <row r="440" s="79" customFormat="1" ht="15" customHeight="1" x14ac:dyDescent="0.25"/>
    <row r="441" s="79" customFormat="1" ht="15" customHeight="1" x14ac:dyDescent="0.25"/>
    <row r="442" s="79" customFormat="1" ht="15" customHeight="1" x14ac:dyDescent="0.25"/>
    <row r="443" s="79" customFormat="1" ht="15" customHeight="1" x14ac:dyDescent="0.25"/>
    <row r="444" s="79" customFormat="1" ht="15" customHeight="1" x14ac:dyDescent="0.25"/>
    <row r="445" s="79" customFormat="1" ht="15" customHeight="1" x14ac:dyDescent="0.25"/>
    <row r="446" s="79" customFormat="1" ht="15" customHeight="1" x14ac:dyDescent="0.25"/>
    <row r="447" s="79" customFormat="1" ht="15" customHeight="1" x14ac:dyDescent="0.25"/>
    <row r="448" s="79" customFormat="1" ht="15" customHeight="1" x14ac:dyDescent="0.25"/>
    <row r="449" s="79" customFormat="1" ht="15" customHeight="1" x14ac:dyDescent="0.25"/>
    <row r="450" s="79" customFormat="1" ht="15" customHeight="1" x14ac:dyDescent="0.25"/>
    <row r="451" s="79" customFormat="1" ht="15" customHeight="1" x14ac:dyDescent="0.25"/>
    <row r="452" s="79" customFormat="1" ht="15" customHeight="1" x14ac:dyDescent="0.25"/>
    <row r="453" s="79" customFormat="1" ht="15" customHeight="1" x14ac:dyDescent="0.25"/>
    <row r="454" s="79" customFormat="1" ht="15" customHeight="1" x14ac:dyDescent="0.25"/>
    <row r="455" s="79" customFormat="1" ht="15" customHeight="1" x14ac:dyDescent="0.25"/>
    <row r="456" s="79" customFormat="1" ht="15" customHeight="1" x14ac:dyDescent="0.25"/>
    <row r="457" s="79" customFormat="1" ht="15" customHeight="1" x14ac:dyDescent="0.25"/>
    <row r="458" s="79" customFormat="1" ht="15" customHeight="1" x14ac:dyDescent="0.25"/>
    <row r="459" s="79" customFormat="1" ht="15" customHeight="1" x14ac:dyDescent="0.25"/>
    <row r="460" s="79" customFormat="1" ht="15" customHeight="1" x14ac:dyDescent="0.25"/>
    <row r="461" s="79" customFormat="1" ht="15" customHeight="1" x14ac:dyDescent="0.25"/>
    <row r="462" s="79" customFormat="1" ht="15" customHeight="1" x14ac:dyDescent="0.25"/>
    <row r="463" s="79" customFormat="1" ht="15" customHeight="1" x14ac:dyDescent="0.25"/>
    <row r="464" s="79" customFormat="1" ht="15" customHeight="1" x14ac:dyDescent="0.25"/>
    <row r="465" s="79" customFormat="1" ht="15" customHeight="1" x14ac:dyDescent="0.25"/>
    <row r="466" s="79" customFormat="1" ht="15" customHeight="1" x14ac:dyDescent="0.25"/>
    <row r="467" s="79" customFormat="1" ht="15" customHeight="1" x14ac:dyDescent="0.25"/>
    <row r="468" s="79" customFormat="1" ht="15" customHeight="1" x14ac:dyDescent="0.25"/>
    <row r="469" s="79" customFormat="1" ht="15" customHeight="1" x14ac:dyDescent="0.25"/>
    <row r="470" s="79" customFormat="1" ht="15" customHeight="1" x14ac:dyDescent="0.25"/>
    <row r="471" s="79" customFormat="1" ht="15" customHeight="1" x14ac:dyDescent="0.25"/>
    <row r="472" s="79" customFormat="1" ht="15" customHeight="1" x14ac:dyDescent="0.25"/>
    <row r="473" s="79" customFormat="1" ht="15" customHeight="1" x14ac:dyDescent="0.25"/>
    <row r="474" s="79" customFormat="1" ht="15" customHeight="1" x14ac:dyDescent="0.25"/>
    <row r="475" s="79" customFormat="1" ht="15" customHeight="1" x14ac:dyDescent="0.25"/>
    <row r="476" s="79" customFormat="1" ht="15" customHeight="1" x14ac:dyDescent="0.25"/>
    <row r="477" s="79" customFormat="1" ht="15" customHeight="1" x14ac:dyDescent="0.25"/>
    <row r="478" s="79" customFormat="1" ht="15" customHeight="1" x14ac:dyDescent="0.25"/>
    <row r="479" s="79" customFormat="1" ht="15" customHeight="1" x14ac:dyDescent="0.25"/>
    <row r="480" s="79" customFormat="1" ht="15" customHeight="1" x14ac:dyDescent="0.25"/>
    <row r="481" s="79" customFormat="1" ht="15" customHeight="1" x14ac:dyDescent="0.25"/>
    <row r="482" s="79" customFormat="1" ht="15" customHeight="1" x14ac:dyDescent="0.25"/>
    <row r="483" s="79" customFormat="1" ht="15" customHeight="1" x14ac:dyDescent="0.25"/>
    <row r="484" s="79" customFormat="1" ht="15" customHeight="1" x14ac:dyDescent="0.25"/>
    <row r="485" s="79" customFormat="1" ht="15" customHeight="1" x14ac:dyDescent="0.25"/>
    <row r="486" s="79" customFormat="1" ht="15" customHeight="1" x14ac:dyDescent="0.25"/>
    <row r="487" s="79" customFormat="1" ht="15" customHeight="1" x14ac:dyDescent="0.25"/>
    <row r="488" s="79" customFormat="1" ht="15" customHeight="1" x14ac:dyDescent="0.25"/>
    <row r="489" s="79" customFormat="1" ht="15" customHeight="1" x14ac:dyDescent="0.25"/>
    <row r="490" s="79" customFormat="1" ht="15" customHeight="1" x14ac:dyDescent="0.25"/>
    <row r="491" s="79" customFormat="1" ht="15" customHeight="1" x14ac:dyDescent="0.25"/>
    <row r="492" s="79" customFormat="1" ht="15" customHeight="1" x14ac:dyDescent="0.25"/>
    <row r="493" s="79" customFormat="1" ht="15" customHeight="1" x14ac:dyDescent="0.25"/>
    <row r="494" s="79" customFormat="1" ht="15" customHeight="1" x14ac:dyDescent="0.25"/>
    <row r="495" s="79" customFormat="1" ht="15" customHeight="1" x14ac:dyDescent="0.25"/>
    <row r="496" s="79" customFormat="1" ht="15" customHeight="1" x14ac:dyDescent="0.25"/>
    <row r="497" s="79" customFormat="1" ht="15" customHeight="1" x14ac:dyDescent="0.25"/>
    <row r="498" s="79" customFormat="1" ht="15" customHeight="1" x14ac:dyDescent="0.25"/>
    <row r="499" s="79" customFormat="1" ht="15" customHeight="1" x14ac:dyDescent="0.25"/>
    <row r="500" s="79" customFormat="1" ht="15" customHeight="1" x14ac:dyDescent="0.25"/>
    <row r="501" s="79" customFormat="1" ht="15" customHeight="1" x14ac:dyDescent="0.25"/>
    <row r="502" s="79" customFormat="1" ht="15" customHeight="1" x14ac:dyDescent="0.25"/>
    <row r="503" s="79" customFormat="1" ht="15" customHeight="1" x14ac:dyDescent="0.25"/>
    <row r="504" s="79" customFormat="1" ht="15" customHeight="1" x14ac:dyDescent="0.25"/>
    <row r="505" s="79" customFormat="1" ht="15" customHeight="1" x14ac:dyDescent="0.25"/>
    <row r="506" s="79" customFormat="1" ht="15" customHeight="1" x14ac:dyDescent="0.25"/>
    <row r="507" s="79" customFormat="1" ht="15" customHeight="1" x14ac:dyDescent="0.25"/>
    <row r="508" s="79" customFormat="1" ht="15" customHeight="1" x14ac:dyDescent="0.25"/>
    <row r="509" s="79" customFormat="1" ht="15" customHeight="1" x14ac:dyDescent="0.25"/>
    <row r="510" s="79" customFormat="1" ht="15" customHeight="1" x14ac:dyDescent="0.25"/>
    <row r="511" s="79" customFormat="1" ht="15" customHeight="1" x14ac:dyDescent="0.25"/>
    <row r="512" s="79" customFormat="1" ht="15" customHeight="1" x14ac:dyDescent="0.25"/>
    <row r="513" s="79" customFormat="1" ht="15" customHeight="1" x14ac:dyDescent="0.25"/>
    <row r="514" s="79" customFormat="1" ht="15" customHeight="1" x14ac:dyDescent="0.25"/>
    <row r="515" s="79" customFormat="1" ht="15" customHeight="1" x14ac:dyDescent="0.25"/>
    <row r="516" s="79" customFormat="1" ht="15" customHeight="1" x14ac:dyDescent="0.25"/>
    <row r="517" s="79" customFormat="1" ht="15" customHeight="1" x14ac:dyDescent="0.25"/>
    <row r="518" s="79" customFormat="1" ht="15" customHeight="1" x14ac:dyDescent="0.25"/>
    <row r="519" s="79" customFormat="1" ht="15" customHeight="1" x14ac:dyDescent="0.25"/>
    <row r="520" s="79" customFormat="1" ht="15" customHeight="1" x14ac:dyDescent="0.25"/>
    <row r="521" s="79" customFormat="1" ht="15" customHeight="1" x14ac:dyDescent="0.25"/>
    <row r="522" s="79" customFormat="1" ht="15" customHeight="1" x14ac:dyDescent="0.25"/>
    <row r="523" s="79" customFormat="1" ht="15" customHeight="1" x14ac:dyDescent="0.25"/>
    <row r="524" s="79" customFormat="1" ht="15" customHeight="1" x14ac:dyDescent="0.25"/>
    <row r="525" s="79" customFormat="1" ht="15" customHeight="1" x14ac:dyDescent="0.25"/>
    <row r="526" s="79" customFormat="1" ht="15" customHeight="1" x14ac:dyDescent="0.25"/>
    <row r="527" s="79" customFormat="1" ht="15" customHeight="1" x14ac:dyDescent="0.25"/>
    <row r="528" s="79" customFormat="1" ht="15" customHeight="1" x14ac:dyDescent="0.25"/>
    <row r="529" s="79" customFormat="1" ht="15" customHeight="1" x14ac:dyDescent="0.25"/>
    <row r="530" s="79" customFormat="1" ht="15" customHeight="1" x14ac:dyDescent="0.25"/>
    <row r="531" s="79" customFormat="1" ht="15" customHeight="1" x14ac:dyDescent="0.25"/>
    <row r="532" s="79" customFormat="1" ht="15" customHeight="1" x14ac:dyDescent="0.25"/>
    <row r="533" s="79" customFormat="1" ht="15" customHeight="1" x14ac:dyDescent="0.25"/>
    <row r="534" s="79" customFormat="1" ht="15" customHeight="1" x14ac:dyDescent="0.25"/>
    <row r="535" s="79" customFormat="1" ht="15" customHeight="1" x14ac:dyDescent="0.25"/>
    <row r="536" s="79" customFormat="1" ht="15" customHeight="1" x14ac:dyDescent="0.25"/>
    <row r="537" s="79" customFormat="1" ht="15" customHeight="1" x14ac:dyDescent="0.25"/>
    <row r="538" s="79" customFormat="1" ht="15" customHeight="1" x14ac:dyDescent="0.25"/>
    <row r="539" s="79" customFormat="1" ht="15" customHeight="1" x14ac:dyDescent="0.25"/>
    <row r="540" s="79" customFormat="1" ht="15" customHeight="1" x14ac:dyDescent="0.25"/>
    <row r="541" s="79" customFormat="1" ht="15" customHeight="1" x14ac:dyDescent="0.25"/>
    <row r="542" s="79" customFormat="1" ht="15" customHeight="1" x14ac:dyDescent="0.25"/>
    <row r="543" s="79" customFormat="1" ht="15" customHeight="1" x14ac:dyDescent="0.25"/>
    <row r="544" s="79" customFormat="1" ht="15" customHeight="1" x14ac:dyDescent="0.25"/>
    <row r="545" s="79" customFormat="1" ht="15" customHeight="1" x14ac:dyDescent="0.25"/>
    <row r="546" s="79" customFormat="1" ht="15" customHeight="1" x14ac:dyDescent="0.25"/>
    <row r="547" s="79" customFormat="1" ht="15" customHeight="1" x14ac:dyDescent="0.25"/>
    <row r="548" s="79" customFormat="1" ht="15" customHeight="1" x14ac:dyDescent="0.25"/>
    <row r="549" s="79" customFormat="1" ht="15" customHeight="1" x14ac:dyDescent="0.25"/>
    <row r="550" s="79" customFormat="1" ht="15" customHeight="1" x14ac:dyDescent="0.25"/>
    <row r="551" s="79" customFormat="1" ht="15" customHeight="1" x14ac:dyDescent="0.25"/>
    <row r="552" s="79" customFormat="1" ht="15" customHeight="1" x14ac:dyDescent="0.25"/>
    <row r="553" s="79" customFormat="1" ht="15" customHeight="1" x14ac:dyDescent="0.25"/>
    <row r="554" s="79" customFormat="1" ht="15" customHeight="1" x14ac:dyDescent="0.25"/>
    <row r="555" s="79" customFormat="1" ht="15" customHeight="1" x14ac:dyDescent="0.25"/>
    <row r="556" s="79" customFormat="1" ht="15" customHeight="1" x14ac:dyDescent="0.25"/>
    <row r="557" s="79" customFormat="1" ht="15" customHeight="1" x14ac:dyDescent="0.25"/>
    <row r="558" s="79" customFormat="1" ht="15" customHeight="1" x14ac:dyDescent="0.25"/>
    <row r="559" s="79" customFormat="1" ht="15" customHeight="1" x14ac:dyDescent="0.25"/>
    <row r="560" s="79" customFormat="1" ht="15" customHeight="1" x14ac:dyDescent="0.25"/>
    <row r="561" s="79" customFormat="1" ht="15" customHeight="1" x14ac:dyDescent="0.25"/>
    <row r="562" s="79" customFormat="1" ht="15" customHeight="1" x14ac:dyDescent="0.25"/>
    <row r="563" s="79" customFormat="1" ht="15" customHeight="1" x14ac:dyDescent="0.25"/>
    <row r="564" s="79" customFormat="1" ht="15" customHeight="1" x14ac:dyDescent="0.25"/>
    <row r="565" s="79" customFormat="1" ht="15" customHeight="1" x14ac:dyDescent="0.25"/>
    <row r="566" s="79" customFormat="1" ht="15" customHeight="1" x14ac:dyDescent="0.25"/>
    <row r="567" s="79" customFormat="1" ht="15" customHeight="1" x14ac:dyDescent="0.25"/>
    <row r="568" s="79" customFormat="1" ht="15" customHeight="1" x14ac:dyDescent="0.25"/>
    <row r="569" s="79" customFormat="1" ht="15" customHeight="1" x14ac:dyDescent="0.25"/>
    <row r="570" s="79" customFormat="1" ht="15" customHeight="1" x14ac:dyDescent="0.25"/>
    <row r="571" s="79" customFormat="1" ht="15" customHeight="1" x14ac:dyDescent="0.25"/>
    <row r="572" s="79" customFormat="1" ht="15" customHeight="1" x14ac:dyDescent="0.25"/>
    <row r="573" s="79" customFormat="1" ht="15" customHeight="1" x14ac:dyDescent="0.25"/>
    <row r="574" s="79" customFormat="1" ht="15" customHeight="1" x14ac:dyDescent="0.25"/>
    <row r="575" s="79" customFormat="1" ht="15" customHeight="1" x14ac:dyDescent="0.25"/>
    <row r="576" s="79" customFormat="1" ht="15" customHeight="1" x14ac:dyDescent="0.25"/>
    <row r="577" s="79" customFormat="1" ht="15" customHeight="1" x14ac:dyDescent="0.25"/>
    <row r="578" s="79" customFormat="1" ht="15" customHeight="1" x14ac:dyDescent="0.25"/>
    <row r="579" s="79" customFormat="1" ht="15" customHeight="1" x14ac:dyDescent="0.25"/>
    <row r="580" s="79" customFormat="1" ht="15" customHeight="1" x14ac:dyDescent="0.25"/>
    <row r="581" s="79" customFormat="1" ht="15" customHeight="1" x14ac:dyDescent="0.25"/>
    <row r="582" s="79" customFormat="1" ht="15" customHeight="1" x14ac:dyDescent="0.25"/>
    <row r="583" s="79" customFormat="1" ht="15" customHeight="1" x14ac:dyDescent="0.25"/>
    <row r="584" s="79" customFormat="1" ht="15" customHeight="1" x14ac:dyDescent="0.25"/>
    <row r="585" s="79" customFormat="1" ht="15" customHeight="1" x14ac:dyDescent="0.25"/>
    <row r="586" s="79" customFormat="1" ht="15" customHeight="1" x14ac:dyDescent="0.25"/>
    <row r="587" s="79" customFormat="1" ht="15" customHeight="1" x14ac:dyDescent="0.25"/>
    <row r="588" s="79" customFormat="1" ht="15" customHeight="1" x14ac:dyDescent="0.25"/>
    <row r="589" s="79" customFormat="1" ht="15" customHeight="1" x14ac:dyDescent="0.25"/>
    <row r="590" s="79" customFormat="1" ht="15" customHeight="1" x14ac:dyDescent="0.25"/>
    <row r="591" s="79" customFormat="1" ht="15" customHeight="1" x14ac:dyDescent="0.25"/>
    <row r="592" s="79" customFormat="1" ht="15" customHeight="1" x14ac:dyDescent="0.25"/>
    <row r="593" s="79" customFormat="1" ht="15" customHeight="1" x14ac:dyDescent="0.25"/>
    <row r="594" s="79" customFormat="1" ht="15" customHeight="1" x14ac:dyDescent="0.25"/>
    <row r="595" s="79" customFormat="1" ht="15" customHeight="1" x14ac:dyDescent="0.25"/>
    <row r="596" s="79" customFormat="1" ht="15" customHeight="1" x14ac:dyDescent="0.25"/>
    <row r="597" s="79" customFormat="1" ht="15" customHeight="1" x14ac:dyDescent="0.25"/>
    <row r="598" s="79" customFormat="1" ht="15" customHeight="1" x14ac:dyDescent="0.25"/>
    <row r="599" s="79" customFormat="1" ht="15" customHeight="1" x14ac:dyDescent="0.25"/>
    <row r="600" s="79" customFormat="1" ht="15" customHeight="1" x14ac:dyDescent="0.25"/>
    <row r="601" s="79" customFormat="1" ht="15" customHeight="1" x14ac:dyDescent="0.25"/>
    <row r="602" s="79" customFormat="1" ht="15" customHeight="1" x14ac:dyDescent="0.25"/>
    <row r="603" s="79" customFormat="1" ht="15" customHeight="1" x14ac:dyDescent="0.25"/>
    <row r="604" s="79" customFormat="1" ht="15" customHeight="1" x14ac:dyDescent="0.25"/>
    <row r="605" s="79" customFormat="1" ht="15" customHeight="1" x14ac:dyDescent="0.25"/>
    <row r="606" s="79" customFormat="1" ht="15" customHeight="1" x14ac:dyDescent="0.25"/>
    <row r="607" s="79" customFormat="1" ht="15" customHeight="1" x14ac:dyDescent="0.25"/>
    <row r="608" s="79" customFormat="1" ht="15" customHeight="1" x14ac:dyDescent="0.25"/>
    <row r="609" s="79" customFormat="1" ht="15" customHeight="1" x14ac:dyDescent="0.25"/>
    <row r="610" s="79" customFormat="1" ht="15" customHeight="1" x14ac:dyDescent="0.25"/>
    <row r="611" s="79" customFormat="1" ht="15" customHeight="1" x14ac:dyDescent="0.25"/>
    <row r="612" s="79" customFormat="1" ht="15" customHeight="1" x14ac:dyDescent="0.25"/>
    <row r="613" s="79" customFormat="1" ht="15" customHeight="1" x14ac:dyDescent="0.25"/>
    <row r="614" s="79" customFormat="1" ht="15" customHeight="1" x14ac:dyDescent="0.25"/>
    <row r="615" s="79" customFormat="1" ht="15" customHeight="1" x14ac:dyDescent="0.25"/>
    <row r="616" s="79" customFormat="1" ht="15" customHeight="1" x14ac:dyDescent="0.25"/>
    <row r="617" s="79" customFormat="1" ht="15" customHeight="1" x14ac:dyDescent="0.25"/>
    <row r="618" s="79" customFormat="1" ht="15" customHeight="1" x14ac:dyDescent="0.25"/>
    <row r="619" s="79" customFormat="1" ht="15" customHeight="1" x14ac:dyDescent="0.25"/>
    <row r="620" s="79" customFormat="1" ht="15" customHeight="1" x14ac:dyDescent="0.25"/>
    <row r="621" s="79" customFormat="1" ht="15" customHeight="1" x14ac:dyDescent="0.25"/>
    <row r="622" s="79" customFormat="1" ht="15" customHeight="1" x14ac:dyDescent="0.25"/>
    <row r="623" s="79" customFormat="1" ht="15" customHeight="1" x14ac:dyDescent="0.25"/>
    <row r="624" s="79" customFormat="1" ht="15" customHeight="1" x14ac:dyDescent="0.25"/>
    <row r="625" s="79" customFormat="1" ht="15" customHeight="1" x14ac:dyDescent="0.25"/>
    <row r="626" s="79" customFormat="1" ht="15" customHeight="1" x14ac:dyDescent="0.25"/>
    <row r="627" s="79" customFormat="1" ht="15" customHeight="1" x14ac:dyDescent="0.25"/>
    <row r="628" s="79" customFormat="1" ht="15" customHeight="1" x14ac:dyDescent="0.25"/>
    <row r="629" s="79" customFormat="1" ht="15" customHeight="1" x14ac:dyDescent="0.25"/>
    <row r="630" s="79" customFormat="1" ht="15" customHeight="1" x14ac:dyDescent="0.25"/>
    <row r="631" s="79" customFormat="1" ht="15" customHeight="1" x14ac:dyDescent="0.25"/>
    <row r="632" s="79" customFormat="1" ht="15" customHeight="1" x14ac:dyDescent="0.25"/>
    <row r="633" s="79" customFormat="1" ht="15" customHeight="1" x14ac:dyDescent="0.25"/>
    <row r="634" s="79" customFormat="1" ht="15" customHeight="1" x14ac:dyDescent="0.25"/>
    <row r="635" s="79" customFormat="1" ht="15" customHeight="1" x14ac:dyDescent="0.25"/>
    <row r="636" s="79" customFormat="1" ht="15" customHeight="1" x14ac:dyDescent="0.25"/>
    <row r="637" s="79" customFormat="1" ht="15" customHeight="1" x14ac:dyDescent="0.25"/>
    <row r="638" s="79" customFormat="1" ht="15" customHeight="1" x14ac:dyDescent="0.25"/>
    <row r="639" s="79" customFormat="1" ht="15" customHeight="1" x14ac:dyDescent="0.25"/>
    <row r="640" s="79" customFormat="1" ht="15" customHeight="1" x14ac:dyDescent="0.25"/>
    <row r="641" s="79" customFormat="1" ht="15" customHeight="1" x14ac:dyDescent="0.25"/>
    <row r="642" s="79" customFormat="1" ht="15" customHeight="1" x14ac:dyDescent="0.25"/>
    <row r="643" s="79" customFormat="1" ht="15" customHeight="1" x14ac:dyDescent="0.25"/>
    <row r="644" s="79" customFormat="1" ht="15" customHeight="1" x14ac:dyDescent="0.25"/>
    <row r="645" s="79" customFormat="1" ht="15" customHeight="1" x14ac:dyDescent="0.25"/>
    <row r="646" s="79" customFormat="1" ht="15" customHeight="1" x14ac:dyDescent="0.25"/>
    <row r="647" s="79" customFormat="1" ht="15" customHeight="1" x14ac:dyDescent="0.25"/>
    <row r="648" s="79" customFormat="1" ht="15" customHeight="1" x14ac:dyDescent="0.25"/>
    <row r="649" s="79" customFormat="1" ht="15" customHeight="1" x14ac:dyDescent="0.25"/>
    <row r="650" s="79" customFormat="1" ht="15" customHeight="1" x14ac:dyDescent="0.25"/>
    <row r="651" s="79" customFormat="1" ht="15" customHeight="1" x14ac:dyDescent="0.25"/>
    <row r="652" s="79" customFormat="1" ht="15" customHeight="1" x14ac:dyDescent="0.25"/>
    <row r="653" s="79" customFormat="1" ht="15" customHeight="1" x14ac:dyDescent="0.25"/>
    <row r="654" s="79" customFormat="1" ht="15" customHeight="1" x14ac:dyDescent="0.25"/>
    <row r="655" s="79" customFormat="1" ht="15" customHeight="1" x14ac:dyDescent="0.25"/>
    <row r="656" s="79" customFormat="1" ht="15" customHeight="1" x14ac:dyDescent="0.25"/>
    <row r="657" s="79" customFormat="1" ht="15" customHeight="1" x14ac:dyDescent="0.25"/>
    <row r="658" s="79" customFormat="1" ht="15" customHeight="1" x14ac:dyDescent="0.25"/>
    <row r="659" s="79" customFormat="1" ht="15" customHeight="1" x14ac:dyDescent="0.25"/>
    <row r="660" s="79" customFormat="1" ht="15" customHeight="1" x14ac:dyDescent="0.25"/>
    <row r="661" s="79" customFormat="1" ht="15" customHeight="1" x14ac:dyDescent="0.25"/>
    <row r="662" s="79" customFormat="1" ht="15" customHeight="1" x14ac:dyDescent="0.25"/>
    <row r="663" s="79" customFormat="1" ht="15" customHeight="1" x14ac:dyDescent="0.25"/>
    <row r="664" s="79" customFormat="1" ht="15" customHeight="1" x14ac:dyDescent="0.25"/>
    <row r="665" s="79" customFormat="1" ht="15" customHeight="1" x14ac:dyDescent="0.25"/>
    <row r="666" s="79" customFormat="1" ht="15" customHeight="1" x14ac:dyDescent="0.25"/>
    <row r="667" s="79" customFormat="1" ht="15" customHeight="1" x14ac:dyDescent="0.25"/>
    <row r="668" s="79" customFormat="1" ht="15" customHeight="1" x14ac:dyDescent="0.25"/>
    <row r="669" s="79" customFormat="1" ht="15" customHeight="1" x14ac:dyDescent="0.25"/>
    <row r="670" s="79" customFormat="1" ht="15" customHeight="1" x14ac:dyDescent="0.25"/>
    <row r="671" s="79" customFormat="1" ht="15" customHeight="1" x14ac:dyDescent="0.25"/>
    <row r="672" s="79" customFormat="1" ht="15" customHeight="1" x14ac:dyDescent="0.25"/>
    <row r="673" s="79" customFormat="1" ht="15" customHeight="1" x14ac:dyDescent="0.25"/>
    <row r="674" s="79" customFormat="1" ht="15" customHeight="1" x14ac:dyDescent="0.25"/>
    <row r="675" s="79" customFormat="1" ht="15" customHeight="1" x14ac:dyDescent="0.25"/>
    <row r="676" s="79" customFormat="1" ht="15" customHeight="1" x14ac:dyDescent="0.25"/>
    <row r="677" s="79" customFormat="1" ht="15" customHeight="1" x14ac:dyDescent="0.25"/>
    <row r="678" s="79" customFormat="1" ht="15" customHeight="1" x14ac:dyDescent="0.25"/>
    <row r="679" s="79" customFormat="1" ht="15" customHeight="1" x14ac:dyDescent="0.25"/>
    <row r="680" s="79" customFormat="1" ht="15" customHeight="1" x14ac:dyDescent="0.25"/>
    <row r="681" s="79" customFormat="1" ht="15" customHeight="1" x14ac:dyDescent="0.25"/>
    <row r="682" s="79" customFormat="1" ht="15" customHeight="1" x14ac:dyDescent="0.25"/>
    <row r="683" s="79" customFormat="1" ht="15" customHeight="1" x14ac:dyDescent="0.25"/>
    <row r="684" s="79" customFormat="1" ht="15" customHeight="1" x14ac:dyDescent="0.25"/>
    <row r="685" s="79" customFormat="1" ht="15" customHeight="1" x14ac:dyDescent="0.25"/>
    <row r="686" s="79" customFormat="1" ht="15" customHeight="1" x14ac:dyDescent="0.25"/>
    <row r="687" s="79" customFormat="1" ht="15" customHeight="1" x14ac:dyDescent="0.25"/>
    <row r="688" s="79" customFormat="1" ht="15" customHeight="1" x14ac:dyDescent="0.25"/>
    <row r="689" s="79" customFormat="1" ht="15" customHeight="1" x14ac:dyDescent="0.25"/>
    <row r="690" s="79" customFormat="1" ht="15" customHeight="1" x14ac:dyDescent="0.25"/>
    <row r="691" s="79" customFormat="1" ht="15" customHeight="1" x14ac:dyDescent="0.25"/>
    <row r="692" s="79" customFormat="1" ht="15" customHeight="1" x14ac:dyDescent="0.25"/>
    <row r="693" s="79" customFormat="1" ht="15" customHeight="1" x14ac:dyDescent="0.25"/>
    <row r="694" s="79" customFormat="1" ht="15" customHeight="1" x14ac:dyDescent="0.25"/>
    <row r="695" s="79" customFormat="1" ht="15" customHeight="1" x14ac:dyDescent="0.25"/>
    <row r="696" s="79" customFormat="1" ht="15" customHeight="1" x14ac:dyDescent="0.25"/>
    <row r="697" s="79" customFormat="1" ht="15" customHeight="1" x14ac:dyDescent="0.25"/>
    <row r="698" s="79" customFormat="1" ht="15" customHeight="1" x14ac:dyDescent="0.25"/>
    <row r="699" s="79" customFormat="1" ht="15" customHeight="1" x14ac:dyDescent="0.25"/>
    <row r="700" s="79" customFormat="1" ht="15" customHeight="1" x14ac:dyDescent="0.25"/>
    <row r="701" s="79" customFormat="1" ht="15" customHeight="1" x14ac:dyDescent="0.25"/>
    <row r="702" s="79" customFormat="1" ht="15" customHeight="1" x14ac:dyDescent="0.25"/>
    <row r="703" s="79" customFormat="1" ht="15" customHeight="1" x14ac:dyDescent="0.25"/>
    <row r="704" s="79" customFormat="1" ht="15" customHeight="1" x14ac:dyDescent="0.25"/>
    <row r="705" s="79" customFormat="1" ht="15" customHeight="1" x14ac:dyDescent="0.25"/>
    <row r="706" s="79" customFormat="1" ht="15" customHeight="1" x14ac:dyDescent="0.25"/>
    <row r="707" s="79" customFormat="1" ht="15" customHeight="1" x14ac:dyDescent="0.25"/>
    <row r="708" s="79" customFormat="1" ht="15" customHeight="1" x14ac:dyDescent="0.25"/>
    <row r="709" s="79" customFormat="1" ht="15" customHeight="1" x14ac:dyDescent="0.25"/>
    <row r="710" s="79" customFormat="1" ht="15" customHeight="1" x14ac:dyDescent="0.25"/>
    <row r="711" s="79" customFormat="1" ht="15" customHeight="1" x14ac:dyDescent="0.25"/>
    <row r="712" s="79" customFormat="1" ht="15" customHeight="1" x14ac:dyDescent="0.25"/>
    <row r="713" s="79" customFormat="1" ht="15" customHeight="1" x14ac:dyDescent="0.25"/>
    <row r="714" s="79" customFormat="1" ht="15" customHeight="1" x14ac:dyDescent="0.25"/>
    <row r="715" s="79" customFormat="1" ht="15" customHeight="1" x14ac:dyDescent="0.25"/>
    <row r="716" s="79" customFormat="1" ht="15" customHeight="1" x14ac:dyDescent="0.25"/>
    <row r="717" s="79" customFormat="1" ht="15" customHeight="1" x14ac:dyDescent="0.25"/>
    <row r="718" s="79" customFormat="1" ht="15" customHeight="1" x14ac:dyDescent="0.25"/>
    <row r="719" s="79" customFormat="1" ht="15" customHeight="1" x14ac:dyDescent="0.25"/>
    <row r="720" s="79" customFormat="1" ht="15" customHeight="1" x14ac:dyDescent="0.25"/>
    <row r="721" s="79" customFormat="1" ht="15" customHeight="1" x14ac:dyDescent="0.25"/>
    <row r="722" s="79" customFormat="1" ht="15" customHeight="1" x14ac:dyDescent="0.25"/>
    <row r="723" s="79" customFormat="1" ht="15" customHeight="1" x14ac:dyDescent="0.25"/>
    <row r="724" s="79" customFormat="1" ht="15" customHeight="1" x14ac:dyDescent="0.25"/>
    <row r="725" s="79" customFormat="1" ht="15" customHeight="1" x14ac:dyDescent="0.25"/>
    <row r="726" s="79" customFormat="1" ht="15" customHeight="1" x14ac:dyDescent="0.25"/>
    <row r="727" s="79" customFormat="1" ht="15" customHeight="1" x14ac:dyDescent="0.25"/>
    <row r="728" s="79" customFormat="1" ht="15" customHeight="1" x14ac:dyDescent="0.25"/>
    <row r="729" s="79" customFormat="1" ht="15" customHeight="1" x14ac:dyDescent="0.25"/>
    <row r="730" s="79" customFormat="1" ht="15" customHeight="1" x14ac:dyDescent="0.25"/>
    <row r="731" s="79" customFormat="1" ht="15" customHeight="1" x14ac:dyDescent="0.25"/>
    <row r="732" s="79" customFormat="1" ht="15" customHeight="1" x14ac:dyDescent="0.25"/>
    <row r="733" s="79" customFormat="1" ht="15" customHeight="1" x14ac:dyDescent="0.25"/>
    <row r="734" s="79" customFormat="1" ht="15" customHeight="1" x14ac:dyDescent="0.25"/>
    <row r="735" s="79" customFormat="1" ht="15" customHeight="1" x14ac:dyDescent="0.25"/>
    <row r="736" s="79" customFormat="1" ht="15" customHeight="1" x14ac:dyDescent="0.25"/>
    <row r="737" s="79" customFormat="1" ht="15" customHeight="1" x14ac:dyDescent="0.25"/>
    <row r="738" s="79" customFormat="1" ht="15" customHeight="1" x14ac:dyDescent="0.25"/>
    <row r="739" s="79" customFormat="1" ht="15" customHeight="1" x14ac:dyDescent="0.25"/>
    <row r="740" s="79" customFormat="1" ht="15" customHeight="1" x14ac:dyDescent="0.25"/>
    <row r="741" s="79" customFormat="1" ht="15" customHeight="1" x14ac:dyDescent="0.25"/>
    <row r="742" s="79" customFormat="1" ht="15" customHeight="1" x14ac:dyDescent="0.25"/>
    <row r="743" s="79" customFormat="1" ht="15" customHeight="1" x14ac:dyDescent="0.25"/>
    <row r="744" s="79" customFormat="1" ht="15" customHeight="1" x14ac:dyDescent="0.25"/>
    <row r="745" s="79" customFormat="1" ht="15" customHeight="1" x14ac:dyDescent="0.25"/>
    <row r="746" s="79" customFormat="1" ht="15" customHeight="1" x14ac:dyDescent="0.25"/>
    <row r="747" s="79" customFormat="1" ht="15" customHeight="1" x14ac:dyDescent="0.25"/>
    <row r="748" s="79" customFormat="1" ht="15" customHeight="1" x14ac:dyDescent="0.25"/>
    <row r="749" s="79" customFormat="1" ht="15" customHeight="1" x14ac:dyDescent="0.25"/>
    <row r="750" s="79" customFormat="1" ht="15" customHeight="1" x14ac:dyDescent="0.25"/>
    <row r="751" s="79" customFormat="1" ht="15" customHeight="1" x14ac:dyDescent="0.25"/>
    <row r="752" s="79" customFormat="1" ht="15" customHeight="1" x14ac:dyDescent="0.25"/>
    <row r="753" s="79" customFormat="1" ht="15" customHeight="1" x14ac:dyDescent="0.25"/>
    <row r="754" s="79" customFormat="1" ht="15" customHeight="1" x14ac:dyDescent="0.25"/>
    <row r="755" s="79" customFormat="1" ht="15" customHeight="1" x14ac:dyDescent="0.25"/>
    <row r="756" s="79" customFormat="1" ht="15" customHeight="1" x14ac:dyDescent="0.25"/>
    <row r="757" s="79" customFormat="1" ht="15" customHeight="1" x14ac:dyDescent="0.25"/>
    <row r="758" s="79" customFormat="1" ht="15" customHeight="1" x14ac:dyDescent="0.25"/>
    <row r="759" s="79" customFormat="1" ht="15" customHeight="1" x14ac:dyDescent="0.25"/>
    <row r="760" s="79" customFormat="1" ht="15" customHeight="1" x14ac:dyDescent="0.25"/>
    <row r="761" s="79" customFormat="1" ht="15" customHeight="1" x14ac:dyDescent="0.25"/>
    <row r="762" s="79" customFormat="1" ht="15" customHeight="1" x14ac:dyDescent="0.25"/>
    <row r="763" s="79" customFormat="1" ht="15" customHeight="1" x14ac:dyDescent="0.25"/>
    <row r="764" s="79" customFormat="1" ht="15" customHeight="1" x14ac:dyDescent="0.25"/>
    <row r="765" s="79" customFormat="1" ht="15" customHeight="1" x14ac:dyDescent="0.25"/>
    <row r="766" s="79" customFormat="1" ht="15" customHeight="1" x14ac:dyDescent="0.25"/>
    <row r="767" s="79" customFormat="1" ht="15" customHeight="1" x14ac:dyDescent="0.25"/>
    <row r="768" s="79" customFormat="1" ht="15" customHeight="1" x14ac:dyDescent="0.25"/>
    <row r="769" s="79" customFormat="1" ht="15" customHeight="1" x14ac:dyDescent="0.25"/>
    <row r="770" s="79" customFormat="1" ht="15" customHeight="1" x14ac:dyDescent="0.25"/>
    <row r="771" s="79" customFormat="1" ht="15" customHeight="1" x14ac:dyDescent="0.25"/>
    <row r="772" s="79" customFormat="1" ht="15" customHeight="1" x14ac:dyDescent="0.25"/>
    <row r="773" s="79" customFormat="1" ht="15" customHeight="1" x14ac:dyDescent="0.25"/>
    <row r="774" s="79" customFormat="1" ht="15" customHeight="1" x14ac:dyDescent="0.25"/>
    <row r="775" s="79" customFormat="1" ht="15" customHeight="1" x14ac:dyDescent="0.25"/>
    <row r="776" s="79" customFormat="1" ht="15" customHeight="1" x14ac:dyDescent="0.25"/>
    <row r="777" s="79" customFormat="1" ht="15" customHeight="1" x14ac:dyDescent="0.25"/>
    <row r="778" s="79" customFormat="1" ht="15" customHeight="1" x14ac:dyDescent="0.25"/>
    <row r="779" s="79" customFormat="1" ht="15" customHeight="1" x14ac:dyDescent="0.25"/>
    <row r="780" s="79" customFormat="1" ht="15" customHeight="1" x14ac:dyDescent="0.25"/>
    <row r="781" s="79" customFormat="1" ht="15" customHeight="1" x14ac:dyDescent="0.25"/>
    <row r="782" s="79" customFormat="1" ht="15" customHeight="1" x14ac:dyDescent="0.25"/>
    <row r="783" s="79" customFormat="1" ht="15" customHeight="1" x14ac:dyDescent="0.25"/>
    <row r="784" s="79" customFormat="1" ht="15" customHeight="1" x14ac:dyDescent="0.25"/>
    <row r="785" s="79" customFormat="1" ht="15" customHeight="1" x14ac:dyDescent="0.25"/>
    <row r="786" s="79" customFormat="1" ht="15" customHeight="1" x14ac:dyDescent="0.25"/>
    <row r="787" s="79" customFormat="1" ht="15" customHeight="1" x14ac:dyDescent="0.25"/>
    <row r="788" s="79" customFormat="1" ht="15" customHeight="1" x14ac:dyDescent="0.25"/>
    <row r="789" s="79" customFormat="1" ht="15" customHeight="1" x14ac:dyDescent="0.25"/>
    <row r="790" s="79" customFormat="1" ht="15" customHeight="1" x14ac:dyDescent="0.25"/>
    <row r="791" s="79" customFormat="1" ht="15" customHeight="1" x14ac:dyDescent="0.25"/>
    <row r="792" s="79" customFormat="1" ht="15" customHeight="1" x14ac:dyDescent="0.25"/>
    <row r="793" s="79" customFormat="1" ht="15" customHeight="1" x14ac:dyDescent="0.25"/>
    <row r="794" s="79" customFormat="1" ht="15" customHeight="1" x14ac:dyDescent="0.25"/>
    <row r="795" s="79" customFormat="1" ht="15" customHeight="1" x14ac:dyDescent="0.25"/>
    <row r="796" s="79" customFormat="1" ht="15" customHeight="1" x14ac:dyDescent="0.25"/>
    <row r="797" s="79" customFormat="1" ht="15" customHeight="1" x14ac:dyDescent="0.25"/>
    <row r="798" s="79" customFormat="1" ht="15" customHeight="1" x14ac:dyDescent="0.25"/>
    <row r="799" s="79" customFormat="1" ht="15" customHeight="1" x14ac:dyDescent="0.25"/>
    <row r="800" s="79" customFormat="1" ht="15" customHeight="1" x14ac:dyDescent="0.25"/>
    <row r="801" s="79" customFormat="1" ht="15" customHeight="1" x14ac:dyDescent="0.25"/>
    <row r="802" s="79" customFormat="1" ht="15" customHeight="1" x14ac:dyDescent="0.25"/>
    <row r="803" s="79" customFormat="1" ht="15" customHeight="1" x14ac:dyDescent="0.25"/>
    <row r="804" s="79" customFormat="1" ht="15" customHeight="1" x14ac:dyDescent="0.25"/>
    <row r="805" s="79" customFormat="1" ht="15" customHeight="1" x14ac:dyDescent="0.25"/>
    <row r="806" s="79" customFormat="1" ht="15" customHeight="1" x14ac:dyDescent="0.25"/>
    <row r="807" s="79" customFormat="1" ht="15" customHeight="1" x14ac:dyDescent="0.25"/>
    <row r="808" s="79" customFormat="1" ht="15" customHeight="1" x14ac:dyDescent="0.25"/>
    <row r="809" s="79" customFormat="1" ht="15" customHeight="1" x14ac:dyDescent="0.25"/>
    <row r="810" s="79" customFormat="1" ht="15" customHeight="1" x14ac:dyDescent="0.25"/>
    <row r="811" s="79" customFormat="1" ht="15" customHeight="1" x14ac:dyDescent="0.25"/>
    <row r="812" s="79" customFormat="1" ht="15" customHeight="1" x14ac:dyDescent="0.25"/>
    <row r="813" s="79" customFormat="1" ht="15" customHeight="1" x14ac:dyDescent="0.25"/>
    <row r="814" s="79" customFormat="1" ht="15" customHeight="1" x14ac:dyDescent="0.25"/>
    <row r="815" s="79" customFormat="1" ht="15" customHeight="1" x14ac:dyDescent="0.25"/>
    <row r="816" s="79" customFormat="1" ht="15" customHeight="1" x14ac:dyDescent="0.25"/>
    <row r="817" s="79" customFormat="1" ht="15" customHeight="1" x14ac:dyDescent="0.25"/>
    <row r="818" s="79" customFormat="1" ht="15" customHeight="1" x14ac:dyDescent="0.25"/>
    <row r="819" s="79" customFormat="1" ht="15" customHeight="1" x14ac:dyDescent="0.25"/>
    <row r="820" s="79" customFormat="1" ht="15" customHeight="1" x14ac:dyDescent="0.25"/>
    <row r="821" s="79" customFormat="1" ht="15" customHeight="1" x14ac:dyDescent="0.25"/>
    <row r="822" s="79" customFormat="1" ht="15" customHeight="1" x14ac:dyDescent="0.25"/>
    <row r="823" s="79" customFormat="1" ht="15" customHeight="1" x14ac:dyDescent="0.25"/>
    <row r="824" s="79" customFormat="1" ht="15" customHeight="1" x14ac:dyDescent="0.25"/>
    <row r="825" s="79" customFormat="1" ht="15" customHeight="1" x14ac:dyDescent="0.25"/>
    <row r="826" s="79" customFormat="1" ht="15" customHeight="1" x14ac:dyDescent="0.25"/>
    <row r="827" s="79" customFormat="1" ht="15" customHeight="1" x14ac:dyDescent="0.25"/>
    <row r="828" s="79" customFormat="1" ht="15" customHeight="1" x14ac:dyDescent="0.25"/>
    <row r="829" s="79" customFormat="1" ht="15" customHeight="1" x14ac:dyDescent="0.25"/>
    <row r="830" s="79" customFormat="1" ht="15" customHeight="1" x14ac:dyDescent="0.25"/>
    <row r="831" s="79" customFormat="1" ht="15" customHeight="1" x14ac:dyDescent="0.25"/>
    <row r="832" s="79" customFormat="1" ht="15" customHeight="1" x14ac:dyDescent="0.25"/>
    <row r="833" s="79" customFormat="1" ht="15" customHeight="1" x14ac:dyDescent="0.25"/>
    <row r="834" s="79" customFormat="1" ht="15" customHeight="1" x14ac:dyDescent="0.25"/>
    <row r="835" s="79" customFormat="1" ht="15" customHeight="1" x14ac:dyDescent="0.25"/>
    <row r="836" s="79" customFormat="1" ht="15" customHeight="1" x14ac:dyDescent="0.25"/>
    <row r="837" s="79" customFormat="1" ht="15" customHeight="1" x14ac:dyDescent="0.25"/>
    <row r="838" s="79" customFormat="1" ht="15" customHeight="1" x14ac:dyDescent="0.25"/>
    <row r="839" s="79" customFormat="1" ht="15" customHeight="1" x14ac:dyDescent="0.25"/>
    <row r="840" s="79" customFormat="1" ht="15" customHeight="1" x14ac:dyDescent="0.25"/>
    <row r="841" s="79" customFormat="1" ht="15" customHeight="1" x14ac:dyDescent="0.25"/>
    <row r="842" s="79" customFormat="1" ht="15" customHeight="1" x14ac:dyDescent="0.25"/>
    <row r="843" s="79" customFormat="1" ht="15" customHeight="1" x14ac:dyDescent="0.25"/>
    <row r="844" s="79" customFormat="1" ht="15" customHeight="1" x14ac:dyDescent="0.25"/>
    <row r="845" s="79" customFormat="1" ht="15" customHeight="1" x14ac:dyDescent="0.25"/>
    <row r="846" s="79" customFormat="1" ht="15" customHeight="1" x14ac:dyDescent="0.25"/>
    <row r="847" s="79" customFormat="1" ht="15" customHeight="1" x14ac:dyDescent="0.25"/>
    <row r="848" s="79" customFormat="1" ht="15" customHeight="1" x14ac:dyDescent="0.25"/>
    <row r="849" s="79" customFormat="1" ht="15" customHeight="1" x14ac:dyDescent="0.25"/>
    <row r="850" s="79" customFormat="1" ht="15" customHeight="1" x14ac:dyDescent="0.25"/>
    <row r="851" s="79" customFormat="1" ht="15" customHeight="1" x14ac:dyDescent="0.25"/>
    <row r="852" s="79" customFormat="1" ht="15" customHeight="1" x14ac:dyDescent="0.25"/>
    <row r="853" s="79" customFormat="1" ht="15" customHeight="1" x14ac:dyDescent="0.25"/>
    <row r="854" s="79" customFormat="1" ht="15" customHeight="1" x14ac:dyDescent="0.25"/>
    <row r="855" s="79" customFormat="1" ht="15" customHeight="1" x14ac:dyDescent="0.25"/>
    <row r="856" s="79" customFormat="1" ht="15" customHeight="1" x14ac:dyDescent="0.25"/>
    <row r="857" s="79" customFormat="1" ht="15" customHeight="1" x14ac:dyDescent="0.25"/>
    <row r="858" s="79" customFormat="1" ht="15" customHeight="1" x14ac:dyDescent="0.25"/>
    <row r="859" s="79" customFormat="1" ht="15" customHeight="1" x14ac:dyDescent="0.25"/>
    <row r="860" s="79" customFormat="1" ht="15" customHeight="1" x14ac:dyDescent="0.25"/>
    <row r="861" s="79" customFormat="1" ht="15" customHeight="1" x14ac:dyDescent="0.25"/>
    <row r="862" s="79" customFormat="1" ht="15" customHeight="1" x14ac:dyDescent="0.25"/>
    <row r="863" s="79" customFormat="1" ht="15" customHeight="1" x14ac:dyDescent="0.25"/>
    <row r="864" s="79" customFormat="1" ht="15" customHeight="1" x14ac:dyDescent="0.25"/>
    <row r="865" s="79" customFormat="1" ht="15" customHeight="1" x14ac:dyDescent="0.25"/>
    <row r="866" s="79" customFormat="1" ht="15" customHeight="1" x14ac:dyDescent="0.25"/>
    <row r="867" s="79" customFormat="1" ht="15" customHeight="1" x14ac:dyDescent="0.25"/>
    <row r="868" s="79" customFormat="1" ht="15" customHeight="1" x14ac:dyDescent="0.25"/>
    <row r="869" s="79" customFormat="1" ht="15" customHeight="1" x14ac:dyDescent="0.25"/>
    <row r="870" s="79" customFormat="1" ht="15" customHeight="1" x14ac:dyDescent="0.25"/>
    <row r="871" s="79" customFormat="1" ht="15" customHeight="1" x14ac:dyDescent="0.25"/>
    <row r="872" s="79" customFormat="1" ht="15" customHeight="1" x14ac:dyDescent="0.25"/>
    <row r="873" s="79" customFormat="1" ht="15" customHeight="1" x14ac:dyDescent="0.25"/>
    <row r="874" s="79" customFormat="1" ht="15" customHeight="1" x14ac:dyDescent="0.25"/>
    <row r="875" s="79" customFormat="1" ht="15" customHeight="1" x14ac:dyDescent="0.25"/>
    <row r="876" s="79" customFormat="1" ht="15" customHeight="1" x14ac:dyDescent="0.25"/>
    <row r="877" s="79" customFormat="1" ht="15" customHeight="1" x14ac:dyDescent="0.25"/>
    <row r="878" s="79" customFormat="1" ht="15" customHeight="1" x14ac:dyDescent="0.25"/>
    <row r="879" s="79" customFormat="1" ht="15" customHeight="1" x14ac:dyDescent="0.25"/>
    <row r="880" s="79" customFormat="1" ht="15" customHeight="1" x14ac:dyDescent="0.25"/>
    <row r="881" s="79" customFormat="1" ht="15" customHeight="1" x14ac:dyDescent="0.25"/>
    <row r="882" s="79" customFormat="1" ht="15" customHeight="1" x14ac:dyDescent="0.25"/>
    <row r="883" s="79" customFormat="1" ht="15" customHeight="1" x14ac:dyDescent="0.25"/>
    <row r="884" s="79" customFormat="1" ht="15" customHeight="1" x14ac:dyDescent="0.25"/>
    <row r="885" s="79" customFormat="1" ht="15" customHeight="1" x14ac:dyDescent="0.25"/>
    <row r="886" s="79" customFormat="1" ht="15" customHeight="1" x14ac:dyDescent="0.25"/>
    <row r="887" s="79" customFormat="1" ht="15" customHeight="1" x14ac:dyDescent="0.25"/>
    <row r="888" s="79" customFormat="1" ht="15" customHeight="1" x14ac:dyDescent="0.25"/>
    <row r="889" s="79" customFormat="1" ht="15" customHeight="1" x14ac:dyDescent="0.25"/>
    <row r="890" s="79" customFormat="1" ht="15" customHeight="1" x14ac:dyDescent="0.25"/>
    <row r="891" s="79" customFormat="1" ht="15" customHeight="1" x14ac:dyDescent="0.25"/>
    <row r="892" s="79" customFormat="1" ht="15" customHeight="1" x14ac:dyDescent="0.25"/>
    <row r="893" s="79" customFormat="1" ht="15" customHeight="1" x14ac:dyDescent="0.25"/>
    <row r="894" s="79" customFormat="1" ht="15" customHeight="1" x14ac:dyDescent="0.25"/>
    <row r="895" s="79" customFormat="1" ht="15" customHeight="1" x14ac:dyDescent="0.25"/>
    <row r="896" s="79" customFormat="1" ht="15" customHeight="1" x14ac:dyDescent="0.25"/>
    <row r="897" s="79" customFormat="1" ht="15" customHeight="1" x14ac:dyDescent="0.25"/>
    <row r="898" s="79" customFormat="1" ht="15" customHeight="1" x14ac:dyDescent="0.25"/>
    <row r="899" s="79" customFormat="1" ht="15" customHeight="1" x14ac:dyDescent="0.25"/>
    <row r="900" s="79" customFormat="1" ht="15" customHeight="1" x14ac:dyDescent="0.25"/>
    <row r="901" s="79" customFormat="1" ht="15" customHeight="1" x14ac:dyDescent="0.25"/>
    <row r="902" s="79" customFormat="1" ht="15" customHeight="1" x14ac:dyDescent="0.25"/>
    <row r="903" s="79" customFormat="1" ht="15" customHeight="1" x14ac:dyDescent="0.25"/>
    <row r="904" s="79" customFormat="1" ht="15" customHeight="1" x14ac:dyDescent="0.25"/>
    <row r="905" s="79" customFormat="1" ht="15" customHeight="1" x14ac:dyDescent="0.25"/>
    <row r="906" s="79" customFormat="1" ht="15" customHeight="1" x14ac:dyDescent="0.25"/>
    <row r="907" s="79" customFormat="1" ht="15" customHeight="1" x14ac:dyDescent="0.25"/>
    <row r="908" s="79" customFormat="1" ht="15" customHeight="1" x14ac:dyDescent="0.25"/>
    <row r="909" s="79" customFormat="1" ht="15" customHeight="1" x14ac:dyDescent="0.25"/>
    <row r="910" s="79" customFormat="1" ht="15" customHeight="1" x14ac:dyDescent="0.25"/>
    <row r="911" s="79" customFormat="1" ht="15" customHeight="1" x14ac:dyDescent="0.25"/>
    <row r="912" s="79" customFormat="1" ht="15" customHeight="1" x14ac:dyDescent="0.25"/>
    <row r="913" s="79" customFormat="1" ht="15" customHeight="1" x14ac:dyDescent="0.25"/>
    <row r="914" s="79" customFormat="1" ht="15" customHeight="1" x14ac:dyDescent="0.25"/>
    <row r="915" s="79" customFormat="1" ht="15" customHeight="1" x14ac:dyDescent="0.25"/>
    <row r="916" s="79" customFormat="1" ht="15" customHeight="1" x14ac:dyDescent="0.25"/>
    <row r="917" s="79" customFormat="1" ht="15" customHeight="1" x14ac:dyDescent="0.25"/>
    <row r="918" s="79" customFormat="1" ht="15" customHeight="1" x14ac:dyDescent="0.25"/>
    <row r="919" s="79" customFormat="1" ht="15" customHeight="1" x14ac:dyDescent="0.25"/>
    <row r="920" s="79" customFormat="1" ht="15" customHeight="1" x14ac:dyDescent="0.25"/>
    <row r="921" s="79" customFormat="1" ht="15" customHeight="1" x14ac:dyDescent="0.25"/>
    <row r="922" s="79" customFormat="1" ht="15" customHeight="1" x14ac:dyDescent="0.25"/>
    <row r="923" s="79" customFormat="1" ht="15" customHeight="1" x14ac:dyDescent="0.25"/>
    <row r="924" s="79" customFormat="1" ht="15" customHeight="1" x14ac:dyDescent="0.25"/>
    <row r="925" s="79" customFormat="1" ht="15" customHeight="1" x14ac:dyDescent="0.25"/>
    <row r="926" s="79" customFormat="1" ht="15" customHeight="1" x14ac:dyDescent="0.25"/>
    <row r="927" s="79" customFormat="1" ht="15" customHeight="1" x14ac:dyDescent="0.25"/>
    <row r="928" s="79" customFormat="1" ht="15" customHeight="1" x14ac:dyDescent="0.25"/>
    <row r="929" s="79" customFormat="1" ht="15" customHeight="1" x14ac:dyDescent="0.25"/>
    <row r="930" s="79" customFormat="1" ht="15" customHeight="1" x14ac:dyDescent="0.25"/>
    <row r="931" s="79" customFormat="1" ht="15" customHeight="1" x14ac:dyDescent="0.25"/>
    <row r="932" s="79" customFormat="1" ht="15" customHeight="1" x14ac:dyDescent="0.25"/>
    <row r="933" s="79" customFormat="1" ht="15" customHeight="1" x14ac:dyDescent="0.25"/>
    <row r="934" s="79" customFormat="1" ht="15" customHeight="1" x14ac:dyDescent="0.25"/>
    <row r="935" s="79" customFormat="1" ht="15" customHeight="1" x14ac:dyDescent="0.25"/>
    <row r="936" s="79" customFormat="1" ht="15" customHeight="1" x14ac:dyDescent="0.25"/>
    <row r="937" s="79" customFormat="1" ht="15" customHeight="1" x14ac:dyDescent="0.25"/>
    <row r="938" s="79" customFormat="1" ht="15" customHeight="1" x14ac:dyDescent="0.25"/>
    <row r="939" s="79" customFormat="1" ht="15" customHeight="1" x14ac:dyDescent="0.25"/>
    <row r="940" s="79" customFormat="1" ht="15" customHeight="1" x14ac:dyDescent="0.25"/>
    <row r="941" s="79" customFormat="1" ht="15" customHeight="1" x14ac:dyDescent="0.25"/>
    <row r="942" s="79" customFormat="1" ht="15" customHeight="1" x14ac:dyDescent="0.25"/>
    <row r="943" s="79" customFormat="1" ht="15" customHeight="1" x14ac:dyDescent="0.25"/>
    <row r="944" s="79" customFormat="1" ht="15" customHeight="1" x14ac:dyDescent="0.25"/>
    <row r="945" s="79" customFormat="1" ht="15" customHeight="1" x14ac:dyDescent="0.25"/>
    <row r="946" s="79" customFormat="1" ht="15" customHeight="1" x14ac:dyDescent="0.25"/>
    <row r="947" s="79" customFormat="1" ht="15" customHeight="1" x14ac:dyDescent="0.25"/>
    <row r="948" s="79" customFormat="1" ht="15" customHeight="1" x14ac:dyDescent="0.25"/>
    <row r="949" s="79" customFormat="1" ht="15" customHeight="1" x14ac:dyDescent="0.25"/>
    <row r="950" s="79" customFormat="1" ht="15" customHeight="1" x14ac:dyDescent="0.25"/>
    <row r="951" s="79" customFormat="1" ht="15" customHeight="1" x14ac:dyDescent="0.25"/>
    <row r="952" s="79" customFormat="1" ht="15" customHeight="1" x14ac:dyDescent="0.25"/>
    <row r="953" s="79" customFormat="1" ht="15" customHeight="1" x14ac:dyDescent="0.25"/>
    <row r="954" s="79" customFormat="1" ht="15" customHeight="1" x14ac:dyDescent="0.25"/>
    <row r="955" s="79" customFormat="1" ht="15" customHeight="1" x14ac:dyDescent="0.25"/>
    <row r="956" s="79" customFormat="1" ht="15" customHeight="1" x14ac:dyDescent="0.25"/>
    <row r="957" s="79" customFormat="1" ht="15" customHeight="1" x14ac:dyDescent="0.25"/>
    <row r="958" s="79" customFormat="1" ht="15" customHeight="1" x14ac:dyDescent="0.25"/>
    <row r="959" s="79" customFormat="1" ht="15" customHeight="1" x14ac:dyDescent="0.25"/>
    <row r="960" s="79" customFormat="1" ht="15" customHeight="1" x14ac:dyDescent="0.25"/>
    <row r="961" s="79" customFormat="1" ht="15" customHeight="1" x14ac:dyDescent="0.25"/>
    <row r="962" s="79" customFormat="1" ht="15" customHeight="1" x14ac:dyDescent="0.25"/>
    <row r="963" s="79" customFormat="1" ht="15" customHeight="1" x14ac:dyDescent="0.25"/>
    <row r="964" s="79" customFormat="1" ht="15" customHeight="1" x14ac:dyDescent="0.25"/>
    <row r="965" s="79" customFormat="1" ht="15" customHeight="1" x14ac:dyDescent="0.25"/>
    <row r="966" s="79" customFormat="1" ht="15" customHeight="1" x14ac:dyDescent="0.25"/>
    <row r="967" s="79" customFormat="1" ht="15" customHeight="1" x14ac:dyDescent="0.25"/>
    <row r="968" s="79" customFormat="1" ht="15" customHeight="1" x14ac:dyDescent="0.25"/>
    <row r="969" s="79" customFormat="1" ht="15" customHeight="1" x14ac:dyDescent="0.25"/>
    <row r="970" s="79" customFormat="1" ht="15" customHeight="1" x14ac:dyDescent="0.25"/>
    <row r="971" s="79" customFormat="1" ht="15" customHeight="1" x14ac:dyDescent="0.25"/>
    <row r="972" s="79" customFormat="1" ht="15" customHeight="1" x14ac:dyDescent="0.25"/>
    <row r="973" s="79" customFormat="1" ht="15" customHeight="1" x14ac:dyDescent="0.25"/>
    <row r="974" s="79" customFormat="1" ht="15" customHeight="1" x14ac:dyDescent="0.25"/>
    <row r="975" s="79" customFormat="1" ht="15" customHeight="1" x14ac:dyDescent="0.25"/>
    <row r="976" s="79" customFormat="1" ht="15" customHeight="1" x14ac:dyDescent="0.25"/>
    <row r="977" s="79" customFormat="1" ht="15" customHeight="1" x14ac:dyDescent="0.25"/>
    <row r="978" s="79" customFormat="1" ht="15" customHeight="1" x14ac:dyDescent="0.25"/>
    <row r="979" s="79" customFormat="1" ht="15" customHeight="1" x14ac:dyDescent="0.25"/>
    <row r="980" s="79" customFormat="1" ht="15" customHeight="1" x14ac:dyDescent="0.25"/>
    <row r="981" s="79" customFormat="1" ht="15" customHeight="1" x14ac:dyDescent="0.25"/>
    <row r="982" s="79" customFormat="1" ht="15" customHeight="1" x14ac:dyDescent="0.25"/>
    <row r="983" s="79" customFormat="1" ht="15" customHeight="1" x14ac:dyDescent="0.25"/>
    <row r="984" s="79" customFormat="1" ht="15" customHeight="1" x14ac:dyDescent="0.25"/>
    <row r="985" s="79" customFormat="1" ht="15" customHeight="1" x14ac:dyDescent="0.25"/>
    <row r="986" s="79" customFormat="1" ht="15" customHeight="1" x14ac:dyDescent="0.25"/>
    <row r="987" s="79" customFormat="1" ht="15" customHeight="1" x14ac:dyDescent="0.25"/>
    <row r="988" s="79" customFormat="1" ht="15" customHeight="1" x14ac:dyDescent="0.25"/>
    <row r="989" s="79" customFormat="1" ht="15" customHeight="1" x14ac:dyDescent="0.25"/>
    <row r="990" s="79" customFormat="1" ht="15" customHeight="1" x14ac:dyDescent="0.25"/>
    <row r="991" s="79" customFormat="1" ht="15" customHeight="1" x14ac:dyDescent="0.25"/>
    <row r="992" s="79" customFormat="1" ht="15" customHeight="1" x14ac:dyDescent="0.25"/>
    <row r="993" s="79" customFormat="1" ht="15" customHeight="1" x14ac:dyDescent="0.25"/>
    <row r="994" s="79" customFormat="1" ht="15" customHeight="1" x14ac:dyDescent="0.25"/>
    <row r="995" s="79" customFormat="1" ht="15" customHeight="1" x14ac:dyDescent="0.25"/>
    <row r="996" s="79" customFormat="1" ht="15" customHeight="1" x14ac:dyDescent="0.25"/>
    <row r="997" s="79" customFormat="1" ht="15" customHeight="1" x14ac:dyDescent="0.25"/>
    <row r="998" s="79" customFormat="1" ht="15" customHeight="1" x14ac:dyDescent="0.25"/>
    <row r="999" s="79" customFormat="1" ht="15" customHeight="1" x14ac:dyDescent="0.25"/>
    <row r="1000" s="79" customFormat="1" ht="15" customHeight="1" x14ac:dyDescent="0.25"/>
    <row r="1001" s="79" customFormat="1" ht="15" customHeight="1" x14ac:dyDescent="0.25"/>
    <row r="1002" s="79" customFormat="1" ht="15" customHeight="1" x14ac:dyDescent="0.25"/>
    <row r="1003" s="79" customFormat="1" ht="15" customHeight="1" x14ac:dyDescent="0.25"/>
    <row r="1004" s="79" customFormat="1" ht="15" customHeight="1" x14ac:dyDescent="0.25"/>
    <row r="1005" s="79" customFormat="1" ht="15" customHeight="1" x14ac:dyDescent="0.25"/>
    <row r="1006" s="79" customFormat="1" ht="15" customHeight="1" x14ac:dyDescent="0.25"/>
    <row r="1007" s="79" customFormat="1" ht="15" customHeight="1" x14ac:dyDescent="0.25"/>
    <row r="1008" s="79" customFormat="1" ht="15" customHeight="1" x14ac:dyDescent="0.25"/>
    <row r="1009" s="79" customFormat="1" ht="15" customHeight="1" x14ac:dyDescent="0.25"/>
    <row r="1010" s="79" customFormat="1" ht="15" customHeight="1" x14ac:dyDescent="0.25"/>
    <row r="1011" s="79" customFormat="1" ht="15" customHeight="1" x14ac:dyDescent="0.25"/>
    <row r="1012" s="79" customFormat="1" ht="15" customHeight="1" x14ac:dyDescent="0.25"/>
    <row r="1013" s="79" customFormat="1" ht="15" customHeight="1" x14ac:dyDescent="0.25"/>
    <row r="1014" s="79" customFormat="1" ht="15" customHeight="1" x14ac:dyDescent="0.25"/>
    <row r="1015" s="79" customFormat="1" ht="15" customHeight="1" x14ac:dyDescent="0.25"/>
    <row r="1016" s="79" customFormat="1" ht="15" customHeight="1" x14ac:dyDescent="0.25"/>
    <row r="1017" s="79" customFormat="1" ht="15" customHeight="1" x14ac:dyDescent="0.25"/>
    <row r="1018" s="79" customFormat="1" ht="15" customHeight="1" x14ac:dyDescent="0.25"/>
    <row r="1019" s="79" customFormat="1" ht="15" customHeight="1" x14ac:dyDescent="0.25"/>
    <row r="1020" s="79" customFormat="1" ht="15" customHeight="1" x14ac:dyDescent="0.25"/>
    <row r="1021" s="79" customFormat="1" ht="15" customHeight="1" x14ac:dyDescent="0.25"/>
    <row r="1022" s="79" customFormat="1" ht="15" customHeight="1" x14ac:dyDescent="0.25"/>
    <row r="1023" s="79" customFormat="1" ht="15" customHeight="1" x14ac:dyDescent="0.25"/>
    <row r="1024" s="79" customFormat="1" ht="15" customHeight="1" x14ac:dyDescent="0.25"/>
    <row r="1025" s="79" customFormat="1" ht="15" customHeight="1" x14ac:dyDescent="0.25"/>
    <row r="1026" s="79" customFormat="1" ht="15" customHeight="1" x14ac:dyDescent="0.25"/>
    <row r="1027" s="79" customFormat="1" ht="15" customHeight="1" x14ac:dyDescent="0.25"/>
    <row r="1028" s="79" customFormat="1" ht="15" customHeight="1" x14ac:dyDescent="0.25"/>
    <row r="1029" s="79" customFormat="1" ht="15" customHeight="1" x14ac:dyDescent="0.25"/>
    <row r="1030" s="79" customFormat="1" ht="15" customHeight="1" x14ac:dyDescent="0.25"/>
    <row r="1031" s="79" customFormat="1" ht="15" customHeight="1" x14ac:dyDescent="0.25"/>
    <row r="1032" s="79" customFormat="1" ht="15" customHeight="1" x14ac:dyDescent="0.25"/>
    <row r="1033" s="79" customFormat="1" ht="15" customHeight="1" x14ac:dyDescent="0.25"/>
    <row r="1034" s="79" customFormat="1" ht="15" customHeight="1" x14ac:dyDescent="0.25"/>
    <row r="1035" s="79" customFormat="1" ht="15" customHeight="1" x14ac:dyDescent="0.25"/>
    <row r="1036" s="79" customFormat="1" ht="15" customHeight="1" x14ac:dyDescent="0.25"/>
    <row r="1037" s="79" customFormat="1" ht="15" customHeight="1" x14ac:dyDescent="0.25"/>
    <row r="1038" s="79" customFormat="1" ht="15" customHeight="1" x14ac:dyDescent="0.25"/>
    <row r="1039" s="79" customFormat="1" ht="15" customHeight="1" x14ac:dyDescent="0.25"/>
    <row r="1040" s="79" customFormat="1" ht="15" customHeight="1" x14ac:dyDescent="0.25"/>
    <row r="1041" s="79" customFormat="1" ht="15" customHeight="1" x14ac:dyDescent="0.25"/>
    <row r="1042" s="79" customFormat="1" ht="15" customHeight="1" x14ac:dyDescent="0.25"/>
    <row r="1043" s="79" customFormat="1" ht="15" customHeight="1" x14ac:dyDescent="0.25"/>
    <row r="1044" s="79" customFormat="1" ht="15" customHeight="1" x14ac:dyDescent="0.25"/>
    <row r="1045" s="79" customFormat="1" ht="15" customHeight="1" x14ac:dyDescent="0.25"/>
    <row r="1046" s="79" customFormat="1" ht="15" customHeight="1" x14ac:dyDescent="0.25"/>
    <row r="1047" s="79" customFormat="1" ht="15" customHeight="1" x14ac:dyDescent="0.25"/>
    <row r="1048" s="79" customFormat="1" ht="15" customHeight="1" x14ac:dyDescent="0.25"/>
    <row r="1049" s="79" customFormat="1" ht="15" customHeight="1" x14ac:dyDescent="0.25"/>
    <row r="1050" s="79" customFormat="1" ht="15" customHeight="1" x14ac:dyDescent="0.25"/>
    <row r="1051" s="79" customFormat="1" ht="15" customHeight="1" x14ac:dyDescent="0.25"/>
    <row r="1052" s="79" customFormat="1" ht="15" customHeight="1" x14ac:dyDescent="0.25"/>
    <row r="1053" s="79" customFormat="1" ht="15" customHeight="1" x14ac:dyDescent="0.25"/>
    <row r="1054" s="79" customFormat="1" ht="15" customHeight="1" x14ac:dyDescent="0.25"/>
    <row r="1055" s="79" customFormat="1" ht="15" customHeight="1" x14ac:dyDescent="0.25"/>
    <row r="1056" s="79" customFormat="1" ht="15" customHeight="1" x14ac:dyDescent="0.25"/>
    <row r="1057" s="79" customFormat="1" ht="15" customHeight="1" x14ac:dyDescent="0.25"/>
    <row r="1058" s="79" customFormat="1" ht="15" customHeight="1" x14ac:dyDescent="0.25"/>
    <row r="1059" s="79" customFormat="1" ht="15" customHeight="1" x14ac:dyDescent="0.25"/>
    <row r="1060" s="79" customFormat="1" ht="15" customHeight="1" x14ac:dyDescent="0.25"/>
    <row r="1061" s="79" customFormat="1" ht="15" customHeight="1" x14ac:dyDescent="0.25"/>
    <row r="1062" s="79" customFormat="1" ht="15" customHeight="1" x14ac:dyDescent="0.25"/>
    <row r="1063" s="79" customFormat="1" ht="15" customHeight="1" x14ac:dyDescent="0.25"/>
    <row r="1064" s="79" customFormat="1" ht="15" customHeight="1" x14ac:dyDescent="0.25"/>
    <row r="1065" s="79" customFormat="1" ht="15" customHeight="1" x14ac:dyDescent="0.25"/>
    <row r="1066" s="79" customFormat="1" ht="15" customHeight="1" x14ac:dyDescent="0.25"/>
    <row r="1067" s="79" customFormat="1" ht="15" customHeight="1" x14ac:dyDescent="0.25"/>
    <row r="1068" s="79" customFormat="1" ht="15" customHeight="1" x14ac:dyDescent="0.25"/>
    <row r="1069" s="79" customFormat="1" ht="15" customHeight="1" x14ac:dyDescent="0.25"/>
    <row r="1070" s="79" customFormat="1" ht="15" customHeight="1" x14ac:dyDescent="0.25"/>
    <row r="1071" s="79" customFormat="1" ht="15" customHeight="1" x14ac:dyDescent="0.25"/>
    <row r="1072" s="79" customFormat="1" ht="15" customHeight="1" x14ac:dyDescent="0.25"/>
    <row r="1073" s="79" customFormat="1" ht="15" customHeight="1" x14ac:dyDescent="0.25"/>
    <row r="1074" s="79" customFormat="1" ht="15" customHeight="1" x14ac:dyDescent="0.25"/>
    <row r="1075" s="79" customFormat="1" ht="15" customHeight="1" x14ac:dyDescent="0.25"/>
    <row r="1076" s="79" customFormat="1" ht="15" customHeight="1" x14ac:dyDescent="0.25"/>
    <row r="1077" s="79" customFormat="1" ht="15" customHeight="1" x14ac:dyDescent="0.25"/>
    <row r="1078" s="79" customFormat="1" ht="15" customHeight="1" x14ac:dyDescent="0.25"/>
    <row r="1079" s="79" customFormat="1" ht="15" customHeight="1" x14ac:dyDescent="0.25"/>
    <row r="1080" s="79" customFormat="1" ht="15" customHeight="1" x14ac:dyDescent="0.25"/>
    <row r="1081" s="79" customFormat="1" ht="15" customHeight="1" x14ac:dyDescent="0.25"/>
    <row r="1082" s="79" customFormat="1" ht="15" customHeight="1" x14ac:dyDescent="0.25"/>
    <row r="1083" s="79" customFormat="1" ht="15" customHeight="1" x14ac:dyDescent="0.25"/>
    <row r="1084" s="79" customFormat="1" ht="15" customHeight="1" x14ac:dyDescent="0.25"/>
    <row r="1085" s="79" customFormat="1" ht="15" customHeight="1" x14ac:dyDescent="0.25"/>
    <row r="1086" s="79" customFormat="1" ht="15" customHeight="1" x14ac:dyDescent="0.25"/>
    <row r="1087" s="79" customFormat="1" ht="15" customHeight="1" x14ac:dyDescent="0.25"/>
    <row r="1088" s="79" customFormat="1" ht="15" customHeight="1" x14ac:dyDescent="0.25"/>
    <row r="1089" s="79" customFormat="1" ht="15" customHeight="1" x14ac:dyDescent="0.25"/>
    <row r="1090" s="79" customFormat="1" ht="15" customHeight="1" x14ac:dyDescent="0.25"/>
    <row r="1091" s="79" customFormat="1" ht="15" customHeight="1" x14ac:dyDescent="0.25"/>
    <row r="1092" s="79" customFormat="1" ht="15" customHeight="1" x14ac:dyDescent="0.25"/>
    <row r="1093" s="79" customFormat="1" ht="15" customHeight="1" x14ac:dyDescent="0.25"/>
    <row r="1094" s="79" customFormat="1" ht="15" customHeight="1" x14ac:dyDescent="0.25"/>
    <row r="1095" s="79" customFormat="1" ht="15" customHeight="1" x14ac:dyDescent="0.25"/>
    <row r="1096" s="79" customFormat="1" ht="15" customHeight="1" x14ac:dyDescent="0.25"/>
    <row r="1097" s="79" customFormat="1" ht="15" customHeight="1" x14ac:dyDescent="0.25"/>
    <row r="1098" s="79" customFormat="1" ht="15" customHeight="1" x14ac:dyDescent="0.25"/>
    <row r="1099" s="79" customFormat="1" ht="15" customHeight="1" x14ac:dyDescent="0.25"/>
    <row r="1100" s="79" customFormat="1" ht="15" customHeight="1" x14ac:dyDescent="0.25"/>
    <row r="1101" s="79" customFormat="1" ht="15" customHeight="1" x14ac:dyDescent="0.25"/>
    <row r="1102" s="79" customFormat="1" ht="15" customHeight="1" x14ac:dyDescent="0.25"/>
    <row r="1103" s="79" customFormat="1" ht="15" customHeight="1" x14ac:dyDescent="0.25"/>
    <row r="1104" s="79" customFormat="1" ht="15" customHeight="1" x14ac:dyDescent="0.25"/>
    <row r="1105" s="79" customFormat="1" ht="15" customHeight="1" x14ac:dyDescent="0.25"/>
    <row r="1106" s="79" customFormat="1" ht="15" customHeight="1" x14ac:dyDescent="0.25"/>
    <row r="1107" s="79" customFormat="1" ht="15" customHeight="1" x14ac:dyDescent="0.25"/>
    <row r="1108" s="79" customFormat="1" ht="15" customHeight="1" x14ac:dyDescent="0.25"/>
    <row r="1109" s="79" customFormat="1" ht="15" customHeight="1" x14ac:dyDescent="0.25"/>
    <row r="1110" s="79" customFormat="1" ht="15" customHeight="1" x14ac:dyDescent="0.25"/>
    <row r="1111" s="79" customFormat="1" ht="15" customHeight="1" x14ac:dyDescent="0.25"/>
    <row r="1112" s="79" customFormat="1" ht="15" customHeight="1" x14ac:dyDescent="0.25"/>
    <row r="1113" s="79" customFormat="1" ht="15" customHeight="1" x14ac:dyDescent="0.25"/>
    <row r="1114" s="79" customFormat="1" ht="15" customHeight="1" x14ac:dyDescent="0.25"/>
    <row r="1115" s="79" customFormat="1" ht="15" customHeight="1" x14ac:dyDescent="0.25"/>
    <row r="1116" s="79" customFormat="1" ht="15" customHeight="1" x14ac:dyDescent="0.25"/>
    <row r="1117" s="79" customFormat="1" ht="15" customHeight="1" x14ac:dyDescent="0.25"/>
    <row r="1118" s="79" customFormat="1" ht="15" customHeight="1" x14ac:dyDescent="0.25"/>
    <row r="1119" s="79" customFormat="1" ht="15" customHeight="1" x14ac:dyDescent="0.25"/>
    <row r="1120" s="79" customFormat="1" ht="15" customHeight="1" x14ac:dyDescent="0.25"/>
    <row r="1121" s="79" customFormat="1" ht="15" customHeight="1" x14ac:dyDescent="0.25"/>
    <row r="1122" s="79" customFormat="1" ht="15" customHeight="1" x14ac:dyDescent="0.25"/>
    <row r="1123" s="79" customFormat="1" ht="15" customHeight="1" x14ac:dyDescent="0.25"/>
    <row r="1124" s="79" customFormat="1" ht="15" customHeight="1" x14ac:dyDescent="0.25"/>
    <row r="1125" s="79" customFormat="1" ht="15" customHeight="1" x14ac:dyDescent="0.25"/>
    <row r="1126" s="79" customFormat="1" ht="15" customHeight="1" x14ac:dyDescent="0.25"/>
    <row r="1127" s="79" customFormat="1" ht="15" customHeight="1" x14ac:dyDescent="0.25"/>
    <row r="1128" s="79" customFormat="1" ht="15" customHeight="1" x14ac:dyDescent="0.25"/>
    <row r="1129" s="79" customFormat="1" ht="15" customHeight="1" x14ac:dyDescent="0.25"/>
    <row r="1130" s="79" customFormat="1" ht="15" customHeight="1" x14ac:dyDescent="0.25"/>
    <row r="1131" s="79" customFormat="1" ht="15" customHeight="1" x14ac:dyDescent="0.25"/>
    <row r="1132" s="79" customFormat="1" ht="15" customHeight="1" x14ac:dyDescent="0.25"/>
    <row r="1133" s="79" customFormat="1" ht="15" customHeight="1" x14ac:dyDescent="0.25"/>
    <row r="1134" s="79" customFormat="1" ht="15" customHeight="1" x14ac:dyDescent="0.25"/>
    <row r="1135" s="79" customFormat="1" ht="15" customHeight="1" x14ac:dyDescent="0.25"/>
    <row r="1136" s="79" customFormat="1" ht="15" customHeight="1" x14ac:dyDescent="0.25"/>
    <row r="1137" s="79" customFormat="1" ht="15" customHeight="1" x14ac:dyDescent="0.25"/>
    <row r="1138" s="79" customFormat="1" ht="15" customHeight="1" x14ac:dyDescent="0.25"/>
    <row r="1139" s="79" customFormat="1" ht="15" customHeight="1" x14ac:dyDescent="0.25"/>
    <row r="1140" s="79" customFormat="1" ht="15" customHeight="1" x14ac:dyDescent="0.25"/>
    <row r="1141" s="79" customFormat="1" ht="15" customHeight="1" x14ac:dyDescent="0.25"/>
    <row r="1142" s="79" customFormat="1" ht="15" customHeight="1" x14ac:dyDescent="0.25"/>
    <row r="1143" s="79" customFormat="1" ht="15" customHeight="1" x14ac:dyDescent="0.25"/>
    <row r="1144" s="79" customFormat="1" ht="15" customHeight="1" x14ac:dyDescent="0.25"/>
    <row r="1145" s="79" customFormat="1" ht="15" customHeight="1" x14ac:dyDescent="0.25"/>
    <row r="1146" s="79" customFormat="1" ht="15" customHeight="1" x14ac:dyDescent="0.25"/>
    <row r="1147" s="79" customFormat="1" ht="15" customHeight="1" x14ac:dyDescent="0.25"/>
    <row r="1148" s="79" customFormat="1" ht="15" customHeight="1" x14ac:dyDescent="0.25"/>
    <row r="1149" s="79" customFormat="1" ht="15" customHeight="1" x14ac:dyDescent="0.25"/>
    <row r="1150" s="79" customFormat="1" ht="15" customHeight="1" x14ac:dyDescent="0.25"/>
    <row r="1151" s="79" customFormat="1" ht="15" customHeight="1" x14ac:dyDescent="0.25"/>
    <row r="1152" s="79" customFormat="1" ht="15" customHeight="1" x14ac:dyDescent="0.25"/>
    <row r="1153" s="79" customFormat="1" ht="15" customHeight="1" x14ac:dyDescent="0.25"/>
    <row r="1154" s="79" customFormat="1" ht="15" customHeight="1" x14ac:dyDescent="0.25"/>
    <row r="1155" s="79" customFormat="1" ht="15" customHeight="1" x14ac:dyDescent="0.25"/>
    <row r="1156" s="79" customFormat="1" ht="15" customHeight="1" x14ac:dyDescent="0.25"/>
    <row r="1157" s="79" customFormat="1" ht="15" customHeight="1" x14ac:dyDescent="0.25"/>
    <row r="1158" s="79" customFormat="1" ht="15" customHeight="1" x14ac:dyDescent="0.25"/>
    <row r="1159" s="79" customFormat="1" ht="15" customHeight="1" x14ac:dyDescent="0.25"/>
    <row r="1160" s="79" customFormat="1" ht="15" customHeight="1" x14ac:dyDescent="0.25"/>
    <row r="1161" s="79" customFormat="1" ht="15" customHeight="1" x14ac:dyDescent="0.25"/>
    <row r="1162" s="79" customFormat="1" ht="15" customHeight="1" x14ac:dyDescent="0.25"/>
    <row r="1163" s="79" customFormat="1" ht="15" customHeight="1" x14ac:dyDescent="0.25"/>
    <row r="1164" s="79" customFormat="1" ht="15" customHeight="1" x14ac:dyDescent="0.25"/>
    <row r="1165" s="79" customFormat="1" ht="15" customHeight="1" x14ac:dyDescent="0.25"/>
    <row r="1166" s="79" customFormat="1" ht="15" customHeight="1" x14ac:dyDescent="0.25"/>
    <row r="1167" s="79" customFormat="1" ht="15" customHeight="1" x14ac:dyDescent="0.25"/>
    <row r="1168" s="79" customFormat="1" ht="15" customHeight="1" x14ac:dyDescent="0.25"/>
    <row r="1169" s="79" customFormat="1" ht="15" customHeight="1" x14ac:dyDescent="0.25"/>
    <row r="1170" s="79" customFormat="1" ht="15" customHeight="1" x14ac:dyDescent="0.25"/>
    <row r="1171" s="79" customFormat="1" ht="15" customHeight="1" x14ac:dyDescent="0.25"/>
    <row r="1172" s="79" customFormat="1" ht="15" customHeight="1" x14ac:dyDescent="0.25"/>
    <row r="1173" s="79" customFormat="1" ht="15" customHeight="1" x14ac:dyDescent="0.25"/>
    <row r="1174" s="79" customFormat="1" ht="15" customHeight="1" x14ac:dyDescent="0.25"/>
    <row r="1175" s="79" customFormat="1" ht="15" customHeight="1" x14ac:dyDescent="0.25"/>
    <row r="1176" s="79" customFormat="1" ht="15" customHeight="1" x14ac:dyDescent="0.25"/>
    <row r="1177" s="79" customFormat="1" ht="15" customHeight="1" x14ac:dyDescent="0.25"/>
    <row r="1178" s="79" customFormat="1" ht="15" customHeight="1" x14ac:dyDescent="0.25"/>
    <row r="1179" s="79" customFormat="1" ht="15" customHeight="1" x14ac:dyDescent="0.25"/>
    <row r="1180" s="79" customFormat="1" ht="15" customHeight="1" x14ac:dyDescent="0.25"/>
    <row r="1181" s="79" customFormat="1" ht="15" customHeight="1" x14ac:dyDescent="0.25"/>
    <row r="1182" s="79" customFormat="1" ht="15" customHeight="1" x14ac:dyDescent="0.25"/>
    <row r="1183" s="79" customFormat="1" ht="15" customHeight="1" x14ac:dyDescent="0.25"/>
    <row r="1184" s="79" customFormat="1" ht="15" customHeight="1" x14ac:dyDescent="0.25"/>
    <row r="1185" s="79" customFormat="1" ht="15" customHeight="1" x14ac:dyDescent="0.25"/>
    <row r="1186" s="79" customFormat="1" ht="15" customHeight="1" x14ac:dyDescent="0.25"/>
    <row r="1187" s="79" customFormat="1" ht="15" customHeight="1" x14ac:dyDescent="0.25"/>
    <row r="1188" s="79" customFormat="1" ht="15" customHeight="1" x14ac:dyDescent="0.25"/>
    <row r="1189" s="79" customFormat="1" ht="15" customHeight="1" x14ac:dyDescent="0.25"/>
    <row r="1190" s="79" customFormat="1" ht="15" customHeight="1" x14ac:dyDescent="0.25"/>
    <row r="1191" s="79" customFormat="1" ht="15" customHeight="1" x14ac:dyDescent="0.25"/>
    <row r="1192" s="79" customFormat="1" ht="15" customHeight="1" x14ac:dyDescent="0.25"/>
    <row r="1193" s="79" customFormat="1" ht="15" customHeight="1" x14ac:dyDescent="0.25"/>
    <row r="1194" s="79" customFormat="1" ht="15" customHeight="1" x14ac:dyDescent="0.25"/>
    <row r="1195" s="79" customFormat="1" ht="15" customHeight="1" x14ac:dyDescent="0.25"/>
    <row r="1196" s="79" customFormat="1" ht="15" customHeight="1" x14ac:dyDescent="0.25"/>
    <row r="1197" s="79" customFormat="1" ht="15" customHeight="1" x14ac:dyDescent="0.25"/>
    <row r="1198" s="79" customFormat="1" ht="15" customHeight="1" x14ac:dyDescent="0.25"/>
    <row r="1199" s="79" customFormat="1" ht="15" customHeight="1" x14ac:dyDescent="0.25"/>
    <row r="1200" s="79" customFormat="1" ht="15" customHeight="1" x14ac:dyDescent="0.25"/>
    <row r="1201" s="79" customFormat="1" ht="15" customHeight="1" x14ac:dyDescent="0.25"/>
    <row r="1202" s="79" customFormat="1" ht="15" customHeight="1" x14ac:dyDescent="0.25"/>
    <row r="1203" s="79" customFormat="1" ht="15" customHeight="1" x14ac:dyDescent="0.25"/>
    <row r="1204" s="79" customFormat="1" ht="15" customHeight="1" x14ac:dyDescent="0.25"/>
    <row r="1205" s="79" customFormat="1" ht="15" customHeight="1" x14ac:dyDescent="0.25"/>
    <row r="1206" s="79" customFormat="1" ht="15" customHeight="1" x14ac:dyDescent="0.25"/>
    <row r="1207" s="79" customFormat="1" ht="15" customHeight="1" x14ac:dyDescent="0.25"/>
    <row r="1208" s="79" customFormat="1" ht="15" customHeight="1" x14ac:dyDescent="0.25"/>
    <row r="1209" s="79" customFormat="1" ht="15" customHeight="1" x14ac:dyDescent="0.25"/>
    <row r="1210" s="79" customFormat="1" ht="15" customHeight="1" x14ac:dyDescent="0.25"/>
    <row r="1211" s="79" customFormat="1" ht="15" customHeight="1" x14ac:dyDescent="0.25"/>
    <row r="1212" s="79" customFormat="1" ht="15" customHeight="1" x14ac:dyDescent="0.25"/>
    <row r="1213" s="79" customFormat="1" ht="15" customHeight="1" x14ac:dyDescent="0.25"/>
    <row r="1214" s="79" customFormat="1" ht="15" customHeight="1" x14ac:dyDescent="0.25"/>
    <row r="1215" s="79" customFormat="1" ht="15" customHeight="1" x14ac:dyDescent="0.25"/>
    <row r="1216" s="79" customFormat="1" ht="15" customHeight="1" x14ac:dyDescent="0.25"/>
    <row r="1217" s="79" customFormat="1" ht="15" customHeight="1" x14ac:dyDescent="0.25"/>
    <row r="1218" s="79" customFormat="1" ht="15" customHeight="1" x14ac:dyDescent="0.25"/>
    <row r="1219" s="79" customFormat="1" ht="15" customHeight="1" x14ac:dyDescent="0.25"/>
    <row r="1220" s="79" customFormat="1" ht="15" customHeight="1" x14ac:dyDescent="0.25"/>
    <row r="1221" s="79" customFormat="1" ht="15" customHeight="1" x14ac:dyDescent="0.25"/>
    <row r="1222" s="79" customFormat="1" ht="15" customHeight="1" x14ac:dyDescent="0.25"/>
    <row r="1223" s="79" customFormat="1" ht="15" customHeight="1" x14ac:dyDescent="0.25"/>
    <row r="1224" s="79" customFormat="1" ht="15" customHeight="1" x14ac:dyDescent="0.25"/>
    <row r="1225" s="79" customFormat="1" ht="15" customHeight="1" x14ac:dyDescent="0.25"/>
    <row r="1226" s="79" customFormat="1" ht="15" customHeight="1" x14ac:dyDescent="0.25"/>
    <row r="1227" s="79" customFormat="1" ht="15" customHeight="1" x14ac:dyDescent="0.25"/>
    <row r="1228" s="79" customFormat="1" ht="15" customHeight="1" x14ac:dyDescent="0.25"/>
    <row r="1229" s="79" customFormat="1" ht="15" customHeight="1" x14ac:dyDescent="0.25"/>
    <row r="1230" s="79" customFormat="1" ht="15" customHeight="1" x14ac:dyDescent="0.25"/>
    <row r="1231" s="79" customFormat="1" ht="15" customHeight="1" x14ac:dyDescent="0.25"/>
    <row r="1232" s="79" customFormat="1" ht="15" customHeight="1" x14ac:dyDescent="0.25"/>
    <row r="1233" s="79" customFormat="1" ht="15" customHeight="1" x14ac:dyDescent="0.25"/>
    <row r="1234" s="79" customFormat="1" ht="15" customHeight="1" x14ac:dyDescent="0.25"/>
    <row r="1235" s="79" customFormat="1" ht="15" customHeight="1" x14ac:dyDescent="0.25"/>
    <row r="1236" s="79" customFormat="1" ht="15" customHeight="1" x14ac:dyDescent="0.25"/>
    <row r="1237" s="79" customFormat="1" ht="15" customHeight="1" x14ac:dyDescent="0.25"/>
    <row r="1238" s="79" customFormat="1" ht="15" customHeight="1" x14ac:dyDescent="0.25"/>
    <row r="1239" s="79" customFormat="1" ht="15" customHeight="1" x14ac:dyDescent="0.25"/>
    <row r="1240" s="79" customFormat="1" ht="15" customHeight="1" x14ac:dyDescent="0.25"/>
    <row r="1241" s="79" customFormat="1" ht="15" customHeight="1" x14ac:dyDescent="0.25"/>
    <row r="1242" s="79" customFormat="1" ht="15" customHeight="1" x14ac:dyDescent="0.25"/>
    <row r="1243" s="79" customFormat="1" ht="15" customHeight="1" x14ac:dyDescent="0.25"/>
    <row r="1244" s="79" customFormat="1" ht="15" customHeight="1" x14ac:dyDescent="0.25"/>
    <row r="1245" s="79" customFormat="1" ht="15" customHeight="1" x14ac:dyDescent="0.25"/>
    <row r="1246" s="79" customFormat="1" ht="15" customHeight="1" x14ac:dyDescent="0.25"/>
    <row r="1247" s="79" customFormat="1" ht="15" customHeight="1" x14ac:dyDescent="0.25"/>
    <row r="1248" s="79" customFormat="1" ht="15" customHeight="1" x14ac:dyDescent="0.25"/>
    <row r="1249" s="79" customFormat="1" ht="15" customHeight="1" x14ac:dyDescent="0.25"/>
    <row r="1250" s="79" customFormat="1" ht="15" customHeight="1" x14ac:dyDescent="0.25"/>
    <row r="1251" s="79" customFormat="1" ht="15" customHeight="1" x14ac:dyDescent="0.25"/>
    <row r="1252" s="79" customFormat="1" ht="15" customHeight="1" x14ac:dyDescent="0.25"/>
    <row r="1253" s="79" customFormat="1" ht="15" customHeight="1" x14ac:dyDescent="0.25"/>
    <row r="1254" s="79" customFormat="1" ht="15" customHeight="1" x14ac:dyDescent="0.25"/>
    <row r="1255" s="79" customFormat="1" ht="15" customHeight="1" x14ac:dyDescent="0.25"/>
    <row r="1256" s="79" customFormat="1" ht="15" customHeight="1" x14ac:dyDescent="0.25"/>
    <row r="1257" s="79" customFormat="1" ht="15" customHeight="1" x14ac:dyDescent="0.25"/>
    <row r="1258" s="79" customFormat="1" ht="15" customHeight="1" x14ac:dyDescent="0.25"/>
    <row r="1259" s="79" customFormat="1" ht="15" customHeight="1" x14ac:dyDescent="0.25"/>
    <row r="1260" s="79" customFormat="1" ht="15" customHeight="1" x14ac:dyDescent="0.25"/>
    <row r="1261" s="79" customFormat="1" ht="15" customHeight="1" x14ac:dyDescent="0.25"/>
    <row r="1262" s="79" customFormat="1" ht="15" customHeight="1" x14ac:dyDescent="0.25"/>
    <row r="1263" s="79" customFormat="1" ht="15" customHeight="1" x14ac:dyDescent="0.25"/>
    <row r="1264" s="79" customFormat="1" ht="15" customHeight="1" x14ac:dyDescent="0.25"/>
    <row r="1265" s="79" customFormat="1" ht="15" customHeight="1" x14ac:dyDescent="0.25"/>
    <row r="1266" s="79" customFormat="1" ht="15" customHeight="1" x14ac:dyDescent="0.25"/>
    <row r="1267" s="79" customFormat="1" ht="15" customHeight="1" x14ac:dyDescent="0.25"/>
    <row r="1268" s="79" customFormat="1" ht="15" customHeight="1" x14ac:dyDescent="0.25"/>
    <row r="1269" s="79" customFormat="1" ht="15" customHeight="1" x14ac:dyDescent="0.25"/>
    <row r="1270" s="79" customFormat="1" ht="15" customHeight="1" x14ac:dyDescent="0.25"/>
    <row r="1271" s="79" customFormat="1" ht="15" customHeight="1" x14ac:dyDescent="0.25"/>
    <row r="1272" s="79" customFormat="1" ht="15" customHeight="1" x14ac:dyDescent="0.25"/>
    <row r="1273" s="79" customFormat="1" ht="15" customHeight="1" x14ac:dyDescent="0.25"/>
    <row r="1274" s="79" customFormat="1" ht="15" customHeight="1" x14ac:dyDescent="0.25"/>
    <row r="1275" s="79" customFormat="1" ht="15" customHeight="1" x14ac:dyDescent="0.25"/>
    <row r="1276" s="79" customFormat="1" ht="15" customHeight="1" x14ac:dyDescent="0.25"/>
    <row r="1277" s="79" customFormat="1" ht="15" customHeight="1" x14ac:dyDescent="0.25"/>
    <row r="1278" s="79" customFormat="1" ht="15" customHeight="1" x14ac:dyDescent="0.25"/>
    <row r="1279" s="79" customFormat="1" ht="15" customHeight="1" x14ac:dyDescent="0.25"/>
    <row r="1280" s="79" customFormat="1" ht="15" customHeight="1" x14ac:dyDescent="0.25"/>
    <row r="1281" s="79" customFormat="1" ht="15" customHeight="1" x14ac:dyDescent="0.25"/>
    <row r="1282" s="79" customFormat="1" ht="15" customHeight="1" x14ac:dyDescent="0.25"/>
    <row r="1283" s="79" customFormat="1" ht="15" customHeight="1" x14ac:dyDescent="0.25"/>
    <row r="1284" s="79" customFormat="1" ht="15" customHeight="1" x14ac:dyDescent="0.25"/>
    <row r="1285" s="79" customFormat="1" ht="15" customHeight="1" x14ac:dyDescent="0.25"/>
    <row r="1286" s="79" customFormat="1" ht="15" customHeight="1" x14ac:dyDescent="0.25"/>
    <row r="1287" s="79" customFormat="1" ht="15" customHeight="1" x14ac:dyDescent="0.25"/>
    <row r="1288" s="79" customFormat="1" ht="15" customHeight="1" x14ac:dyDescent="0.25"/>
    <row r="1289" s="79" customFormat="1" ht="15" customHeight="1" x14ac:dyDescent="0.25"/>
    <row r="1290" s="79" customFormat="1" ht="15" customHeight="1" x14ac:dyDescent="0.25"/>
    <row r="1291" s="79" customFormat="1" ht="15" customHeight="1" x14ac:dyDescent="0.25"/>
    <row r="1292" s="79" customFormat="1" ht="15" customHeight="1" x14ac:dyDescent="0.25"/>
    <row r="1293" s="79" customFormat="1" ht="15" customHeight="1" x14ac:dyDescent="0.25"/>
    <row r="1294" s="79" customFormat="1" ht="15" customHeight="1" x14ac:dyDescent="0.25"/>
    <row r="1295" s="79" customFormat="1" ht="15" customHeight="1" x14ac:dyDescent="0.25"/>
    <row r="1296" s="79" customFormat="1" ht="15" customHeight="1" x14ac:dyDescent="0.25"/>
    <row r="1297" s="79" customFormat="1" ht="15" customHeight="1" x14ac:dyDescent="0.25"/>
    <row r="1298" s="79" customFormat="1" ht="15" customHeight="1" x14ac:dyDescent="0.25"/>
    <row r="1299" s="79" customFormat="1" ht="15" customHeight="1" x14ac:dyDescent="0.25"/>
    <row r="1300" s="79" customFormat="1" ht="15" customHeight="1" x14ac:dyDescent="0.25"/>
    <row r="1301" s="79" customFormat="1" ht="15" customHeight="1" x14ac:dyDescent="0.25"/>
    <row r="1302" s="79" customFormat="1" ht="15" customHeight="1" x14ac:dyDescent="0.25"/>
    <row r="1303" s="79" customFormat="1" ht="15" customHeight="1" x14ac:dyDescent="0.25"/>
    <row r="1304" s="79" customFormat="1" ht="15" customHeight="1" x14ac:dyDescent="0.25"/>
    <row r="1305" s="79" customFormat="1" ht="15" customHeight="1" x14ac:dyDescent="0.25"/>
    <row r="1306" s="79" customFormat="1" ht="15" customHeight="1" x14ac:dyDescent="0.25"/>
    <row r="1307" s="79" customFormat="1" ht="15" customHeight="1" x14ac:dyDescent="0.25"/>
    <row r="1308" s="79" customFormat="1" ht="15" customHeight="1" x14ac:dyDescent="0.25"/>
    <row r="1309" s="79" customFormat="1" ht="15" customHeight="1" x14ac:dyDescent="0.25"/>
    <row r="1310" s="79" customFormat="1" ht="15" customHeight="1" x14ac:dyDescent="0.25"/>
    <row r="1311" s="79" customFormat="1" ht="15" customHeight="1" x14ac:dyDescent="0.25"/>
    <row r="1312" s="79" customFormat="1" ht="15" customHeight="1" x14ac:dyDescent="0.25"/>
    <row r="1313" s="79" customFormat="1" ht="15" customHeight="1" x14ac:dyDescent="0.25"/>
    <row r="1314" s="79" customFormat="1" ht="15" customHeight="1" x14ac:dyDescent="0.25"/>
    <row r="1315" s="79" customFormat="1" ht="15" customHeight="1" x14ac:dyDescent="0.25"/>
    <row r="1316" s="79" customFormat="1" ht="15" customHeight="1" x14ac:dyDescent="0.25"/>
    <row r="1317" s="79" customFormat="1" ht="15" customHeight="1" x14ac:dyDescent="0.25"/>
    <row r="1318" s="79" customFormat="1" ht="15" customHeight="1" x14ac:dyDescent="0.25"/>
    <row r="1319" s="79" customFormat="1" ht="15" customHeight="1" x14ac:dyDescent="0.25"/>
    <row r="1320" s="79" customFormat="1" ht="15" customHeight="1" x14ac:dyDescent="0.25"/>
    <row r="1321" s="79" customFormat="1" ht="15" customHeight="1" x14ac:dyDescent="0.25"/>
    <row r="1322" s="79" customFormat="1" ht="15" customHeight="1" x14ac:dyDescent="0.25"/>
    <row r="1323" s="79" customFormat="1" ht="15" customHeight="1" x14ac:dyDescent="0.25"/>
    <row r="1324" s="79" customFormat="1" ht="15" customHeight="1" x14ac:dyDescent="0.25"/>
    <row r="1325" s="79" customFormat="1" ht="15" customHeight="1" x14ac:dyDescent="0.25"/>
    <row r="1326" s="79" customFormat="1" ht="15" customHeight="1" x14ac:dyDescent="0.25"/>
    <row r="1327" s="79" customFormat="1" ht="15" customHeight="1" x14ac:dyDescent="0.25"/>
    <row r="1328" s="79" customFormat="1" ht="15" customHeight="1" x14ac:dyDescent="0.25"/>
    <row r="1329" s="79" customFormat="1" ht="15" customHeight="1" x14ac:dyDescent="0.25"/>
    <row r="1330" s="79" customFormat="1" ht="15" customHeight="1" x14ac:dyDescent="0.25"/>
    <row r="1331" s="79" customFormat="1" ht="15" customHeight="1" x14ac:dyDescent="0.25"/>
    <row r="1332" s="79" customFormat="1" ht="15" customHeight="1" x14ac:dyDescent="0.25"/>
    <row r="1333" s="79" customFormat="1" ht="15" customHeight="1" x14ac:dyDescent="0.25"/>
    <row r="1334" s="79" customFormat="1" ht="15" customHeight="1" x14ac:dyDescent="0.25"/>
    <row r="1335" s="79" customFormat="1" ht="15" customHeight="1" x14ac:dyDescent="0.25"/>
    <row r="1336" s="79" customFormat="1" ht="15" customHeight="1" x14ac:dyDescent="0.25"/>
    <row r="1337" s="79" customFormat="1" ht="15" customHeight="1" x14ac:dyDescent="0.25"/>
    <row r="1338" s="79" customFormat="1" ht="15" customHeight="1" x14ac:dyDescent="0.25"/>
    <row r="1339" s="79" customFormat="1" ht="15" customHeight="1" x14ac:dyDescent="0.25"/>
    <row r="1340" s="79" customFormat="1" ht="15" customHeight="1" x14ac:dyDescent="0.25"/>
    <row r="1341" s="79" customFormat="1" ht="15" customHeight="1" x14ac:dyDescent="0.25"/>
    <row r="1342" s="79" customFormat="1" ht="15" customHeight="1" x14ac:dyDescent="0.25"/>
    <row r="1343" s="79" customFormat="1" ht="15" customHeight="1" x14ac:dyDescent="0.25"/>
    <row r="1344" s="79" customFormat="1" ht="15" customHeight="1" x14ac:dyDescent="0.25"/>
    <row r="1345" s="79" customFormat="1" ht="15" customHeight="1" x14ac:dyDescent="0.25"/>
    <row r="1346" s="79" customFormat="1" ht="15" customHeight="1" x14ac:dyDescent="0.25"/>
    <row r="1347" s="79" customFormat="1" ht="15" customHeight="1" x14ac:dyDescent="0.25"/>
    <row r="1348" s="79" customFormat="1" ht="15" customHeight="1" x14ac:dyDescent="0.25"/>
    <row r="1349" s="79" customFormat="1" ht="15" customHeight="1" x14ac:dyDescent="0.25"/>
    <row r="1350" s="79" customFormat="1" ht="15" customHeight="1" x14ac:dyDescent="0.25"/>
    <row r="1351" s="79" customFormat="1" ht="15" customHeight="1" x14ac:dyDescent="0.25"/>
    <row r="1352" s="79" customFormat="1" ht="15" customHeight="1" x14ac:dyDescent="0.25"/>
    <row r="1353" s="79" customFormat="1" ht="15" customHeight="1" x14ac:dyDescent="0.25"/>
    <row r="1354" s="79" customFormat="1" ht="15" customHeight="1" x14ac:dyDescent="0.25"/>
    <row r="1355" s="79" customFormat="1" ht="15" customHeight="1" x14ac:dyDescent="0.25"/>
    <row r="1356" s="79" customFormat="1" ht="15" customHeight="1" x14ac:dyDescent="0.25"/>
    <row r="1357" s="79" customFormat="1" ht="15" customHeight="1" x14ac:dyDescent="0.25"/>
    <row r="1358" s="79" customFormat="1" ht="15" customHeight="1" x14ac:dyDescent="0.25"/>
    <row r="1359" s="79" customFormat="1" ht="15" customHeight="1" x14ac:dyDescent="0.25"/>
    <row r="1360" s="79" customFormat="1" ht="15" customHeight="1" x14ac:dyDescent="0.25"/>
    <row r="1361" s="79" customFormat="1" ht="15" customHeight="1" x14ac:dyDescent="0.25"/>
    <row r="1362" s="79" customFormat="1" ht="15" customHeight="1" x14ac:dyDescent="0.25"/>
    <row r="1363" s="79" customFormat="1" ht="15" customHeight="1" x14ac:dyDescent="0.25"/>
    <row r="1364" s="79" customFormat="1" ht="15" customHeight="1" x14ac:dyDescent="0.25"/>
    <row r="1365" s="79" customFormat="1" ht="15" customHeight="1" x14ac:dyDescent="0.25"/>
    <row r="1366" s="79" customFormat="1" ht="15" customHeight="1" x14ac:dyDescent="0.25"/>
    <row r="1367" s="79" customFormat="1" ht="15" customHeight="1" x14ac:dyDescent="0.25"/>
    <row r="1368" s="79" customFormat="1" ht="15" customHeight="1" x14ac:dyDescent="0.25"/>
    <row r="1369" s="79" customFormat="1" ht="15" customHeight="1" x14ac:dyDescent="0.25"/>
    <row r="1370" s="79" customFormat="1" ht="15" customHeight="1" x14ac:dyDescent="0.25"/>
    <row r="1371" s="79" customFormat="1" ht="15" customHeight="1" x14ac:dyDescent="0.25"/>
    <row r="1372" s="79" customFormat="1" ht="15" customHeight="1" x14ac:dyDescent="0.25"/>
    <row r="1373" s="79" customFormat="1" ht="15" customHeight="1" x14ac:dyDescent="0.25"/>
    <row r="1374" s="79" customFormat="1" ht="15" customHeight="1" x14ac:dyDescent="0.25"/>
    <row r="1375" s="79" customFormat="1" ht="15" customHeight="1" x14ac:dyDescent="0.25"/>
    <row r="1376" s="79" customFormat="1" ht="15" customHeight="1" x14ac:dyDescent="0.25"/>
    <row r="1377" s="79" customFormat="1" ht="15" customHeight="1" x14ac:dyDescent="0.25"/>
    <row r="1378" s="79" customFormat="1" ht="15" customHeight="1" x14ac:dyDescent="0.25"/>
    <row r="1379" s="79" customFormat="1" ht="15" customHeight="1" x14ac:dyDescent="0.25"/>
    <row r="1380" s="79" customFormat="1" ht="15" customHeight="1" x14ac:dyDescent="0.25"/>
    <row r="1381" s="79" customFormat="1" ht="15" customHeight="1" x14ac:dyDescent="0.25"/>
    <row r="1382" s="79" customFormat="1" ht="15" customHeight="1" x14ac:dyDescent="0.25"/>
    <row r="1383" s="79" customFormat="1" ht="15" customHeight="1" x14ac:dyDescent="0.25"/>
    <row r="1384" s="79" customFormat="1" ht="15" customHeight="1" x14ac:dyDescent="0.25"/>
    <row r="1385" s="79" customFormat="1" ht="15" customHeight="1" x14ac:dyDescent="0.25"/>
    <row r="1386" s="79" customFormat="1" ht="15" customHeight="1" x14ac:dyDescent="0.25"/>
    <row r="1387" s="79" customFormat="1" ht="15" customHeight="1" x14ac:dyDescent="0.25"/>
    <row r="1388" s="79" customFormat="1" ht="15" customHeight="1" x14ac:dyDescent="0.25"/>
    <row r="1389" s="79" customFormat="1" ht="15" customHeight="1" x14ac:dyDescent="0.25"/>
    <row r="1390" s="79" customFormat="1" ht="15" customHeight="1" x14ac:dyDescent="0.25"/>
    <row r="1391" s="79" customFormat="1" ht="15" customHeight="1" x14ac:dyDescent="0.25"/>
    <row r="1392" s="79" customFormat="1" ht="15" customHeight="1" x14ac:dyDescent="0.25"/>
    <row r="1393" s="79" customFormat="1" ht="15" customHeight="1" x14ac:dyDescent="0.25"/>
    <row r="1394" s="79" customFormat="1" ht="15" customHeight="1" x14ac:dyDescent="0.25"/>
    <row r="1395" s="79" customFormat="1" ht="15" customHeight="1" x14ac:dyDescent="0.25"/>
    <row r="1396" s="79" customFormat="1" ht="15" customHeight="1" x14ac:dyDescent="0.25"/>
    <row r="1397" s="79" customFormat="1" ht="15" customHeight="1" x14ac:dyDescent="0.25"/>
    <row r="1398" s="79" customFormat="1" ht="15" customHeight="1" x14ac:dyDescent="0.25"/>
    <row r="1399" s="79" customFormat="1" ht="15" customHeight="1" x14ac:dyDescent="0.25"/>
    <row r="1400" s="79" customFormat="1" ht="15" customHeight="1" x14ac:dyDescent="0.25"/>
    <row r="1401" s="79" customFormat="1" ht="15" customHeight="1" x14ac:dyDescent="0.25"/>
    <row r="1402" s="79" customFormat="1" ht="15" customHeight="1" x14ac:dyDescent="0.25"/>
    <row r="1403" s="79" customFormat="1" ht="15" customHeight="1" x14ac:dyDescent="0.25"/>
    <row r="1404" s="79" customFormat="1" ht="15" customHeight="1" x14ac:dyDescent="0.25"/>
    <row r="1405" s="79" customFormat="1" ht="15" customHeight="1" x14ac:dyDescent="0.25"/>
    <row r="1406" s="79" customFormat="1" ht="15" customHeight="1" x14ac:dyDescent="0.25"/>
    <row r="1407" s="79" customFormat="1" ht="15" customHeight="1" x14ac:dyDescent="0.25"/>
    <row r="1408" s="79" customFormat="1" ht="15" customHeight="1" x14ac:dyDescent="0.25"/>
    <row r="1409" s="79" customFormat="1" ht="15" customHeight="1" x14ac:dyDescent="0.25"/>
    <row r="1410" s="79" customFormat="1" ht="15" customHeight="1" x14ac:dyDescent="0.25"/>
    <row r="1411" s="79" customFormat="1" ht="15" customHeight="1" x14ac:dyDescent="0.25"/>
    <row r="1412" s="79" customFormat="1" ht="15" customHeight="1" x14ac:dyDescent="0.25"/>
    <row r="1413" s="79" customFormat="1" ht="15" customHeight="1" x14ac:dyDescent="0.25"/>
    <row r="1414" s="79" customFormat="1" ht="15" customHeight="1" x14ac:dyDescent="0.25"/>
    <row r="1415" s="79" customFormat="1" ht="15" customHeight="1" x14ac:dyDescent="0.25"/>
    <row r="1416" s="79" customFormat="1" ht="15" customHeight="1" x14ac:dyDescent="0.25"/>
    <row r="1417" s="79" customFormat="1" ht="15" customHeight="1" x14ac:dyDescent="0.25"/>
    <row r="1418" s="79" customFormat="1" ht="15" customHeight="1" x14ac:dyDescent="0.25"/>
    <row r="1419" s="79" customFormat="1" ht="15" customHeight="1" x14ac:dyDescent="0.25"/>
    <row r="1420" s="79" customFormat="1" ht="15" customHeight="1" x14ac:dyDescent="0.25"/>
    <row r="1421" s="79" customFormat="1" ht="15" customHeight="1" x14ac:dyDescent="0.25"/>
    <row r="1422" s="79" customFormat="1" ht="15" customHeight="1" x14ac:dyDescent="0.25"/>
    <row r="1423" s="79" customFormat="1" ht="15" customHeight="1" x14ac:dyDescent="0.25"/>
    <row r="1424" s="79" customFormat="1" ht="15" customHeight="1" x14ac:dyDescent="0.25"/>
    <row r="1425" s="79" customFormat="1" ht="15" customHeight="1" x14ac:dyDescent="0.25"/>
    <row r="1426" s="79" customFormat="1" ht="15" customHeight="1" x14ac:dyDescent="0.25"/>
    <row r="1427" s="79" customFormat="1" ht="15" customHeight="1" x14ac:dyDescent="0.25"/>
    <row r="1428" s="79" customFormat="1" ht="15" customHeight="1" x14ac:dyDescent="0.25"/>
    <row r="1429" s="79" customFormat="1" ht="15" customHeight="1" x14ac:dyDescent="0.25"/>
    <row r="1430" s="79" customFormat="1" ht="15" customHeight="1" x14ac:dyDescent="0.25"/>
    <row r="1431" s="79" customFormat="1" ht="15" customHeight="1" x14ac:dyDescent="0.25"/>
    <row r="1432" s="79" customFormat="1" ht="15" customHeight="1" x14ac:dyDescent="0.25"/>
    <row r="1433" s="79" customFormat="1" ht="15" customHeight="1" x14ac:dyDescent="0.25"/>
    <row r="1434" s="79" customFormat="1" ht="15" customHeight="1" x14ac:dyDescent="0.25"/>
    <row r="1435" s="79" customFormat="1" ht="15" customHeight="1" x14ac:dyDescent="0.25"/>
    <row r="1436" s="79" customFormat="1" ht="15" customHeight="1" x14ac:dyDescent="0.25"/>
    <row r="1437" s="79" customFormat="1" ht="15" customHeight="1" x14ac:dyDescent="0.25"/>
    <row r="1438" s="79" customFormat="1" ht="15" customHeight="1" x14ac:dyDescent="0.25"/>
    <row r="1439" s="79" customFormat="1" ht="15" customHeight="1" x14ac:dyDescent="0.25"/>
    <row r="1440" s="79" customFormat="1" ht="15" customHeight="1" x14ac:dyDescent="0.25"/>
    <row r="1441" s="79" customFormat="1" ht="15" customHeight="1" x14ac:dyDescent="0.25"/>
    <row r="1442" s="79" customFormat="1" ht="15" customHeight="1" x14ac:dyDescent="0.25"/>
    <row r="1443" s="79" customFormat="1" ht="15" customHeight="1" x14ac:dyDescent="0.25"/>
    <row r="1444" s="79" customFormat="1" ht="15" customHeight="1" x14ac:dyDescent="0.25"/>
    <row r="1445" s="79" customFormat="1" ht="15" customHeight="1" x14ac:dyDescent="0.25"/>
    <row r="1446" s="79" customFormat="1" ht="15" customHeight="1" x14ac:dyDescent="0.25"/>
    <row r="1447" s="79" customFormat="1" ht="15" customHeight="1" x14ac:dyDescent="0.25"/>
    <row r="1448" s="79" customFormat="1" ht="15" customHeight="1" x14ac:dyDescent="0.25"/>
    <row r="1449" s="79" customFormat="1" ht="15" customHeight="1" x14ac:dyDescent="0.25"/>
    <row r="1450" s="79" customFormat="1" ht="15" customHeight="1" x14ac:dyDescent="0.25"/>
    <row r="1451" s="79" customFormat="1" ht="15" customHeight="1" x14ac:dyDescent="0.25"/>
    <row r="1452" s="79" customFormat="1" ht="15" customHeight="1" x14ac:dyDescent="0.25"/>
    <row r="1453" s="79" customFormat="1" ht="15" customHeight="1" x14ac:dyDescent="0.25"/>
    <row r="1454" s="79" customFormat="1" ht="15" customHeight="1" x14ac:dyDescent="0.25"/>
    <row r="1455" s="79" customFormat="1" ht="15" customHeight="1" x14ac:dyDescent="0.25"/>
    <row r="1456" s="79" customFormat="1" ht="15" customHeight="1" x14ac:dyDescent="0.25"/>
    <row r="1457" s="79" customFormat="1" ht="15" customHeight="1" x14ac:dyDescent="0.25"/>
    <row r="1458" s="79" customFormat="1" ht="15" customHeight="1" x14ac:dyDescent="0.25"/>
    <row r="1459" s="79" customFormat="1" ht="15" customHeight="1" x14ac:dyDescent="0.25"/>
    <row r="1460" s="79" customFormat="1" ht="15" customHeight="1" x14ac:dyDescent="0.25"/>
    <row r="1461" s="79" customFormat="1" ht="15" customHeight="1" x14ac:dyDescent="0.25"/>
    <row r="1462" s="79" customFormat="1" ht="15" customHeight="1" x14ac:dyDescent="0.25"/>
    <row r="1463" s="79" customFormat="1" ht="15" customHeight="1" x14ac:dyDescent="0.25"/>
    <row r="1464" s="79" customFormat="1" ht="15" customHeight="1" x14ac:dyDescent="0.25"/>
    <row r="1465" s="79" customFormat="1" ht="15" customHeight="1" x14ac:dyDescent="0.25"/>
    <row r="1466" s="79" customFormat="1" ht="15" customHeight="1" x14ac:dyDescent="0.25"/>
    <row r="1467" s="79" customFormat="1" ht="15" customHeight="1" x14ac:dyDescent="0.25"/>
    <row r="1468" s="79" customFormat="1" ht="15" customHeight="1" x14ac:dyDescent="0.25"/>
    <row r="1469" s="79" customFormat="1" ht="15" customHeight="1" x14ac:dyDescent="0.25"/>
    <row r="1470" s="79" customFormat="1" ht="15" customHeight="1" x14ac:dyDescent="0.25"/>
    <row r="1471" s="79" customFormat="1" ht="15" customHeight="1" x14ac:dyDescent="0.25"/>
    <row r="1472" s="79" customFormat="1" ht="15" customHeight="1" x14ac:dyDescent="0.25"/>
    <row r="1473" s="79" customFormat="1" ht="15" customHeight="1" x14ac:dyDescent="0.25"/>
    <row r="1474" s="79" customFormat="1" ht="15" customHeight="1" x14ac:dyDescent="0.25"/>
    <row r="1475" s="79" customFormat="1" ht="15" customHeight="1" x14ac:dyDescent="0.25"/>
    <row r="1476" s="79" customFormat="1" ht="15" customHeight="1" x14ac:dyDescent="0.25"/>
    <row r="1477" s="79" customFormat="1" ht="15" customHeight="1" x14ac:dyDescent="0.25"/>
    <row r="1478" s="79" customFormat="1" ht="15" customHeight="1" x14ac:dyDescent="0.25"/>
    <row r="1479" s="79" customFormat="1" ht="15" customHeight="1" x14ac:dyDescent="0.25"/>
    <row r="1480" s="79" customFormat="1" ht="15" customHeight="1" x14ac:dyDescent="0.25"/>
    <row r="1481" s="79" customFormat="1" ht="15" customHeight="1" x14ac:dyDescent="0.25"/>
    <row r="1482" s="79" customFormat="1" ht="15" customHeight="1" x14ac:dyDescent="0.25"/>
    <row r="1483" s="79" customFormat="1" ht="15" customHeight="1" x14ac:dyDescent="0.25"/>
    <row r="1484" s="79" customFormat="1" ht="15" customHeight="1" x14ac:dyDescent="0.25"/>
    <row r="1485" s="79" customFormat="1" ht="15" customHeight="1" x14ac:dyDescent="0.25"/>
    <row r="1486" s="79" customFormat="1" ht="15" customHeight="1" x14ac:dyDescent="0.25"/>
    <row r="1487" s="79" customFormat="1" ht="15" customHeight="1" x14ac:dyDescent="0.25"/>
    <row r="1488" s="79" customFormat="1" ht="15" customHeight="1" x14ac:dyDescent="0.25"/>
    <row r="1489" s="79" customFormat="1" ht="15" customHeight="1" x14ac:dyDescent="0.25"/>
    <row r="1490" s="79" customFormat="1" ht="15" customHeight="1" x14ac:dyDescent="0.25"/>
    <row r="1491" s="79" customFormat="1" ht="15" customHeight="1" x14ac:dyDescent="0.25"/>
    <row r="1492" s="79" customFormat="1" ht="15" customHeight="1" x14ac:dyDescent="0.25"/>
    <row r="1493" s="79" customFormat="1" ht="15" customHeight="1" x14ac:dyDescent="0.25"/>
    <row r="1494" s="79" customFormat="1" ht="15" customHeight="1" x14ac:dyDescent="0.25"/>
    <row r="1495" s="79" customFormat="1" ht="15" customHeight="1" x14ac:dyDescent="0.25"/>
    <row r="1496" s="79" customFormat="1" ht="15" customHeight="1" x14ac:dyDescent="0.25"/>
    <row r="1497" s="79" customFormat="1" ht="15" customHeight="1" x14ac:dyDescent="0.25"/>
    <row r="1498" s="79" customFormat="1" ht="15" customHeight="1" x14ac:dyDescent="0.25"/>
    <row r="1499" s="79" customFormat="1" ht="15" customHeight="1" x14ac:dyDescent="0.25"/>
    <row r="1500" s="79" customFormat="1" ht="15" customHeight="1" x14ac:dyDescent="0.25"/>
    <row r="1501" s="79" customFormat="1" ht="15" customHeight="1" x14ac:dyDescent="0.25"/>
    <row r="1502" s="79" customFormat="1" ht="15" customHeight="1" x14ac:dyDescent="0.25"/>
    <row r="1503" s="79" customFormat="1" ht="15" customHeight="1" x14ac:dyDescent="0.25"/>
    <row r="1504" s="79" customFormat="1" ht="15" customHeight="1" x14ac:dyDescent="0.25"/>
    <row r="1505" s="79" customFormat="1" ht="15" customHeight="1" x14ac:dyDescent="0.25"/>
    <row r="1506" s="79" customFormat="1" ht="15" customHeight="1" x14ac:dyDescent="0.25"/>
    <row r="1507" s="79" customFormat="1" ht="15" customHeight="1" x14ac:dyDescent="0.25"/>
    <row r="1508" s="79" customFormat="1" ht="15" customHeight="1" x14ac:dyDescent="0.25"/>
    <row r="1509" s="79" customFormat="1" ht="15" customHeight="1" x14ac:dyDescent="0.25"/>
    <row r="1510" s="79" customFormat="1" ht="15" customHeight="1" x14ac:dyDescent="0.25"/>
    <row r="1511" s="79" customFormat="1" ht="15" customHeight="1" x14ac:dyDescent="0.25"/>
    <row r="1512" s="79" customFormat="1" ht="15" customHeight="1" x14ac:dyDescent="0.25"/>
    <row r="1513" s="79" customFormat="1" ht="15" customHeight="1" x14ac:dyDescent="0.25"/>
    <row r="1514" s="79" customFormat="1" ht="15" customHeight="1" x14ac:dyDescent="0.25"/>
  </sheetData>
  <sheetProtection selectLockedCells="1"/>
  <mergeCells count="5">
    <mergeCell ref="C2:AG2"/>
    <mergeCell ref="AH2:AH3"/>
    <mergeCell ref="AI2:AL3"/>
    <mergeCell ref="AM2:AP3"/>
    <mergeCell ref="AQ2:AR3"/>
  </mergeCells>
  <conditionalFormatting sqref="C17:C18 C9:AG11 C5:AG7">
    <cfRule type="expression" priority="1656" stopIfTrue="1">
      <formula>C5=""</formula>
    </cfRule>
    <cfRule type="expression" dxfId="13614" priority="1657" stopIfTrue="1">
      <formula>C5=CléPersonnalisée2</formula>
    </cfRule>
    <cfRule type="expression" dxfId="13613" priority="1658" stopIfTrue="1">
      <formula>C5=CléPersonnalisée1</formula>
    </cfRule>
    <cfRule type="expression" dxfId="13612" priority="1659" stopIfTrue="1">
      <formula>C5=CléMaladie</formula>
    </cfRule>
    <cfRule type="expression" dxfId="13611" priority="1660" stopIfTrue="1">
      <formula>C5=CléPersonnelle</formula>
    </cfRule>
    <cfRule type="expression" dxfId="13610" priority="1661" stopIfTrue="1">
      <formula>C5=CléCongés</formula>
    </cfRule>
  </conditionalFormatting>
  <conditionalFormatting sqref="AH5:AH6 AH9:AH11">
    <cfRule type="dataBar" priority="1662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{C24C179C-EE17-4B93-8F70-DE2DDBD10524}</x14:id>
        </ext>
      </extLst>
    </cfRule>
  </conditionalFormatting>
  <conditionalFormatting sqref="AI5:AL7 AI9:AL11">
    <cfRule type="expression" priority="1650" stopIfTrue="1">
      <formula>AI5=""</formula>
    </cfRule>
    <cfRule type="expression" dxfId="13609" priority="1651" stopIfTrue="1">
      <formula>AI5=CléPersonnalisée2</formula>
    </cfRule>
    <cfRule type="expression" dxfId="13608" priority="1652" stopIfTrue="1">
      <formula>AI5=CléPersonnalisée1</formula>
    </cfRule>
    <cfRule type="expression" dxfId="13607" priority="1653" stopIfTrue="1">
      <formula>AI5=CléMaladie</formula>
    </cfRule>
    <cfRule type="expression" dxfId="13606" priority="1654" stopIfTrue="1">
      <formula>AI5=CléPersonnelle</formula>
    </cfRule>
    <cfRule type="expression" dxfId="13605" priority="1655" stopIfTrue="1">
      <formula>AI5=CléCongés</formula>
    </cfRule>
  </conditionalFormatting>
  <conditionalFormatting sqref="AM5:AP6 AM9:AP10">
    <cfRule type="expression" priority="1644" stopIfTrue="1">
      <formula>AM5=""</formula>
    </cfRule>
    <cfRule type="expression" dxfId="13604" priority="1645" stopIfTrue="1">
      <formula>AM5=CléPersonnalisée2</formula>
    </cfRule>
    <cfRule type="expression" dxfId="13603" priority="1646" stopIfTrue="1">
      <formula>AM5=CléPersonnalisée1</formula>
    </cfRule>
    <cfRule type="expression" dxfId="13602" priority="1647" stopIfTrue="1">
      <formula>AM5=CléMaladie</formula>
    </cfRule>
    <cfRule type="expression" dxfId="13601" priority="1648" stopIfTrue="1">
      <formula>AM5=CléPersonnelle</formula>
    </cfRule>
    <cfRule type="expression" dxfId="13600" priority="1649" stopIfTrue="1">
      <formula>AM5=CléCongés</formula>
    </cfRule>
  </conditionalFormatting>
  <conditionalFormatting sqref="AQ5:AR6 AQ9:AR10 AQ32:AR32 AQ44:AR44">
    <cfRule type="expression" priority="1638" stopIfTrue="1">
      <formula>AQ5=""</formula>
    </cfRule>
    <cfRule type="expression" dxfId="13599" priority="1639" stopIfTrue="1">
      <formula>AQ5=CléPersonnalisée2</formula>
    </cfRule>
    <cfRule type="expression" dxfId="13598" priority="1640" stopIfTrue="1">
      <formula>AQ5=CléPersonnalisée1</formula>
    </cfRule>
    <cfRule type="expression" dxfId="13597" priority="1641" stopIfTrue="1">
      <formula>AQ5=CléMaladie</formula>
    </cfRule>
    <cfRule type="expression" dxfId="13596" priority="1642" stopIfTrue="1">
      <formula>AQ5=CléPersonnelle</formula>
    </cfRule>
    <cfRule type="expression" dxfId="13595" priority="1643" stopIfTrue="1">
      <formula>AQ5=CléCongés</formula>
    </cfRule>
  </conditionalFormatting>
  <conditionalFormatting sqref="AP7:AP8">
    <cfRule type="expression" priority="1632" stopIfTrue="1">
      <formula>AP7=""</formula>
    </cfRule>
    <cfRule type="expression" dxfId="13594" priority="1633" stopIfTrue="1">
      <formula>AP7=CléPersonnalisée2</formula>
    </cfRule>
    <cfRule type="expression" dxfId="13593" priority="1634" stopIfTrue="1">
      <formula>AP7=CléPersonnalisée1</formula>
    </cfRule>
    <cfRule type="expression" dxfId="13592" priority="1635" stopIfTrue="1">
      <formula>AP7=CléMaladie</formula>
    </cfRule>
    <cfRule type="expression" dxfId="13591" priority="1636" stopIfTrue="1">
      <formula>AP7=CléPersonnelle</formula>
    </cfRule>
    <cfRule type="expression" dxfId="13590" priority="1637" stopIfTrue="1">
      <formula>AP7=CléCongés</formula>
    </cfRule>
  </conditionalFormatting>
  <conditionalFormatting sqref="AQ8:AR8 AR7">
    <cfRule type="expression" priority="1626" stopIfTrue="1">
      <formula>AQ7=""</formula>
    </cfRule>
    <cfRule type="expression" dxfId="13589" priority="1627" stopIfTrue="1">
      <formula>AQ7=CléPersonnalisée2</formula>
    </cfRule>
    <cfRule type="expression" dxfId="13588" priority="1628" stopIfTrue="1">
      <formula>AQ7=CléPersonnalisée1</formula>
    </cfRule>
    <cfRule type="expression" dxfId="13587" priority="1629" stopIfTrue="1">
      <formula>AQ7=CléMaladie</formula>
    </cfRule>
    <cfRule type="expression" dxfId="13586" priority="1630" stopIfTrue="1">
      <formula>AQ7=CléPersonnelle</formula>
    </cfRule>
    <cfRule type="expression" dxfId="13585" priority="1631" stopIfTrue="1">
      <formula>AQ7=CléCongés</formula>
    </cfRule>
  </conditionalFormatting>
  <conditionalFormatting sqref="AM11 AP11">
    <cfRule type="expression" priority="1620" stopIfTrue="1">
      <formula>AM11=""</formula>
    </cfRule>
    <cfRule type="expression" dxfId="13584" priority="1621" stopIfTrue="1">
      <formula>AM11=CléPersonnalisée2</formula>
    </cfRule>
    <cfRule type="expression" dxfId="13583" priority="1622" stopIfTrue="1">
      <formula>AM11=CléPersonnalisée1</formula>
    </cfRule>
    <cfRule type="expression" dxfId="13582" priority="1623" stopIfTrue="1">
      <formula>AM11=CléMaladie</formula>
    </cfRule>
    <cfRule type="expression" dxfId="13581" priority="1624" stopIfTrue="1">
      <formula>AM11=CléPersonnelle</formula>
    </cfRule>
    <cfRule type="expression" dxfId="13580" priority="1625" stopIfTrue="1">
      <formula>AM11=CléCongés</formula>
    </cfRule>
  </conditionalFormatting>
  <conditionalFormatting sqref="AQ48:AR48">
    <cfRule type="expression" priority="1614" stopIfTrue="1">
      <formula>AQ48=""</formula>
    </cfRule>
    <cfRule type="expression" dxfId="13579" priority="1615" stopIfTrue="1">
      <formula>AQ48=CléPersonnalisée2</formula>
    </cfRule>
    <cfRule type="expression" dxfId="13578" priority="1616" stopIfTrue="1">
      <formula>AQ48=CléPersonnalisée1</formula>
    </cfRule>
    <cfRule type="expression" dxfId="13577" priority="1617" stopIfTrue="1">
      <formula>AQ48=CléMaladie</formula>
    </cfRule>
    <cfRule type="expression" dxfId="13576" priority="1618" stopIfTrue="1">
      <formula>AQ48=CléPersonnelle</formula>
    </cfRule>
    <cfRule type="expression" dxfId="13575" priority="1619" stopIfTrue="1">
      <formula>AQ48=CléCongés</formula>
    </cfRule>
  </conditionalFormatting>
  <conditionalFormatting sqref="AQ52:AR52">
    <cfRule type="expression" priority="1608" stopIfTrue="1">
      <formula>AQ52=""</formula>
    </cfRule>
    <cfRule type="expression" dxfId="13574" priority="1609" stopIfTrue="1">
      <formula>AQ52=CléPersonnalisée2</formula>
    </cfRule>
    <cfRule type="expression" dxfId="13573" priority="1610" stopIfTrue="1">
      <formula>AQ52=CléPersonnalisée1</formula>
    </cfRule>
    <cfRule type="expression" dxfId="13572" priority="1611" stopIfTrue="1">
      <formula>AQ52=CléMaladie</formula>
    </cfRule>
    <cfRule type="expression" dxfId="13571" priority="1612" stopIfTrue="1">
      <formula>AQ52=CléPersonnelle</formula>
    </cfRule>
    <cfRule type="expression" dxfId="13570" priority="1613" stopIfTrue="1">
      <formula>AQ52=CléCongés</formula>
    </cfRule>
  </conditionalFormatting>
  <conditionalFormatting sqref="AQ56:AR56 AQ60:AR60">
    <cfRule type="expression" priority="1602" stopIfTrue="1">
      <formula>AQ56=""</formula>
    </cfRule>
    <cfRule type="expression" dxfId="13569" priority="1603" stopIfTrue="1">
      <formula>AQ56=CléPersonnalisée2</formula>
    </cfRule>
    <cfRule type="expression" dxfId="13568" priority="1604" stopIfTrue="1">
      <formula>AQ56=CléPersonnalisée1</formula>
    </cfRule>
    <cfRule type="expression" dxfId="13567" priority="1605" stopIfTrue="1">
      <formula>AQ56=CléMaladie</formula>
    </cfRule>
    <cfRule type="expression" dxfId="13566" priority="1606" stopIfTrue="1">
      <formula>AQ56=CléPersonnelle</formula>
    </cfRule>
    <cfRule type="expression" dxfId="13565" priority="1607" stopIfTrue="1">
      <formula>AQ56=CléCongés</formula>
    </cfRule>
  </conditionalFormatting>
  <conditionalFormatting sqref="AQ64:AR64 AQ68:AR68">
    <cfRule type="expression" priority="1596" stopIfTrue="1">
      <formula>AQ64=""</formula>
    </cfRule>
    <cfRule type="expression" dxfId="13564" priority="1597" stopIfTrue="1">
      <formula>AQ64=CléPersonnalisée2</formula>
    </cfRule>
    <cfRule type="expression" dxfId="13563" priority="1598" stopIfTrue="1">
      <formula>AQ64=CléPersonnalisée1</formula>
    </cfRule>
    <cfRule type="expression" dxfId="13562" priority="1599" stopIfTrue="1">
      <formula>AQ64=CléMaladie</formula>
    </cfRule>
    <cfRule type="expression" dxfId="13561" priority="1600" stopIfTrue="1">
      <formula>AQ64=CléPersonnelle</formula>
    </cfRule>
    <cfRule type="expression" dxfId="13560" priority="1601" stopIfTrue="1">
      <formula>AQ64=CléCongés</formula>
    </cfRule>
  </conditionalFormatting>
  <conditionalFormatting sqref="AQ72:AR72 AQ76:AR76 AQ84:AR84 AQ88:AR88 AQ92:AR92 AQ80:AR80">
    <cfRule type="expression" priority="1590" stopIfTrue="1">
      <formula>AQ72=""</formula>
    </cfRule>
    <cfRule type="expression" dxfId="13559" priority="1591" stopIfTrue="1">
      <formula>AQ72=CléPersonnalisée2</formula>
    </cfRule>
    <cfRule type="expression" dxfId="13558" priority="1592" stopIfTrue="1">
      <formula>AQ72=CléPersonnalisée1</formula>
    </cfRule>
    <cfRule type="expression" dxfId="13557" priority="1593" stopIfTrue="1">
      <formula>AQ72=CléMaladie</formula>
    </cfRule>
    <cfRule type="expression" dxfId="13556" priority="1594" stopIfTrue="1">
      <formula>AQ72=CléPersonnelle</formula>
    </cfRule>
    <cfRule type="expression" dxfId="13555" priority="1595" stopIfTrue="1">
      <formula>AQ72=CléCongés</formula>
    </cfRule>
  </conditionalFormatting>
  <conditionalFormatting sqref="D17:AG18 C19:AG19">
    <cfRule type="expression" priority="1584" stopIfTrue="1">
      <formula>C17=""</formula>
    </cfRule>
    <cfRule type="expression" dxfId="13554" priority="1585" stopIfTrue="1">
      <formula>C17=CléPersonnalisée2</formula>
    </cfRule>
    <cfRule type="expression" dxfId="13553" priority="1586" stopIfTrue="1">
      <formula>C17=CléPersonnalisée1</formula>
    </cfRule>
    <cfRule type="expression" dxfId="13552" priority="1587" stopIfTrue="1">
      <formula>C17=CléMaladie</formula>
    </cfRule>
    <cfRule type="expression" dxfId="13551" priority="1588" stopIfTrue="1">
      <formula>C17=CléPersonnelle</formula>
    </cfRule>
    <cfRule type="expression" dxfId="13550" priority="1589" stopIfTrue="1">
      <formula>C17=CléCongés</formula>
    </cfRule>
  </conditionalFormatting>
  <conditionalFormatting sqref="C21:AG23">
    <cfRule type="expression" priority="1578" stopIfTrue="1">
      <formula>C21=""</formula>
    </cfRule>
    <cfRule type="expression" dxfId="13549" priority="1579" stopIfTrue="1">
      <formula>C21=CléPersonnalisée2</formula>
    </cfRule>
    <cfRule type="expression" dxfId="13548" priority="1580" stopIfTrue="1">
      <formula>C21=CléPersonnalisée1</formula>
    </cfRule>
    <cfRule type="expression" dxfId="13547" priority="1581" stopIfTrue="1">
      <formula>C21=CléMaladie</formula>
    </cfRule>
    <cfRule type="expression" dxfId="13546" priority="1582" stopIfTrue="1">
      <formula>C21=CléPersonnelle</formula>
    </cfRule>
    <cfRule type="expression" dxfId="13545" priority="1583" stopIfTrue="1">
      <formula>C21=CléCongés</formula>
    </cfRule>
  </conditionalFormatting>
  <conditionalFormatting sqref="C25:AG27">
    <cfRule type="expression" priority="1571" stopIfTrue="1">
      <formula>C25=""</formula>
    </cfRule>
    <cfRule type="expression" dxfId="13544" priority="1572" stopIfTrue="1">
      <formula>C25=CléPersonnalisée2</formula>
    </cfRule>
    <cfRule type="expression" dxfId="13543" priority="1573" stopIfTrue="1">
      <formula>C25=CléPersonnalisée1</formula>
    </cfRule>
    <cfRule type="expression" dxfId="13542" priority="1574" stopIfTrue="1">
      <formula>C25=CléMaladie</formula>
    </cfRule>
    <cfRule type="expression" dxfId="13541" priority="1575" stopIfTrue="1">
      <formula>C25=CléPersonnelle</formula>
    </cfRule>
    <cfRule type="expression" dxfId="13540" priority="1576" stopIfTrue="1">
      <formula>C25=CléCongés</formula>
    </cfRule>
  </conditionalFormatting>
  <conditionalFormatting sqref="AH27">
    <cfRule type="dataBar" priority="1577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{DEB09FE0-AA68-407A-AC00-1B3FBCF9AF38}</x14:id>
        </ext>
      </extLst>
    </cfRule>
  </conditionalFormatting>
  <conditionalFormatting sqref="AM25:AP26">
    <cfRule type="expression" priority="1565" stopIfTrue="1">
      <formula>AM25=""</formula>
    </cfRule>
    <cfRule type="expression" dxfId="13539" priority="1566" stopIfTrue="1">
      <formula>AM25=CléPersonnalisée2</formula>
    </cfRule>
    <cfRule type="expression" dxfId="13538" priority="1567" stopIfTrue="1">
      <formula>AM25=CléPersonnalisée1</formula>
    </cfRule>
    <cfRule type="expression" dxfId="13537" priority="1568" stopIfTrue="1">
      <formula>AM25=CléMaladie</formula>
    </cfRule>
    <cfRule type="expression" dxfId="13536" priority="1569" stopIfTrue="1">
      <formula>AM25=CléPersonnelle</formula>
    </cfRule>
    <cfRule type="expression" dxfId="13535" priority="1570" stopIfTrue="1">
      <formula>AM25=CléCongés</formula>
    </cfRule>
  </conditionalFormatting>
  <conditionalFormatting sqref="AQ25:AR26">
    <cfRule type="expression" priority="1559" stopIfTrue="1">
      <formula>AQ25=""</formula>
    </cfRule>
    <cfRule type="expression" dxfId="13534" priority="1560" stopIfTrue="1">
      <formula>AQ25=CléPersonnalisée2</formula>
    </cfRule>
    <cfRule type="expression" dxfId="13533" priority="1561" stopIfTrue="1">
      <formula>AQ25=CléPersonnalisée1</formula>
    </cfRule>
    <cfRule type="expression" dxfId="13532" priority="1562" stopIfTrue="1">
      <formula>AQ25=CléMaladie</formula>
    </cfRule>
    <cfRule type="expression" dxfId="13531" priority="1563" stopIfTrue="1">
      <formula>AQ25=CléPersonnelle</formula>
    </cfRule>
    <cfRule type="expression" dxfId="13530" priority="1564" stopIfTrue="1">
      <formula>AQ25=CléCongés</formula>
    </cfRule>
  </conditionalFormatting>
  <conditionalFormatting sqref="AM27 AP27">
    <cfRule type="expression" priority="1553" stopIfTrue="1">
      <formula>AM27=""</formula>
    </cfRule>
    <cfRule type="expression" dxfId="13529" priority="1554" stopIfTrue="1">
      <formula>AM27=CléPersonnalisée2</formula>
    </cfRule>
    <cfRule type="expression" dxfId="13528" priority="1555" stopIfTrue="1">
      <formula>AM27=CléPersonnalisée1</formula>
    </cfRule>
    <cfRule type="expression" dxfId="13527" priority="1556" stopIfTrue="1">
      <formula>AM27=CléMaladie</formula>
    </cfRule>
    <cfRule type="expression" dxfId="13526" priority="1557" stopIfTrue="1">
      <formula>AM27=CléPersonnelle</formula>
    </cfRule>
    <cfRule type="expression" dxfId="13525" priority="1558" stopIfTrue="1">
      <formula>AM27=CléCongés</formula>
    </cfRule>
  </conditionalFormatting>
  <conditionalFormatting sqref="C29:AG31">
    <cfRule type="expression" priority="1546" stopIfTrue="1">
      <formula>C29=""</formula>
    </cfRule>
    <cfRule type="expression" dxfId="13524" priority="1547" stopIfTrue="1">
      <formula>C29=CléPersonnalisée2</formula>
    </cfRule>
    <cfRule type="expression" dxfId="13523" priority="1548" stopIfTrue="1">
      <formula>C29=CléPersonnalisée1</formula>
    </cfRule>
    <cfRule type="expression" dxfId="13522" priority="1549" stopIfTrue="1">
      <formula>C29=CléMaladie</formula>
    </cfRule>
    <cfRule type="expression" dxfId="13521" priority="1550" stopIfTrue="1">
      <formula>C29=CléPersonnelle</formula>
    </cfRule>
    <cfRule type="expression" dxfId="13520" priority="1551" stopIfTrue="1">
      <formula>C29=CléCongés</formula>
    </cfRule>
  </conditionalFormatting>
  <conditionalFormatting sqref="AH31">
    <cfRule type="dataBar" priority="1552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{F75CE6B1-5844-41C9-AECB-4E70FBD5957B}</x14:id>
        </ext>
      </extLst>
    </cfRule>
  </conditionalFormatting>
  <conditionalFormatting sqref="AM29:AP30">
    <cfRule type="expression" priority="1540" stopIfTrue="1">
      <formula>AM29=""</formula>
    </cfRule>
    <cfRule type="expression" dxfId="13519" priority="1541" stopIfTrue="1">
      <formula>AM29=CléPersonnalisée2</formula>
    </cfRule>
    <cfRule type="expression" dxfId="13518" priority="1542" stopIfTrue="1">
      <formula>AM29=CléPersonnalisée1</formula>
    </cfRule>
    <cfRule type="expression" dxfId="13517" priority="1543" stopIfTrue="1">
      <formula>AM29=CléMaladie</formula>
    </cfRule>
    <cfRule type="expression" dxfId="13516" priority="1544" stopIfTrue="1">
      <formula>AM29=CléPersonnelle</formula>
    </cfRule>
    <cfRule type="expression" dxfId="13515" priority="1545" stopIfTrue="1">
      <formula>AM29=CléCongés</formula>
    </cfRule>
  </conditionalFormatting>
  <conditionalFormatting sqref="AQ29:AR30">
    <cfRule type="expression" priority="1534" stopIfTrue="1">
      <formula>AQ29=""</formula>
    </cfRule>
    <cfRule type="expression" dxfId="13514" priority="1535" stopIfTrue="1">
      <formula>AQ29=CléPersonnalisée2</formula>
    </cfRule>
    <cfRule type="expression" dxfId="13513" priority="1536" stopIfTrue="1">
      <formula>AQ29=CléPersonnalisée1</formula>
    </cfRule>
    <cfRule type="expression" dxfId="13512" priority="1537" stopIfTrue="1">
      <formula>AQ29=CléMaladie</formula>
    </cfRule>
    <cfRule type="expression" dxfId="13511" priority="1538" stopIfTrue="1">
      <formula>AQ29=CléPersonnelle</formula>
    </cfRule>
    <cfRule type="expression" dxfId="13510" priority="1539" stopIfTrue="1">
      <formula>AQ29=CléCongés</formula>
    </cfRule>
  </conditionalFormatting>
  <conditionalFormatting sqref="AM31 AP31">
    <cfRule type="expression" priority="1528" stopIfTrue="1">
      <formula>AM31=""</formula>
    </cfRule>
    <cfRule type="expression" dxfId="13509" priority="1529" stopIfTrue="1">
      <formula>AM31=CléPersonnalisée2</formula>
    </cfRule>
    <cfRule type="expression" dxfId="13508" priority="1530" stopIfTrue="1">
      <formula>AM31=CléPersonnalisée1</formula>
    </cfRule>
    <cfRule type="expression" dxfId="13507" priority="1531" stopIfTrue="1">
      <formula>AM31=CléMaladie</formula>
    </cfRule>
    <cfRule type="expression" dxfId="13506" priority="1532" stopIfTrue="1">
      <formula>AM31=CléPersonnelle</formula>
    </cfRule>
    <cfRule type="expression" dxfId="13505" priority="1533" stopIfTrue="1">
      <formula>AM31=CléCongés</formula>
    </cfRule>
  </conditionalFormatting>
  <conditionalFormatting sqref="C33:AG35">
    <cfRule type="expression" priority="1521" stopIfTrue="1">
      <formula>C33=""</formula>
    </cfRule>
    <cfRule type="expression" dxfId="13504" priority="1522" stopIfTrue="1">
      <formula>C33=CléPersonnalisée2</formula>
    </cfRule>
    <cfRule type="expression" dxfId="13503" priority="1523" stopIfTrue="1">
      <formula>C33=CléPersonnalisée1</formula>
    </cfRule>
    <cfRule type="expression" dxfId="13502" priority="1524" stopIfTrue="1">
      <formula>C33=CléMaladie</formula>
    </cfRule>
    <cfRule type="expression" dxfId="13501" priority="1525" stopIfTrue="1">
      <formula>C33=CléPersonnelle</formula>
    </cfRule>
    <cfRule type="expression" dxfId="13500" priority="1526" stopIfTrue="1">
      <formula>C33=CléCongés</formula>
    </cfRule>
  </conditionalFormatting>
  <conditionalFormatting sqref="AH35">
    <cfRule type="dataBar" priority="1527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{779A7DDA-FAF9-42DA-812E-C1EEF8633D5E}</x14:id>
        </ext>
      </extLst>
    </cfRule>
  </conditionalFormatting>
  <conditionalFormatting sqref="AM33:AP34">
    <cfRule type="expression" priority="1515" stopIfTrue="1">
      <formula>AM33=""</formula>
    </cfRule>
    <cfRule type="expression" dxfId="13499" priority="1516" stopIfTrue="1">
      <formula>AM33=CléPersonnalisée2</formula>
    </cfRule>
    <cfRule type="expression" dxfId="13498" priority="1517" stopIfTrue="1">
      <formula>AM33=CléPersonnalisée1</formula>
    </cfRule>
    <cfRule type="expression" dxfId="13497" priority="1518" stopIfTrue="1">
      <formula>AM33=CléMaladie</formula>
    </cfRule>
    <cfRule type="expression" dxfId="13496" priority="1519" stopIfTrue="1">
      <formula>AM33=CléPersonnelle</formula>
    </cfRule>
    <cfRule type="expression" dxfId="13495" priority="1520" stopIfTrue="1">
      <formula>AM33=CléCongés</formula>
    </cfRule>
  </conditionalFormatting>
  <conditionalFormatting sqref="AQ33:AR34">
    <cfRule type="expression" priority="1509" stopIfTrue="1">
      <formula>AQ33=""</formula>
    </cfRule>
    <cfRule type="expression" dxfId="13494" priority="1510" stopIfTrue="1">
      <formula>AQ33=CléPersonnalisée2</formula>
    </cfRule>
    <cfRule type="expression" dxfId="13493" priority="1511" stopIfTrue="1">
      <formula>AQ33=CléPersonnalisée1</formula>
    </cfRule>
    <cfRule type="expression" dxfId="13492" priority="1512" stopIfTrue="1">
      <formula>AQ33=CléMaladie</formula>
    </cfRule>
    <cfRule type="expression" dxfId="13491" priority="1513" stopIfTrue="1">
      <formula>AQ33=CléPersonnelle</formula>
    </cfRule>
    <cfRule type="expression" dxfId="13490" priority="1514" stopIfTrue="1">
      <formula>AQ33=CléCongés</formula>
    </cfRule>
  </conditionalFormatting>
  <conditionalFormatting sqref="AM35 AP35">
    <cfRule type="expression" priority="1503" stopIfTrue="1">
      <formula>AM35=""</formula>
    </cfRule>
    <cfRule type="expression" dxfId="13489" priority="1504" stopIfTrue="1">
      <formula>AM35=CléPersonnalisée2</formula>
    </cfRule>
    <cfRule type="expression" dxfId="13488" priority="1505" stopIfTrue="1">
      <formula>AM35=CléPersonnalisée1</formula>
    </cfRule>
    <cfRule type="expression" dxfId="13487" priority="1506" stopIfTrue="1">
      <formula>AM35=CléMaladie</formula>
    </cfRule>
    <cfRule type="expression" dxfId="13486" priority="1507" stopIfTrue="1">
      <formula>AM35=CléPersonnelle</formula>
    </cfRule>
    <cfRule type="expression" dxfId="13485" priority="1508" stopIfTrue="1">
      <formula>AM35=CléCongés</formula>
    </cfRule>
  </conditionalFormatting>
  <conditionalFormatting sqref="C37:AG39">
    <cfRule type="expression" priority="1496" stopIfTrue="1">
      <formula>C37=""</formula>
    </cfRule>
    <cfRule type="expression" dxfId="13484" priority="1497" stopIfTrue="1">
      <formula>C37=CléPersonnalisée2</formula>
    </cfRule>
    <cfRule type="expression" dxfId="13483" priority="1498" stopIfTrue="1">
      <formula>C37=CléPersonnalisée1</formula>
    </cfRule>
    <cfRule type="expression" dxfId="13482" priority="1499" stopIfTrue="1">
      <formula>C37=CléMaladie</formula>
    </cfRule>
    <cfRule type="expression" dxfId="13481" priority="1500" stopIfTrue="1">
      <formula>C37=CléPersonnelle</formula>
    </cfRule>
    <cfRule type="expression" dxfId="13480" priority="1501" stopIfTrue="1">
      <formula>C37=CléCongés</formula>
    </cfRule>
  </conditionalFormatting>
  <conditionalFormatting sqref="AH39">
    <cfRule type="dataBar" priority="1502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{376B9B82-1B0F-46AD-95E0-0193BE05B768}</x14:id>
        </ext>
      </extLst>
    </cfRule>
  </conditionalFormatting>
  <conditionalFormatting sqref="AM37:AP38">
    <cfRule type="expression" priority="1490" stopIfTrue="1">
      <formula>AM37=""</formula>
    </cfRule>
    <cfRule type="expression" dxfId="13479" priority="1491" stopIfTrue="1">
      <formula>AM37=CléPersonnalisée2</formula>
    </cfRule>
    <cfRule type="expression" dxfId="13478" priority="1492" stopIfTrue="1">
      <formula>AM37=CléPersonnalisée1</formula>
    </cfRule>
    <cfRule type="expression" dxfId="13477" priority="1493" stopIfTrue="1">
      <formula>AM37=CléMaladie</formula>
    </cfRule>
    <cfRule type="expression" dxfId="13476" priority="1494" stopIfTrue="1">
      <formula>AM37=CléPersonnelle</formula>
    </cfRule>
    <cfRule type="expression" dxfId="13475" priority="1495" stopIfTrue="1">
      <formula>AM37=CléCongés</formula>
    </cfRule>
  </conditionalFormatting>
  <conditionalFormatting sqref="AQ37:AR38">
    <cfRule type="expression" priority="1484" stopIfTrue="1">
      <formula>AQ37=""</formula>
    </cfRule>
    <cfRule type="expression" dxfId="13474" priority="1485" stopIfTrue="1">
      <formula>AQ37=CléPersonnalisée2</formula>
    </cfRule>
    <cfRule type="expression" dxfId="13473" priority="1486" stopIfTrue="1">
      <formula>AQ37=CléPersonnalisée1</formula>
    </cfRule>
    <cfRule type="expression" dxfId="13472" priority="1487" stopIfTrue="1">
      <formula>AQ37=CléMaladie</formula>
    </cfRule>
    <cfRule type="expression" dxfId="13471" priority="1488" stopIfTrue="1">
      <formula>AQ37=CléPersonnelle</formula>
    </cfRule>
    <cfRule type="expression" dxfId="13470" priority="1489" stopIfTrue="1">
      <formula>AQ37=CléCongés</formula>
    </cfRule>
  </conditionalFormatting>
  <conditionalFormatting sqref="AM39 AP39">
    <cfRule type="expression" priority="1478" stopIfTrue="1">
      <formula>AM39=""</formula>
    </cfRule>
    <cfRule type="expression" dxfId="13469" priority="1479" stopIfTrue="1">
      <formula>AM39=CléPersonnalisée2</formula>
    </cfRule>
    <cfRule type="expression" dxfId="13468" priority="1480" stopIfTrue="1">
      <formula>AM39=CléPersonnalisée1</formula>
    </cfRule>
    <cfRule type="expression" dxfId="13467" priority="1481" stopIfTrue="1">
      <formula>AM39=CléMaladie</formula>
    </cfRule>
    <cfRule type="expression" dxfId="13466" priority="1482" stopIfTrue="1">
      <formula>AM39=CléPersonnelle</formula>
    </cfRule>
    <cfRule type="expression" dxfId="13465" priority="1483" stopIfTrue="1">
      <formula>AM39=CléCongés</formula>
    </cfRule>
  </conditionalFormatting>
  <conditionalFormatting sqref="C41:AG43">
    <cfRule type="expression" priority="1471" stopIfTrue="1">
      <formula>C41=""</formula>
    </cfRule>
    <cfRule type="expression" dxfId="13464" priority="1472" stopIfTrue="1">
      <formula>C41=CléPersonnalisée2</formula>
    </cfRule>
    <cfRule type="expression" dxfId="13463" priority="1473" stopIfTrue="1">
      <formula>C41=CléPersonnalisée1</formula>
    </cfRule>
    <cfRule type="expression" dxfId="13462" priority="1474" stopIfTrue="1">
      <formula>C41=CléMaladie</formula>
    </cfRule>
    <cfRule type="expression" dxfId="13461" priority="1475" stopIfTrue="1">
      <formula>C41=CléPersonnelle</formula>
    </cfRule>
    <cfRule type="expression" dxfId="13460" priority="1476" stopIfTrue="1">
      <formula>C41=CléCongés</formula>
    </cfRule>
  </conditionalFormatting>
  <conditionalFormatting sqref="AH43">
    <cfRule type="dataBar" priority="1477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{AC675936-9A0F-434E-AC52-98BA78591D71}</x14:id>
        </ext>
      </extLst>
    </cfRule>
  </conditionalFormatting>
  <conditionalFormatting sqref="AM41:AP42">
    <cfRule type="expression" priority="1465" stopIfTrue="1">
      <formula>AM41=""</formula>
    </cfRule>
    <cfRule type="expression" dxfId="13459" priority="1466" stopIfTrue="1">
      <formula>AM41=CléPersonnalisée2</formula>
    </cfRule>
    <cfRule type="expression" dxfId="13458" priority="1467" stopIfTrue="1">
      <formula>AM41=CléPersonnalisée1</formula>
    </cfRule>
    <cfRule type="expression" dxfId="13457" priority="1468" stopIfTrue="1">
      <formula>AM41=CléMaladie</formula>
    </cfRule>
    <cfRule type="expression" dxfId="13456" priority="1469" stopIfTrue="1">
      <formula>AM41=CléPersonnelle</formula>
    </cfRule>
    <cfRule type="expression" dxfId="13455" priority="1470" stopIfTrue="1">
      <formula>AM41=CléCongés</formula>
    </cfRule>
  </conditionalFormatting>
  <conditionalFormatting sqref="AQ41:AR42">
    <cfRule type="expression" priority="1459" stopIfTrue="1">
      <formula>AQ41=""</formula>
    </cfRule>
    <cfRule type="expression" dxfId="13454" priority="1460" stopIfTrue="1">
      <formula>AQ41=CléPersonnalisée2</formula>
    </cfRule>
    <cfRule type="expression" dxfId="13453" priority="1461" stopIfTrue="1">
      <formula>AQ41=CléPersonnalisée1</formula>
    </cfRule>
    <cfRule type="expression" dxfId="13452" priority="1462" stopIfTrue="1">
      <formula>AQ41=CléMaladie</formula>
    </cfRule>
    <cfRule type="expression" dxfId="13451" priority="1463" stopIfTrue="1">
      <formula>AQ41=CléPersonnelle</formula>
    </cfRule>
    <cfRule type="expression" dxfId="13450" priority="1464" stopIfTrue="1">
      <formula>AQ41=CléCongés</formula>
    </cfRule>
  </conditionalFormatting>
  <conditionalFormatting sqref="AM43 AP43">
    <cfRule type="expression" priority="1453" stopIfTrue="1">
      <formula>AM43=""</formula>
    </cfRule>
    <cfRule type="expression" dxfId="13449" priority="1454" stopIfTrue="1">
      <formula>AM43=CléPersonnalisée2</formula>
    </cfRule>
    <cfRule type="expression" dxfId="13448" priority="1455" stopIfTrue="1">
      <formula>AM43=CléPersonnalisée1</formula>
    </cfRule>
    <cfRule type="expression" dxfId="13447" priority="1456" stopIfTrue="1">
      <formula>AM43=CléMaladie</formula>
    </cfRule>
    <cfRule type="expression" dxfId="13446" priority="1457" stopIfTrue="1">
      <formula>AM43=CléPersonnelle</formula>
    </cfRule>
    <cfRule type="expression" dxfId="13445" priority="1458" stopIfTrue="1">
      <formula>AM43=CléCongés</formula>
    </cfRule>
  </conditionalFormatting>
  <conditionalFormatting sqref="C45:AG47">
    <cfRule type="expression" priority="1446" stopIfTrue="1">
      <formula>C45=""</formula>
    </cfRule>
    <cfRule type="expression" dxfId="13444" priority="1447" stopIfTrue="1">
      <formula>C45=CléPersonnalisée2</formula>
    </cfRule>
    <cfRule type="expression" dxfId="13443" priority="1448" stopIfTrue="1">
      <formula>C45=CléPersonnalisée1</formula>
    </cfRule>
    <cfRule type="expression" dxfId="13442" priority="1449" stopIfTrue="1">
      <formula>C45=CléMaladie</formula>
    </cfRule>
    <cfRule type="expression" dxfId="13441" priority="1450" stopIfTrue="1">
      <formula>C45=CléPersonnelle</formula>
    </cfRule>
    <cfRule type="expression" dxfId="13440" priority="1451" stopIfTrue="1">
      <formula>C45=CléCongés</formula>
    </cfRule>
  </conditionalFormatting>
  <conditionalFormatting sqref="AH47">
    <cfRule type="dataBar" priority="1452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{0A3C049C-DC0B-4B3B-9B4B-3D87EE805239}</x14:id>
        </ext>
      </extLst>
    </cfRule>
  </conditionalFormatting>
  <conditionalFormatting sqref="AM45:AP46">
    <cfRule type="expression" priority="1440" stopIfTrue="1">
      <formula>AM45=""</formula>
    </cfRule>
    <cfRule type="expression" dxfId="13439" priority="1441" stopIfTrue="1">
      <formula>AM45=CléPersonnalisée2</formula>
    </cfRule>
    <cfRule type="expression" dxfId="13438" priority="1442" stopIfTrue="1">
      <formula>AM45=CléPersonnalisée1</formula>
    </cfRule>
    <cfRule type="expression" dxfId="13437" priority="1443" stopIfTrue="1">
      <formula>AM45=CléMaladie</formula>
    </cfRule>
    <cfRule type="expression" dxfId="13436" priority="1444" stopIfTrue="1">
      <formula>AM45=CléPersonnelle</formula>
    </cfRule>
    <cfRule type="expression" dxfId="13435" priority="1445" stopIfTrue="1">
      <formula>AM45=CléCongés</formula>
    </cfRule>
  </conditionalFormatting>
  <conditionalFormatting sqref="AQ45:AR46">
    <cfRule type="expression" priority="1434" stopIfTrue="1">
      <formula>AQ45=""</formula>
    </cfRule>
    <cfRule type="expression" dxfId="13434" priority="1435" stopIfTrue="1">
      <formula>AQ45=CléPersonnalisée2</formula>
    </cfRule>
    <cfRule type="expression" dxfId="13433" priority="1436" stopIfTrue="1">
      <formula>AQ45=CléPersonnalisée1</formula>
    </cfRule>
    <cfRule type="expression" dxfId="13432" priority="1437" stopIfTrue="1">
      <formula>AQ45=CléMaladie</formula>
    </cfRule>
    <cfRule type="expression" dxfId="13431" priority="1438" stopIfTrue="1">
      <formula>AQ45=CléPersonnelle</formula>
    </cfRule>
    <cfRule type="expression" dxfId="13430" priority="1439" stopIfTrue="1">
      <formula>AQ45=CléCongés</formula>
    </cfRule>
  </conditionalFormatting>
  <conditionalFormatting sqref="AM47 AP47">
    <cfRule type="expression" priority="1428" stopIfTrue="1">
      <formula>AM47=""</formula>
    </cfRule>
    <cfRule type="expression" dxfId="13429" priority="1429" stopIfTrue="1">
      <formula>AM47=CléPersonnalisée2</formula>
    </cfRule>
    <cfRule type="expression" dxfId="13428" priority="1430" stopIfTrue="1">
      <formula>AM47=CléPersonnalisée1</formula>
    </cfRule>
    <cfRule type="expression" dxfId="13427" priority="1431" stopIfTrue="1">
      <formula>AM47=CléMaladie</formula>
    </cfRule>
    <cfRule type="expression" dxfId="13426" priority="1432" stopIfTrue="1">
      <formula>AM47=CléPersonnelle</formula>
    </cfRule>
    <cfRule type="expression" dxfId="13425" priority="1433" stopIfTrue="1">
      <formula>AM47=CléCongés</formula>
    </cfRule>
  </conditionalFormatting>
  <conditionalFormatting sqref="C49:AG51">
    <cfRule type="expression" priority="1421" stopIfTrue="1">
      <formula>C49=""</formula>
    </cfRule>
    <cfRule type="expression" dxfId="13424" priority="1422" stopIfTrue="1">
      <formula>C49=CléPersonnalisée2</formula>
    </cfRule>
    <cfRule type="expression" dxfId="13423" priority="1423" stopIfTrue="1">
      <formula>C49=CléPersonnalisée1</formula>
    </cfRule>
    <cfRule type="expression" dxfId="13422" priority="1424" stopIfTrue="1">
      <formula>C49=CléMaladie</formula>
    </cfRule>
    <cfRule type="expression" dxfId="13421" priority="1425" stopIfTrue="1">
      <formula>C49=CléPersonnelle</formula>
    </cfRule>
    <cfRule type="expression" dxfId="13420" priority="1426" stopIfTrue="1">
      <formula>C49=CléCongés</formula>
    </cfRule>
  </conditionalFormatting>
  <conditionalFormatting sqref="AH51">
    <cfRule type="dataBar" priority="1427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{A50CDB04-6B5F-4F2B-86A3-F7597C5B5ED2}</x14:id>
        </ext>
      </extLst>
    </cfRule>
  </conditionalFormatting>
  <conditionalFormatting sqref="AM49:AP50">
    <cfRule type="expression" priority="1415" stopIfTrue="1">
      <formula>AM49=""</formula>
    </cfRule>
    <cfRule type="expression" dxfId="13419" priority="1416" stopIfTrue="1">
      <formula>AM49=CléPersonnalisée2</formula>
    </cfRule>
    <cfRule type="expression" dxfId="13418" priority="1417" stopIfTrue="1">
      <formula>AM49=CléPersonnalisée1</formula>
    </cfRule>
    <cfRule type="expression" dxfId="13417" priority="1418" stopIfTrue="1">
      <formula>AM49=CléMaladie</formula>
    </cfRule>
    <cfRule type="expression" dxfId="13416" priority="1419" stopIfTrue="1">
      <formula>AM49=CléPersonnelle</formula>
    </cfRule>
    <cfRule type="expression" dxfId="13415" priority="1420" stopIfTrue="1">
      <formula>AM49=CléCongés</formula>
    </cfRule>
  </conditionalFormatting>
  <conditionalFormatting sqref="AQ49:AR50">
    <cfRule type="expression" priority="1409" stopIfTrue="1">
      <formula>AQ49=""</formula>
    </cfRule>
    <cfRule type="expression" dxfId="13414" priority="1410" stopIfTrue="1">
      <formula>AQ49=CléPersonnalisée2</formula>
    </cfRule>
    <cfRule type="expression" dxfId="13413" priority="1411" stopIfTrue="1">
      <formula>AQ49=CléPersonnalisée1</formula>
    </cfRule>
    <cfRule type="expression" dxfId="13412" priority="1412" stopIfTrue="1">
      <formula>AQ49=CléMaladie</formula>
    </cfRule>
    <cfRule type="expression" dxfId="13411" priority="1413" stopIfTrue="1">
      <formula>AQ49=CléPersonnelle</formula>
    </cfRule>
    <cfRule type="expression" dxfId="13410" priority="1414" stopIfTrue="1">
      <formula>AQ49=CléCongés</formula>
    </cfRule>
  </conditionalFormatting>
  <conditionalFormatting sqref="AM51 AP51">
    <cfRule type="expression" priority="1403" stopIfTrue="1">
      <formula>AM51=""</formula>
    </cfRule>
    <cfRule type="expression" dxfId="13409" priority="1404" stopIfTrue="1">
      <formula>AM51=CléPersonnalisée2</formula>
    </cfRule>
    <cfRule type="expression" dxfId="13408" priority="1405" stopIfTrue="1">
      <formula>AM51=CléPersonnalisée1</formula>
    </cfRule>
    <cfRule type="expression" dxfId="13407" priority="1406" stopIfTrue="1">
      <formula>AM51=CléMaladie</formula>
    </cfRule>
    <cfRule type="expression" dxfId="13406" priority="1407" stopIfTrue="1">
      <formula>AM51=CléPersonnelle</formula>
    </cfRule>
    <cfRule type="expression" dxfId="13405" priority="1408" stopIfTrue="1">
      <formula>AM51=CléCongés</formula>
    </cfRule>
  </conditionalFormatting>
  <conditionalFormatting sqref="C53:AG55">
    <cfRule type="expression" priority="1396" stopIfTrue="1">
      <formula>C53=""</formula>
    </cfRule>
    <cfRule type="expression" dxfId="13404" priority="1397" stopIfTrue="1">
      <formula>C53=CléPersonnalisée2</formula>
    </cfRule>
    <cfRule type="expression" dxfId="13403" priority="1398" stopIfTrue="1">
      <formula>C53=CléPersonnalisée1</formula>
    </cfRule>
    <cfRule type="expression" dxfId="13402" priority="1399" stopIfTrue="1">
      <formula>C53=CléMaladie</formula>
    </cfRule>
    <cfRule type="expression" dxfId="13401" priority="1400" stopIfTrue="1">
      <formula>C53=CléPersonnelle</formula>
    </cfRule>
    <cfRule type="expression" dxfId="13400" priority="1401" stopIfTrue="1">
      <formula>C53=CléCongés</formula>
    </cfRule>
  </conditionalFormatting>
  <conditionalFormatting sqref="AH55">
    <cfRule type="dataBar" priority="1402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{29417FF1-DD1B-4657-B290-38945CBF2C98}</x14:id>
        </ext>
      </extLst>
    </cfRule>
  </conditionalFormatting>
  <conditionalFormatting sqref="AM53:AP54">
    <cfRule type="expression" priority="1390" stopIfTrue="1">
      <formula>AM53=""</formula>
    </cfRule>
    <cfRule type="expression" dxfId="13399" priority="1391" stopIfTrue="1">
      <formula>AM53=CléPersonnalisée2</formula>
    </cfRule>
    <cfRule type="expression" dxfId="13398" priority="1392" stopIfTrue="1">
      <formula>AM53=CléPersonnalisée1</formula>
    </cfRule>
    <cfRule type="expression" dxfId="13397" priority="1393" stopIfTrue="1">
      <formula>AM53=CléMaladie</formula>
    </cfRule>
    <cfRule type="expression" dxfId="13396" priority="1394" stopIfTrue="1">
      <formula>AM53=CléPersonnelle</formula>
    </cfRule>
    <cfRule type="expression" dxfId="13395" priority="1395" stopIfTrue="1">
      <formula>AM53=CléCongés</formula>
    </cfRule>
  </conditionalFormatting>
  <conditionalFormatting sqref="AQ53:AR54">
    <cfRule type="expression" priority="1384" stopIfTrue="1">
      <formula>AQ53=""</formula>
    </cfRule>
    <cfRule type="expression" dxfId="13394" priority="1385" stopIfTrue="1">
      <formula>AQ53=CléPersonnalisée2</formula>
    </cfRule>
    <cfRule type="expression" dxfId="13393" priority="1386" stopIfTrue="1">
      <formula>AQ53=CléPersonnalisée1</formula>
    </cfRule>
    <cfRule type="expression" dxfId="13392" priority="1387" stopIfTrue="1">
      <formula>AQ53=CléMaladie</formula>
    </cfRule>
    <cfRule type="expression" dxfId="13391" priority="1388" stopIfTrue="1">
      <formula>AQ53=CléPersonnelle</formula>
    </cfRule>
    <cfRule type="expression" dxfId="13390" priority="1389" stopIfTrue="1">
      <formula>AQ53=CléCongés</formula>
    </cfRule>
  </conditionalFormatting>
  <conditionalFormatting sqref="AM55 AP55">
    <cfRule type="expression" priority="1378" stopIfTrue="1">
      <formula>AM55=""</formula>
    </cfRule>
    <cfRule type="expression" dxfId="13389" priority="1379" stopIfTrue="1">
      <formula>AM55=CléPersonnalisée2</formula>
    </cfRule>
    <cfRule type="expression" dxfId="13388" priority="1380" stopIfTrue="1">
      <formula>AM55=CléPersonnalisée1</formula>
    </cfRule>
    <cfRule type="expression" dxfId="13387" priority="1381" stopIfTrue="1">
      <formula>AM55=CléMaladie</formula>
    </cfRule>
    <cfRule type="expression" dxfId="13386" priority="1382" stopIfTrue="1">
      <formula>AM55=CléPersonnelle</formula>
    </cfRule>
    <cfRule type="expression" dxfId="13385" priority="1383" stopIfTrue="1">
      <formula>AM55=CléCongés</formula>
    </cfRule>
  </conditionalFormatting>
  <conditionalFormatting sqref="C61:AG63">
    <cfRule type="expression" priority="1371" stopIfTrue="1">
      <formula>C61=""</formula>
    </cfRule>
    <cfRule type="expression" dxfId="13384" priority="1372" stopIfTrue="1">
      <formula>C61=CléPersonnalisée2</formula>
    </cfRule>
    <cfRule type="expression" dxfId="13383" priority="1373" stopIfTrue="1">
      <formula>C61=CléPersonnalisée1</formula>
    </cfRule>
    <cfRule type="expression" dxfId="13382" priority="1374" stopIfTrue="1">
      <formula>C61=CléMaladie</formula>
    </cfRule>
    <cfRule type="expression" dxfId="13381" priority="1375" stopIfTrue="1">
      <formula>C61=CléPersonnelle</formula>
    </cfRule>
    <cfRule type="expression" dxfId="13380" priority="1376" stopIfTrue="1">
      <formula>C61=CléCongés</formula>
    </cfRule>
  </conditionalFormatting>
  <conditionalFormatting sqref="AH63">
    <cfRule type="dataBar" priority="1377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{DD4C3CFA-3B1F-4A53-8041-DE00838A867F}</x14:id>
        </ext>
      </extLst>
    </cfRule>
  </conditionalFormatting>
  <conditionalFormatting sqref="AM61:AP62">
    <cfRule type="expression" priority="1365" stopIfTrue="1">
      <formula>AM61=""</formula>
    </cfRule>
    <cfRule type="expression" dxfId="13379" priority="1366" stopIfTrue="1">
      <formula>AM61=CléPersonnalisée2</formula>
    </cfRule>
    <cfRule type="expression" dxfId="13378" priority="1367" stopIfTrue="1">
      <formula>AM61=CléPersonnalisée1</formula>
    </cfRule>
    <cfRule type="expression" dxfId="13377" priority="1368" stopIfTrue="1">
      <formula>AM61=CléMaladie</formula>
    </cfRule>
    <cfRule type="expression" dxfId="13376" priority="1369" stopIfTrue="1">
      <formula>AM61=CléPersonnelle</formula>
    </cfRule>
    <cfRule type="expression" dxfId="13375" priority="1370" stopIfTrue="1">
      <formula>AM61=CléCongés</formula>
    </cfRule>
  </conditionalFormatting>
  <conditionalFormatting sqref="AQ61:AR62">
    <cfRule type="expression" priority="1359" stopIfTrue="1">
      <formula>AQ61=""</formula>
    </cfRule>
    <cfRule type="expression" dxfId="13374" priority="1360" stopIfTrue="1">
      <formula>AQ61=CléPersonnalisée2</formula>
    </cfRule>
    <cfRule type="expression" dxfId="13373" priority="1361" stopIfTrue="1">
      <formula>AQ61=CléPersonnalisée1</formula>
    </cfRule>
    <cfRule type="expression" dxfId="13372" priority="1362" stopIfTrue="1">
      <formula>AQ61=CléMaladie</formula>
    </cfRule>
    <cfRule type="expression" dxfId="13371" priority="1363" stopIfTrue="1">
      <formula>AQ61=CléPersonnelle</formula>
    </cfRule>
    <cfRule type="expression" dxfId="13370" priority="1364" stopIfTrue="1">
      <formula>AQ61=CléCongés</formula>
    </cfRule>
  </conditionalFormatting>
  <conditionalFormatting sqref="AM63 AP63">
    <cfRule type="expression" priority="1353" stopIfTrue="1">
      <formula>AM63=""</formula>
    </cfRule>
    <cfRule type="expression" dxfId="13369" priority="1354" stopIfTrue="1">
      <formula>AM63=CléPersonnalisée2</formula>
    </cfRule>
    <cfRule type="expression" dxfId="13368" priority="1355" stopIfTrue="1">
      <formula>AM63=CléPersonnalisée1</formula>
    </cfRule>
    <cfRule type="expression" dxfId="13367" priority="1356" stopIfTrue="1">
      <formula>AM63=CléMaladie</formula>
    </cfRule>
    <cfRule type="expression" dxfId="13366" priority="1357" stopIfTrue="1">
      <formula>AM63=CléPersonnelle</formula>
    </cfRule>
    <cfRule type="expression" dxfId="13365" priority="1358" stopIfTrue="1">
      <formula>AM63=CléCongés</formula>
    </cfRule>
  </conditionalFormatting>
  <conditionalFormatting sqref="C69:AG71">
    <cfRule type="expression" priority="1346" stopIfTrue="1">
      <formula>C69=""</formula>
    </cfRule>
    <cfRule type="expression" dxfId="13364" priority="1347" stopIfTrue="1">
      <formula>C69=CléPersonnalisée2</formula>
    </cfRule>
    <cfRule type="expression" dxfId="13363" priority="1348" stopIfTrue="1">
      <formula>C69=CléPersonnalisée1</formula>
    </cfRule>
    <cfRule type="expression" dxfId="13362" priority="1349" stopIfTrue="1">
      <formula>C69=CléMaladie</formula>
    </cfRule>
    <cfRule type="expression" dxfId="13361" priority="1350" stopIfTrue="1">
      <formula>C69=CléPersonnelle</formula>
    </cfRule>
    <cfRule type="expression" dxfId="13360" priority="1351" stopIfTrue="1">
      <formula>C69=CléCongés</formula>
    </cfRule>
  </conditionalFormatting>
  <conditionalFormatting sqref="AH71">
    <cfRule type="dataBar" priority="1352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{D555A317-1C27-4019-BB60-883E6C7075A0}</x14:id>
        </ext>
      </extLst>
    </cfRule>
  </conditionalFormatting>
  <conditionalFormatting sqref="AM69:AP70">
    <cfRule type="expression" priority="1340" stopIfTrue="1">
      <formula>AM69=""</formula>
    </cfRule>
    <cfRule type="expression" dxfId="13359" priority="1341" stopIfTrue="1">
      <formula>AM69=CléPersonnalisée2</formula>
    </cfRule>
    <cfRule type="expression" dxfId="13358" priority="1342" stopIfTrue="1">
      <formula>AM69=CléPersonnalisée1</formula>
    </cfRule>
    <cfRule type="expression" dxfId="13357" priority="1343" stopIfTrue="1">
      <formula>AM69=CléMaladie</formula>
    </cfRule>
    <cfRule type="expression" dxfId="13356" priority="1344" stopIfTrue="1">
      <formula>AM69=CléPersonnelle</formula>
    </cfRule>
    <cfRule type="expression" dxfId="13355" priority="1345" stopIfTrue="1">
      <formula>AM69=CléCongés</formula>
    </cfRule>
  </conditionalFormatting>
  <conditionalFormatting sqref="AQ69:AR70">
    <cfRule type="expression" priority="1334" stopIfTrue="1">
      <formula>AQ69=""</formula>
    </cfRule>
    <cfRule type="expression" dxfId="13354" priority="1335" stopIfTrue="1">
      <formula>AQ69=CléPersonnalisée2</formula>
    </cfRule>
    <cfRule type="expression" dxfId="13353" priority="1336" stopIfTrue="1">
      <formula>AQ69=CléPersonnalisée1</formula>
    </cfRule>
    <cfRule type="expression" dxfId="13352" priority="1337" stopIfTrue="1">
      <formula>AQ69=CléMaladie</formula>
    </cfRule>
    <cfRule type="expression" dxfId="13351" priority="1338" stopIfTrue="1">
      <formula>AQ69=CléPersonnelle</formula>
    </cfRule>
    <cfRule type="expression" dxfId="13350" priority="1339" stopIfTrue="1">
      <formula>AQ69=CléCongés</formula>
    </cfRule>
  </conditionalFormatting>
  <conditionalFormatting sqref="AM71 AP71">
    <cfRule type="expression" priority="1328" stopIfTrue="1">
      <formula>AM71=""</formula>
    </cfRule>
    <cfRule type="expression" dxfId="13349" priority="1329" stopIfTrue="1">
      <formula>AM71=CléPersonnalisée2</formula>
    </cfRule>
    <cfRule type="expression" dxfId="13348" priority="1330" stopIfTrue="1">
      <formula>AM71=CléPersonnalisée1</formula>
    </cfRule>
    <cfRule type="expression" dxfId="13347" priority="1331" stopIfTrue="1">
      <formula>AM71=CléMaladie</formula>
    </cfRule>
    <cfRule type="expression" dxfId="13346" priority="1332" stopIfTrue="1">
      <formula>AM71=CléPersonnelle</formula>
    </cfRule>
    <cfRule type="expression" dxfId="13345" priority="1333" stopIfTrue="1">
      <formula>AM71=CléCongés</formula>
    </cfRule>
  </conditionalFormatting>
  <conditionalFormatting sqref="AH19">
    <cfRule type="dataBar" priority="1327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{873AB7AE-DB2D-40F1-8247-C7C0B20CD50E}</x14:id>
        </ext>
      </extLst>
    </cfRule>
  </conditionalFormatting>
  <conditionalFormatting sqref="AH23">
    <cfRule type="dataBar" priority="1326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{CC3CF19D-9E4F-4643-B3BC-51F228AB9D8F}</x14:id>
        </ext>
      </extLst>
    </cfRule>
  </conditionalFormatting>
  <conditionalFormatting sqref="AM17:AP18">
    <cfRule type="expression" priority="1320" stopIfTrue="1">
      <formula>AM17=""</formula>
    </cfRule>
    <cfRule type="expression" dxfId="13344" priority="1321" stopIfTrue="1">
      <formula>AM17=CléPersonnalisée2</formula>
    </cfRule>
    <cfRule type="expression" dxfId="13343" priority="1322" stopIfTrue="1">
      <formula>AM17=CléPersonnalisée1</formula>
    </cfRule>
    <cfRule type="expression" dxfId="13342" priority="1323" stopIfTrue="1">
      <formula>AM17=CléMaladie</formula>
    </cfRule>
    <cfRule type="expression" dxfId="13341" priority="1324" stopIfTrue="1">
      <formula>AM17=CléPersonnelle</formula>
    </cfRule>
    <cfRule type="expression" dxfId="13340" priority="1325" stopIfTrue="1">
      <formula>AM17=CléCongés</formula>
    </cfRule>
  </conditionalFormatting>
  <conditionalFormatting sqref="AQ17:AR18">
    <cfRule type="expression" priority="1314" stopIfTrue="1">
      <formula>AQ17=""</formula>
    </cfRule>
    <cfRule type="expression" dxfId="13339" priority="1315" stopIfTrue="1">
      <formula>AQ17=CléPersonnalisée2</formula>
    </cfRule>
    <cfRule type="expression" dxfId="13338" priority="1316" stopIfTrue="1">
      <formula>AQ17=CléPersonnalisée1</formula>
    </cfRule>
    <cfRule type="expression" dxfId="13337" priority="1317" stopIfTrue="1">
      <formula>AQ17=CléMaladie</formula>
    </cfRule>
    <cfRule type="expression" dxfId="13336" priority="1318" stopIfTrue="1">
      <formula>AQ17=CléPersonnelle</formula>
    </cfRule>
    <cfRule type="expression" dxfId="13335" priority="1319" stopIfTrue="1">
      <formula>AQ17=CléCongés</formula>
    </cfRule>
  </conditionalFormatting>
  <conditionalFormatting sqref="AM19 AP19">
    <cfRule type="expression" priority="1308" stopIfTrue="1">
      <formula>AM19=""</formula>
    </cfRule>
    <cfRule type="expression" dxfId="13334" priority="1309" stopIfTrue="1">
      <formula>AM19=CléPersonnalisée2</formula>
    </cfRule>
    <cfRule type="expression" dxfId="13333" priority="1310" stopIfTrue="1">
      <formula>AM19=CléPersonnalisée1</formula>
    </cfRule>
    <cfRule type="expression" dxfId="13332" priority="1311" stopIfTrue="1">
      <formula>AM19=CléMaladie</formula>
    </cfRule>
    <cfRule type="expression" dxfId="13331" priority="1312" stopIfTrue="1">
      <formula>AM19=CléPersonnelle</formula>
    </cfRule>
    <cfRule type="expression" dxfId="13330" priority="1313" stopIfTrue="1">
      <formula>AM19=CléCongés</formula>
    </cfRule>
  </conditionalFormatting>
  <conditionalFormatting sqref="AM21:AP22">
    <cfRule type="expression" priority="1302" stopIfTrue="1">
      <formula>AM21=""</formula>
    </cfRule>
    <cfRule type="expression" dxfId="13329" priority="1303" stopIfTrue="1">
      <formula>AM21=CléPersonnalisée2</formula>
    </cfRule>
    <cfRule type="expression" dxfId="13328" priority="1304" stopIfTrue="1">
      <formula>AM21=CléPersonnalisée1</formula>
    </cfRule>
    <cfRule type="expression" dxfId="13327" priority="1305" stopIfTrue="1">
      <formula>AM21=CléMaladie</formula>
    </cfRule>
    <cfRule type="expression" dxfId="13326" priority="1306" stopIfTrue="1">
      <formula>AM21=CléPersonnelle</formula>
    </cfRule>
    <cfRule type="expression" dxfId="13325" priority="1307" stopIfTrue="1">
      <formula>AM21=CléCongés</formula>
    </cfRule>
  </conditionalFormatting>
  <conditionalFormatting sqref="AQ21:AR22">
    <cfRule type="expression" priority="1296" stopIfTrue="1">
      <formula>AQ21=""</formula>
    </cfRule>
    <cfRule type="expression" dxfId="13324" priority="1297" stopIfTrue="1">
      <formula>AQ21=CléPersonnalisée2</formula>
    </cfRule>
    <cfRule type="expression" dxfId="13323" priority="1298" stopIfTrue="1">
      <formula>AQ21=CléPersonnalisée1</formula>
    </cfRule>
    <cfRule type="expression" dxfId="13322" priority="1299" stopIfTrue="1">
      <formula>AQ21=CléMaladie</formula>
    </cfRule>
    <cfRule type="expression" dxfId="13321" priority="1300" stopIfTrue="1">
      <formula>AQ21=CléPersonnelle</formula>
    </cfRule>
    <cfRule type="expression" dxfId="13320" priority="1301" stopIfTrue="1">
      <formula>AQ21=CléCongés</formula>
    </cfRule>
  </conditionalFormatting>
  <conditionalFormatting sqref="AM23 AP23">
    <cfRule type="expression" priority="1290" stopIfTrue="1">
      <formula>AM23=""</formula>
    </cfRule>
    <cfRule type="expression" dxfId="13319" priority="1291" stopIfTrue="1">
      <formula>AM23=CléPersonnalisée2</formula>
    </cfRule>
    <cfRule type="expression" dxfId="13318" priority="1292" stopIfTrue="1">
      <formula>AM23=CléPersonnalisée1</formula>
    </cfRule>
    <cfRule type="expression" dxfId="13317" priority="1293" stopIfTrue="1">
      <formula>AM23=CléMaladie</formula>
    </cfRule>
    <cfRule type="expression" dxfId="13316" priority="1294" stopIfTrue="1">
      <formula>AM23=CléPersonnelle</formula>
    </cfRule>
    <cfRule type="expression" dxfId="13315" priority="1295" stopIfTrue="1">
      <formula>AM23=CléCongés</formula>
    </cfRule>
  </conditionalFormatting>
  <conditionalFormatting sqref="AH17:AH18">
    <cfRule type="dataBar" priority="1289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{280150ED-E301-4D11-91CC-C657F065A4F1}</x14:id>
        </ext>
      </extLst>
    </cfRule>
  </conditionalFormatting>
  <conditionalFormatting sqref="AH21:AH22">
    <cfRule type="dataBar" priority="1288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{D155410B-FF48-4657-A7CE-FA0274068CDE}</x14:id>
        </ext>
      </extLst>
    </cfRule>
  </conditionalFormatting>
  <conditionalFormatting sqref="AH25:AH26">
    <cfRule type="dataBar" priority="1287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{0A926DA6-9D97-4213-A1A3-DD0842B31F3E}</x14:id>
        </ext>
      </extLst>
    </cfRule>
  </conditionalFormatting>
  <conditionalFormatting sqref="AH29:AH30">
    <cfRule type="dataBar" priority="1286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{DE539FF1-F6D7-4987-97C1-B106B57C4F21}</x14:id>
        </ext>
      </extLst>
    </cfRule>
  </conditionalFormatting>
  <conditionalFormatting sqref="AH33:AH34">
    <cfRule type="dataBar" priority="1285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{5F72C497-5843-4F34-9462-2A75CB3763A4}</x14:id>
        </ext>
      </extLst>
    </cfRule>
  </conditionalFormatting>
  <conditionalFormatting sqref="AH37:AH38">
    <cfRule type="dataBar" priority="1284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{CDA0AEAC-761C-40A4-ABD0-F7482071E3CF}</x14:id>
        </ext>
      </extLst>
    </cfRule>
  </conditionalFormatting>
  <conditionalFormatting sqref="AH41:AH42">
    <cfRule type="dataBar" priority="1283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{81F3E43F-A0A8-4F3A-BCB1-BA1DCC8BDE7B}</x14:id>
        </ext>
      </extLst>
    </cfRule>
  </conditionalFormatting>
  <conditionalFormatting sqref="AH45:AH46">
    <cfRule type="dataBar" priority="1282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{42A6FCBF-66D5-4488-B966-DEAB19565B33}</x14:id>
        </ext>
      </extLst>
    </cfRule>
  </conditionalFormatting>
  <conditionalFormatting sqref="AH49:AH50">
    <cfRule type="dataBar" priority="1281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{BE6B6BDE-D9B4-49DF-A98C-09AF771A617D}</x14:id>
        </ext>
      </extLst>
    </cfRule>
  </conditionalFormatting>
  <conditionalFormatting sqref="AH53:AH54">
    <cfRule type="dataBar" priority="1280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{7A58579B-E031-4493-B5C1-A32613D9F873}</x14:id>
        </ext>
      </extLst>
    </cfRule>
  </conditionalFormatting>
  <conditionalFormatting sqref="AH61:AH62">
    <cfRule type="dataBar" priority="1279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{C4FD3680-F792-4F31-A7AD-A61EDEBBC6DC}</x14:id>
        </ext>
      </extLst>
    </cfRule>
  </conditionalFormatting>
  <conditionalFormatting sqref="AH69:AH70">
    <cfRule type="dataBar" priority="1278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{EFA8DBA3-52DA-49F4-B833-64807BDF4F63}</x14:id>
        </ext>
      </extLst>
    </cfRule>
  </conditionalFormatting>
  <conditionalFormatting sqref="AM65:AP66">
    <cfRule type="expression" priority="1162" stopIfTrue="1">
      <formula>AM65=""</formula>
    </cfRule>
    <cfRule type="expression" dxfId="13314" priority="1163" stopIfTrue="1">
      <formula>AM65=CléPersonnalisée2</formula>
    </cfRule>
    <cfRule type="expression" dxfId="13313" priority="1164" stopIfTrue="1">
      <formula>AM65=CléPersonnalisée1</formula>
    </cfRule>
    <cfRule type="expression" dxfId="13312" priority="1165" stopIfTrue="1">
      <formula>AM65=CléMaladie</formula>
    </cfRule>
    <cfRule type="expression" dxfId="13311" priority="1166" stopIfTrue="1">
      <formula>AM65=CléPersonnelle</formula>
    </cfRule>
    <cfRule type="expression" dxfId="13310" priority="1167" stopIfTrue="1">
      <formula>AM65=CléCongés</formula>
    </cfRule>
  </conditionalFormatting>
  <conditionalFormatting sqref="AM67 AP67">
    <cfRule type="expression" priority="1150" stopIfTrue="1">
      <formula>AM67=""</formula>
    </cfRule>
    <cfRule type="expression" dxfId="13309" priority="1151" stopIfTrue="1">
      <formula>AM67=CléPersonnalisée2</formula>
    </cfRule>
    <cfRule type="expression" dxfId="13308" priority="1152" stopIfTrue="1">
      <formula>AM67=CléPersonnalisée1</formula>
    </cfRule>
    <cfRule type="expression" dxfId="13307" priority="1153" stopIfTrue="1">
      <formula>AM67=CléMaladie</formula>
    </cfRule>
    <cfRule type="expression" dxfId="13306" priority="1154" stopIfTrue="1">
      <formula>AM67=CléPersonnelle</formula>
    </cfRule>
    <cfRule type="expression" dxfId="13305" priority="1155" stopIfTrue="1">
      <formula>AM67=CléCongés</formula>
    </cfRule>
  </conditionalFormatting>
  <conditionalFormatting sqref="AN11">
    <cfRule type="expression" priority="1272" stopIfTrue="1">
      <formula>AN11=""</formula>
    </cfRule>
    <cfRule type="expression" dxfId="13304" priority="1273" stopIfTrue="1">
      <formula>AN11=CléPersonnalisée2</formula>
    </cfRule>
    <cfRule type="expression" dxfId="13303" priority="1274" stopIfTrue="1">
      <formula>AN11=CléPersonnalisée1</formula>
    </cfRule>
    <cfRule type="expression" dxfId="13302" priority="1275" stopIfTrue="1">
      <formula>AN11=CléMaladie</formula>
    </cfRule>
    <cfRule type="expression" dxfId="13301" priority="1276" stopIfTrue="1">
      <formula>AN11=CléPersonnelle</formula>
    </cfRule>
    <cfRule type="expression" dxfId="13300" priority="1277" stopIfTrue="1">
      <formula>AN11=CléCongés</formula>
    </cfRule>
  </conditionalFormatting>
  <conditionalFormatting sqref="AN19">
    <cfRule type="expression" priority="1266" stopIfTrue="1">
      <formula>AN19=""</formula>
    </cfRule>
    <cfRule type="expression" dxfId="13299" priority="1267" stopIfTrue="1">
      <formula>AN19=CléPersonnalisée2</formula>
    </cfRule>
    <cfRule type="expression" dxfId="13298" priority="1268" stopIfTrue="1">
      <formula>AN19=CléPersonnalisée1</formula>
    </cfRule>
    <cfRule type="expression" dxfId="13297" priority="1269" stopIfTrue="1">
      <formula>AN19=CléMaladie</formula>
    </cfRule>
    <cfRule type="expression" dxfId="13296" priority="1270" stopIfTrue="1">
      <formula>AN19=CléPersonnelle</formula>
    </cfRule>
    <cfRule type="expression" dxfId="13295" priority="1271" stopIfTrue="1">
      <formula>AN19=CléCongés</formula>
    </cfRule>
  </conditionalFormatting>
  <conditionalFormatting sqref="AN23">
    <cfRule type="expression" priority="1260" stopIfTrue="1">
      <formula>AN23=""</formula>
    </cfRule>
    <cfRule type="expression" dxfId="13294" priority="1261" stopIfTrue="1">
      <formula>AN23=CléPersonnalisée2</formula>
    </cfRule>
    <cfRule type="expression" dxfId="13293" priority="1262" stopIfTrue="1">
      <formula>AN23=CléPersonnalisée1</formula>
    </cfRule>
    <cfRule type="expression" dxfId="13292" priority="1263" stopIfTrue="1">
      <formula>AN23=CléMaladie</formula>
    </cfRule>
    <cfRule type="expression" dxfId="13291" priority="1264" stopIfTrue="1">
      <formula>AN23=CléPersonnelle</formula>
    </cfRule>
    <cfRule type="expression" dxfId="13290" priority="1265" stopIfTrue="1">
      <formula>AN23=CléCongés</formula>
    </cfRule>
  </conditionalFormatting>
  <conditionalFormatting sqref="AN27">
    <cfRule type="expression" priority="1254" stopIfTrue="1">
      <formula>AN27=""</formula>
    </cfRule>
    <cfRule type="expression" dxfId="13289" priority="1255" stopIfTrue="1">
      <formula>AN27=CléPersonnalisée2</formula>
    </cfRule>
    <cfRule type="expression" dxfId="13288" priority="1256" stopIfTrue="1">
      <formula>AN27=CléPersonnalisée1</formula>
    </cfRule>
    <cfRule type="expression" dxfId="13287" priority="1257" stopIfTrue="1">
      <formula>AN27=CléMaladie</formula>
    </cfRule>
    <cfRule type="expression" dxfId="13286" priority="1258" stopIfTrue="1">
      <formula>AN27=CléPersonnelle</formula>
    </cfRule>
    <cfRule type="expression" dxfId="13285" priority="1259" stopIfTrue="1">
      <formula>AN27=CléCongés</formula>
    </cfRule>
  </conditionalFormatting>
  <conditionalFormatting sqref="AN31">
    <cfRule type="expression" priority="1248" stopIfTrue="1">
      <formula>AN31=""</formula>
    </cfRule>
    <cfRule type="expression" dxfId="13284" priority="1249" stopIfTrue="1">
      <formula>AN31=CléPersonnalisée2</formula>
    </cfRule>
    <cfRule type="expression" dxfId="13283" priority="1250" stopIfTrue="1">
      <formula>AN31=CléPersonnalisée1</formula>
    </cfRule>
    <cfRule type="expression" dxfId="13282" priority="1251" stopIfTrue="1">
      <formula>AN31=CléMaladie</formula>
    </cfRule>
    <cfRule type="expression" dxfId="13281" priority="1252" stopIfTrue="1">
      <formula>AN31=CléPersonnelle</formula>
    </cfRule>
    <cfRule type="expression" dxfId="13280" priority="1253" stopIfTrue="1">
      <formula>AN31=CléCongés</formula>
    </cfRule>
  </conditionalFormatting>
  <conditionalFormatting sqref="AN35">
    <cfRule type="expression" priority="1242" stopIfTrue="1">
      <formula>AN35=""</formula>
    </cfRule>
    <cfRule type="expression" dxfId="13279" priority="1243" stopIfTrue="1">
      <formula>AN35=CléPersonnalisée2</formula>
    </cfRule>
    <cfRule type="expression" dxfId="13278" priority="1244" stopIfTrue="1">
      <formula>AN35=CléPersonnalisée1</formula>
    </cfRule>
    <cfRule type="expression" dxfId="13277" priority="1245" stopIfTrue="1">
      <formula>AN35=CléMaladie</formula>
    </cfRule>
    <cfRule type="expression" dxfId="13276" priority="1246" stopIfTrue="1">
      <formula>AN35=CléPersonnelle</formula>
    </cfRule>
    <cfRule type="expression" dxfId="13275" priority="1247" stopIfTrue="1">
      <formula>AN35=CléCongés</formula>
    </cfRule>
  </conditionalFormatting>
  <conditionalFormatting sqref="AN39">
    <cfRule type="expression" priority="1236" stopIfTrue="1">
      <formula>AN39=""</formula>
    </cfRule>
    <cfRule type="expression" dxfId="13274" priority="1237" stopIfTrue="1">
      <formula>AN39=CléPersonnalisée2</formula>
    </cfRule>
    <cfRule type="expression" dxfId="13273" priority="1238" stopIfTrue="1">
      <formula>AN39=CléPersonnalisée1</formula>
    </cfRule>
    <cfRule type="expression" dxfId="13272" priority="1239" stopIfTrue="1">
      <formula>AN39=CléMaladie</formula>
    </cfRule>
    <cfRule type="expression" dxfId="13271" priority="1240" stopIfTrue="1">
      <formula>AN39=CléPersonnelle</formula>
    </cfRule>
    <cfRule type="expression" dxfId="13270" priority="1241" stopIfTrue="1">
      <formula>AN39=CléCongés</formula>
    </cfRule>
  </conditionalFormatting>
  <conditionalFormatting sqref="AN43">
    <cfRule type="expression" priority="1230" stopIfTrue="1">
      <formula>AN43=""</formula>
    </cfRule>
    <cfRule type="expression" dxfId="13269" priority="1231" stopIfTrue="1">
      <formula>AN43=CléPersonnalisée2</formula>
    </cfRule>
    <cfRule type="expression" dxfId="13268" priority="1232" stopIfTrue="1">
      <formula>AN43=CléPersonnalisée1</formula>
    </cfRule>
    <cfRule type="expression" dxfId="13267" priority="1233" stopIfTrue="1">
      <formula>AN43=CléMaladie</formula>
    </cfRule>
    <cfRule type="expression" dxfId="13266" priority="1234" stopIfTrue="1">
      <formula>AN43=CléPersonnelle</formula>
    </cfRule>
    <cfRule type="expression" dxfId="13265" priority="1235" stopIfTrue="1">
      <formula>AN43=CléCongés</formula>
    </cfRule>
  </conditionalFormatting>
  <conditionalFormatting sqref="AN47">
    <cfRule type="expression" priority="1224" stopIfTrue="1">
      <formula>AN47=""</formula>
    </cfRule>
    <cfRule type="expression" dxfId="13264" priority="1225" stopIfTrue="1">
      <formula>AN47=CléPersonnalisée2</formula>
    </cfRule>
    <cfRule type="expression" dxfId="13263" priority="1226" stopIfTrue="1">
      <formula>AN47=CléPersonnalisée1</formula>
    </cfRule>
    <cfRule type="expression" dxfId="13262" priority="1227" stopIfTrue="1">
      <formula>AN47=CléMaladie</formula>
    </cfRule>
    <cfRule type="expression" dxfId="13261" priority="1228" stopIfTrue="1">
      <formula>AN47=CléPersonnelle</formula>
    </cfRule>
    <cfRule type="expression" dxfId="13260" priority="1229" stopIfTrue="1">
      <formula>AN47=CléCongés</formula>
    </cfRule>
  </conditionalFormatting>
  <conditionalFormatting sqref="AN51">
    <cfRule type="expression" priority="1218" stopIfTrue="1">
      <formula>AN51=""</formula>
    </cfRule>
    <cfRule type="expression" dxfId="13259" priority="1219" stopIfTrue="1">
      <formula>AN51=CléPersonnalisée2</formula>
    </cfRule>
    <cfRule type="expression" dxfId="13258" priority="1220" stopIfTrue="1">
      <formula>AN51=CléPersonnalisée1</formula>
    </cfRule>
    <cfRule type="expression" dxfId="13257" priority="1221" stopIfTrue="1">
      <formula>AN51=CléMaladie</formula>
    </cfRule>
    <cfRule type="expression" dxfId="13256" priority="1222" stopIfTrue="1">
      <formula>AN51=CléPersonnelle</formula>
    </cfRule>
    <cfRule type="expression" dxfId="13255" priority="1223" stopIfTrue="1">
      <formula>AN51=CléCongés</formula>
    </cfRule>
  </conditionalFormatting>
  <conditionalFormatting sqref="AN55">
    <cfRule type="expression" priority="1212" stopIfTrue="1">
      <formula>AN55=""</formula>
    </cfRule>
    <cfRule type="expression" dxfId="13254" priority="1213" stopIfTrue="1">
      <formula>AN55=CléPersonnalisée2</formula>
    </cfRule>
    <cfRule type="expression" dxfId="13253" priority="1214" stopIfTrue="1">
      <formula>AN55=CléPersonnalisée1</formula>
    </cfRule>
    <cfRule type="expression" dxfId="13252" priority="1215" stopIfTrue="1">
      <formula>AN55=CléMaladie</formula>
    </cfRule>
    <cfRule type="expression" dxfId="13251" priority="1216" stopIfTrue="1">
      <formula>AN55=CléPersonnelle</formula>
    </cfRule>
    <cfRule type="expression" dxfId="13250" priority="1217" stopIfTrue="1">
      <formula>AN55=CléCongés</formula>
    </cfRule>
  </conditionalFormatting>
  <conditionalFormatting sqref="AN63">
    <cfRule type="expression" priority="1206" stopIfTrue="1">
      <formula>AN63=""</formula>
    </cfRule>
    <cfRule type="expression" dxfId="13249" priority="1207" stopIfTrue="1">
      <formula>AN63=CléPersonnalisée2</formula>
    </cfRule>
    <cfRule type="expression" dxfId="13248" priority="1208" stopIfTrue="1">
      <formula>AN63=CléPersonnalisée1</formula>
    </cfRule>
    <cfRule type="expression" dxfId="13247" priority="1209" stopIfTrue="1">
      <formula>AN63=CléMaladie</formula>
    </cfRule>
    <cfRule type="expression" dxfId="13246" priority="1210" stopIfTrue="1">
      <formula>AN63=CléPersonnelle</formula>
    </cfRule>
    <cfRule type="expression" dxfId="13245" priority="1211" stopIfTrue="1">
      <formula>AN63=CléCongés</formula>
    </cfRule>
  </conditionalFormatting>
  <conditionalFormatting sqref="AN71">
    <cfRule type="expression" priority="1200" stopIfTrue="1">
      <formula>AN71=""</formula>
    </cfRule>
    <cfRule type="expression" dxfId="13244" priority="1201" stopIfTrue="1">
      <formula>AN71=CléPersonnalisée2</formula>
    </cfRule>
    <cfRule type="expression" dxfId="13243" priority="1202" stopIfTrue="1">
      <formula>AN71=CléPersonnalisée1</formula>
    </cfRule>
    <cfRule type="expression" dxfId="13242" priority="1203" stopIfTrue="1">
      <formula>AN71=CléMaladie</formula>
    </cfRule>
    <cfRule type="expression" dxfId="13241" priority="1204" stopIfTrue="1">
      <formula>AN71=CléPersonnelle</formula>
    </cfRule>
    <cfRule type="expression" dxfId="13240" priority="1205" stopIfTrue="1">
      <formula>AN71=CléCongés</formula>
    </cfRule>
  </conditionalFormatting>
  <conditionalFormatting sqref="AH7">
    <cfRule type="dataBar" priority="1199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{93B8F8C5-993D-4921-831A-9A06E97CCCD1}</x14:id>
        </ext>
      </extLst>
    </cfRule>
  </conditionalFormatting>
  <conditionalFormatting sqref="AM7">
    <cfRule type="expression" priority="1193" stopIfTrue="1">
      <formula>AM7=""</formula>
    </cfRule>
    <cfRule type="expression" dxfId="13239" priority="1194" stopIfTrue="1">
      <formula>AM7=CléPersonnalisée2</formula>
    </cfRule>
    <cfRule type="expression" dxfId="13238" priority="1195" stopIfTrue="1">
      <formula>AM7=CléPersonnalisée1</formula>
    </cfRule>
    <cfRule type="expression" dxfId="13237" priority="1196" stopIfTrue="1">
      <formula>AM7=CléMaladie</formula>
    </cfRule>
    <cfRule type="expression" dxfId="13236" priority="1197" stopIfTrue="1">
      <formula>AM7=CléPersonnelle</formula>
    </cfRule>
    <cfRule type="expression" dxfId="13235" priority="1198" stopIfTrue="1">
      <formula>AM7=CléCongés</formula>
    </cfRule>
  </conditionalFormatting>
  <conditionalFormatting sqref="AO7">
    <cfRule type="expression" priority="1187" stopIfTrue="1">
      <formula>AO7=""</formula>
    </cfRule>
    <cfRule type="expression" dxfId="13234" priority="1188" stopIfTrue="1">
      <formula>AO7=CléPersonnalisée2</formula>
    </cfRule>
    <cfRule type="expression" dxfId="13233" priority="1189" stopIfTrue="1">
      <formula>AO7=CléPersonnalisée1</formula>
    </cfRule>
    <cfRule type="expression" dxfId="13232" priority="1190" stopIfTrue="1">
      <formula>AO7=CléMaladie</formula>
    </cfRule>
    <cfRule type="expression" dxfId="13231" priority="1191" stopIfTrue="1">
      <formula>AO7=CléPersonnelle</formula>
    </cfRule>
    <cfRule type="expression" dxfId="13230" priority="1192" stopIfTrue="1">
      <formula>AO7=CléCongés</formula>
    </cfRule>
  </conditionalFormatting>
  <conditionalFormatting sqref="AN7">
    <cfRule type="expression" priority="1181" stopIfTrue="1">
      <formula>AN7=""</formula>
    </cfRule>
    <cfRule type="expression" dxfId="13229" priority="1182" stopIfTrue="1">
      <formula>AN7=CléPersonnalisée2</formula>
    </cfRule>
    <cfRule type="expression" dxfId="13228" priority="1183" stopIfTrue="1">
      <formula>AN7=CléPersonnalisée1</formula>
    </cfRule>
    <cfRule type="expression" dxfId="13227" priority="1184" stopIfTrue="1">
      <formula>AN7=CléMaladie</formula>
    </cfRule>
    <cfRule type="expression" dxfId="13226" priority="1185" stopIfTrue="1">
      <formula>AN7=CléPersonnelle</formula>
    </cfRule>
    <cfRule type="expression" dxfId="13225" priority="1186" stopIfTrue="1">
      <formula>AN7=CléCongés</formula>
    </cfRule>
  </conditionalFormatting>
  <conditionalFormatting sqref="AQ7">
    <cfRule type="expression" priority="1175" stopIfTrue="1">
      <formula>AQ7=""</formula>
    </cfRule>
    <cfRule type="expression" dxfId="13224" priority="1176" stopIfTrue="1">
      <formula>AQ7=CléPersonnalisée2</formula>
    </cfRule>
    <cfRule type="expression" dxfId="13223" priority="1177" stopIfTrue="1">
      <formula>AQ7=CléPersonnalisée1</formula>
    </cfRule>
    <cfRule type="expression" dxfId="13222" priority="1178" stopIfTrue="1">
      <formula>AQ7=CléMaladie</formula>
    </cfRule>
    <cfRule type="expression" dxfId="13221" priority="1179" stopIfTrue="1">
      <formula>AQ7=CléPersonnelle</formula>
    </cfRule>
    <cfRule type="expression" dxfId="13220" priority="1180" stopIfTrue="1">
      <formula>AQ7=CléCongés</formula>
    </cfRule>
  </conditionalFormatting>
  <conditionalFormatting sqref="AQ71">
    <cfRule type="expression" priority="975" stopIfTrue="1">
      <formula>AQ71=""</formula>
    </cfRule>
    <cfRule type="expression" dxfId="13219" priority="976" stopIfTrue="1">
      <formula>AQ71=CléPersonnalisée2</formula>
    </cfRule>
    <cfRule type="expression" dxfId="13218" priority="977" stopIfTrue="1">
      <formula>AQ71=CléPersonnalisée1</formula>
    </cfRule>
    <cfRule type="expression" dxfId="13217" priority="978" stopIfTrue="1">
      <formula>AQ71=CléMaladie</formula>
    </cfRule>
    <cfRule type="expression" dxfId="13216" priority="979" stopIfTrue="1">
      <formula>AQ71=CléPersonnelle</formula>
    </cfRule>
    <cfRule type="expression" dxfId="13215" priority="980" stopIfTrue="1">
      <formula>AQ71=CléCongés</formula>
    </cfRule>
  </conditionalFormatting>
  <conditionalFormatting sqref="AQ75">
    <cfRule type="expression" priority="937" stopIfTrue="1">
      <formula>AQ75=""</formula>
    </cfRule>
    <cfRule type="expression" dxfId="13214" priority="938" stopIfTrue="1">
      <formula>AQ75=CléPersonnalisée2</formula>
    </cfRule>
    <cfRule type="expression" dxfId="13213" priority="939" stopIfTrue="1">
      <formula>AQ75=CléPersonnalisée1</formula>
    </cfRule>
    <cfRule type="expression" dxfId="13212" priority="940" stopIfTrue="1">
      <formula>AQ75=CléMaladie</formula>
    </cfRule>
    <cfRule type="expression" dxfId="13211" priority="941" stopIfTrue="1">
      <formula>AQ75=CléPersonnelle</formula>
    </cfRule>
    <cfRule type="expression" dxfId="13210" priority="942" stopIfTrue="1">
      <formula>AQ75=CléCongés</formula>
    </cfRule>
  </conditionalFormatting>
  <conditionalFormatting sqref="AQ83">
    <cfRule type="expression" priority="893" stopIfTrue="1">
      <formula>AQ83=""</formula>
    </cfRule>
    <cfRule type="expression" dxfId="13209" priority="894" stopIfTrue="1">
      <formula>AQ83=CléPersonnalisée2</formula>
    </cfRule>
    <cfRule type="expression" dxfId="13208" priority="895" stopIfTrue="1">
      <formula>AQ83=CléPersonnalisée1</formula>
    </cfRule>
    <cfRule type="expression" dxfId="13207" priority="896" stopIfTrue="1">
      <formula>AQ83=CléMaladie</formula>
    </cfRule>
    <cfRule type="expression" dxfId="13206" priority="897" stopIfTrue="1">
      <formula>AQ83=CléPersonnelle</formula>
    </cfRule>
    <cfRule type="expression" dxfId="13205" priority="898" stopIfTrue="1">
      <formula>AQ83=CléCongés</formula>
    </cfRule>
  </conditionalFormatting>
  <conditionalFormatting sqref="AQ91">
    <cfRule type="expression" priority="805" stopIfTrue="1">
      <formula>AQ91=""</formula>
    </cfRule>
    <cfRule type="expression" dxfId="13204" priority="806" stopIfTrue="1">
      <formula>AQ91=CléPersonnalisée2</formula>
    </cfRule>
    <cfRule type="expression" dxfId="13203" priority="807" stopIfTrue="1">
      <formula>AQ91=CléPersonnalisée1</formula>
    </cfRule>
    <cfRule type="expression" dxfId="13202" priority="808" stopIfTrue="1">
      <formula>AQ91=CléMaladie</formula>
    </cfRule>
    <cfRule type="expression" dxfId="13201" priority="809" stopIfTrue="1">
      <formula>AQ91=CléPersonnelle</formula>
    </cfRule>
    <cfRule type="expression" dxfId="13200" priority="810" stopIfTrue="1">
      <formula>AQ91=CléCongés</formula>
    </cfRule>
  </conditionalFormatting>
  <conditionalFormatting sqref="C65:AG67">
    <cfRule type="expression" priority="1168" stopIfTrue="1">
      <formula>C65=""</formula>
    </cfRule>
    <cfRule type="expression" dxfId="13199" priority="1169" stopIfTrue="1">
      <formula>C65=CléPersonnalisée2</formula>
    </cfRule>
    <cfRule type="expression" dxfId="13198" priority="1170" stopIfTrue="1">
      <formula>C65=CléPersonnalisée1</formula>
    </cfRule>
    <cfRule type="expression" dxfId="13197" priority="1171" stopIfTrue="1">
      <formula>C65=CléMaladie</formula>
    </cfRule>
    <cfRule type="expression" dxfId="13196" priority="1172" stopIfTrue="1">
      <formula>C65=CléPersonnelle</formula>
    </cfRule>
    <cfRule type="expression" dxfId="13195" priority="1173" stopIfTrue="1">
      <formula>C65=CléCongés</formula>
    </cfRule>
  </conditionalFormatting>
  <conditionalFormatting sqref="AH67">
    <cfRule type="dataBar" priority="1174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{05FA6049-A472-4C47-9357-8D6E77A28555}</x14:id>
        </ext>
      </extLst>
    </cfRule>
  </conditionalFormatting>
  <conditionalFormatting sqref="AQ65:AR66">
    <cfRule type="expression" priority="1156" stopIfTrue="1">
      <formula>AQ65=""</formula>
    </cfRule>
    <cfRule type="expression" dxfId="13194" priority="1157" stopIfTrue="1">
      <formula>AQ65=CléPersonnalisée2</formula>
    </cfRule>
    <cfRule type="expression" dxfId="13193" priority="1158" stopIfTrue="1">
      <formula>AQ65=CléPersonnalisée1</formula>
    </cfRule>
    <cfRule type="expression" dxfId="13192" priority="1159" stopIfTrue="1">
      <formula>AQ65=CléMaladie</formula>
    </cfRule>
    <cfRule type="expression" dxfId="13191" priority="1160" stopIfTrue="1">
      <formula>AQ65=CléPersonnelle</formula>
    </cfRule>
    <cfRule type="expression" dxfId="13190" priority="1161" stopIfTrue="1">
      <formula>AQ65=CléCongés</formula>
    </cfRule>
  </conditionalFormatting>
  <conditionalFormatting sqref="AH65:AH66">
    <cfRule type="dataBar" priority="1149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{F9F56E17-85C1-49F1-8F1E-5C6AADB100ED}</x14:id>
        </ext>
      </extLst>
    </cfRule>
  </conditionalFormatting>
  <conditionalFormatting sqref="AN67">
    <cfRule type="expression" priority="1143" stopIfTrue="1">
      <formula>AN67=""</formula>
    </cfRule>
    <cfRule type="expression" dxfId="13189" priority="1144" stopIfTrue="1">
      <formula>AN67=CléPersonnalisée2</formula>
    </cfRule>
    <cfRule type="expression" dxfId="13188" priority="1145" stopIfTrue="1">
      <formula>AN67=CléPersonnalisée1</formula>
    </cfRule>
    <cfRule type="expression" dxfId="13187" priority="1146" stopIfTrue="1">
      <formula>AN67=CléMaladie</formula>
    </cfRule>
    <cfRule type="expression" dxfId="13186" priority="1147" stopIfTrue="1">
      <formula>AN67=CléPersonnelle</formula>
    </cfRule>
    <cfRule type="expression" dxfId="13185" priority="1148" stopIfTrue="1">
      <formula>AN67=CléCongés</formula>
    </cfRule>
  </conditionalFormatting>
  <conditionalFormatting sqref="AR11">
    <cfRule type="expression" priority="1137" stopIfTrue="1">
      <formula>AR11=""</formula>
    </cfRule>
    <cfRule type="expression" dxfId="13184" priority="1138" stopIfTrue="1">
      <formula>AR11=CléPersonnalisée2</formula>
    </cfRule>
    <cfRule type="expression" dxfId="13183" priority="1139" stopIfTrue="1">
      <formula>AR11=CléPersonnalisée1</formula>
    </cfRule>
    <cfRule type="expression" dxfId="13182" priority="1140" stopIfTrue="1">
      <formula>AR11=CléMaladie</formula>
    </cfRule>
    <cfRule type="expression" dxfId="13181" priority="1141" stopIfTrue="1">
      <formula>AR11=CléPersonnelle</formula>
    </cfRule>
    <cfRule type="expression" dxfId="13180" priority="1142" stopIfTrue="1">
      <formula>AR11=CléCongés</formula>
    </cfRule>
  </conditionalFormatting>
  <conditionalFormatting sqref="AQ11">
    <cfRule type="expression" priority="1131" stopIfTrue="1">
      <formula>AQ11=""</formula>
    </cfRule>
    <cfRule type="expression" dxfId="13179" priority="1132" stopIfTrue="1">
      <formula>AQ11=CléPersonnalisée2</formula>
    </cfRule>
    <cfRule type="expression" dxfId="13178" priority="1133" stopIfTrue="1">
      <formula>AQ11=CléPersonnalisée1</formula>
    </cfRule>
    <cfRule type="expression" dxfId="13177" priority="1134" stopIfTrue="1">
      <formula>AQ11=CléMaladie</formula>
    </cfRule>
    <cfRule type="expression" dxfId="13176" priority="1135" stopIfTrue="1">
      <formula>AQ11=CléPersonnelle</formula>
    </cfRule>
    <cfRule type="expression" dxfId="13175" priority="1136" stopIfTrue="1">
      <formula>AQ11=CléCongés</formula>
    </cfRule>
  </conditionalFormatting>
  <conditionalFormatting sqref="AR19">
    <cfRule type="expression" priority="1125" stopIfTrue="1">
      <formula>AR19=""</formula>
    </cfRule>
    <cfRule type="expression" dxfId="13174" priority="1126" stopIfTrue="1">
      <formula>AR19=CléPersonnalisée2</formula>
    </cfRule>
    <cfRule type="expression" dxfId="13173" priority="1127" stopIfTrue="1">
      <formula>AR19=CléPersonnalisée1</formula>
    </cfRule>
    <cfRule type="expression" dxfId="13172" priority="1128" stopIfTrue="1">
      <formula>AR19=CléMaladie</formula>
    </cfRule>
    <cfRule type="expression" dxfId="13171" priority="1129" stopIfTrue="1">
      <formula>AR19=CléPersonnelle</formula>
    </cfRule>
    <cfRule type="expression" dxfId="13170" priority="1130" stopIfTrue="1">
      <formula>AR19=CléCongés</formula>
    </cfRule>
  </conditionalFormatting>
  <conditionalFormatting sqref="AQ19">
    <cfRule type="expression" priority="1119" stopIfTrue="1">
      <formula>AQ19=""</formula>
    </cfRule>
    <cfRule type="expression" dxfId="13169" priority="1120" stopIfTrue="1">
      <formula>AQ19=CléPersonnalisée2</formula>
    </cfRule>
    <cfRule type="expression" dxfId="13168" priority="1121" stopIfTrue="1">
      <formula>AQ19=CléPersonnalisée1</formula>
    </cfRule>
    <cfRule type="expression" dxfId="13167" priority="1122" stopIfTrue="1">
      <formula>AQ19=CléMaladie</formula>
    </cfRule>
    <cfRule type="expression" dxfId="13166" priority="1123" stopIfTrue="1">
      <formula>AQ19=CléPersonnelle</formula>
    </cfRule>
    <cfRule type="expression" dxfId="13165" priority="1124" stopIfTrue="1">
      <formula>AQ19=CléCongés</formula>
    </cfRule>
  </conditionalFormatting>
  <conditionalFormatting sqref="AR23">
    <cfRule type="expression" priority="1113" stopIfTrue="1">
      <formula>AR23=""</formula>
    </cfRule>
    <cfRule type="expression" dxfId="13164" priority="1114" stopIfTrue="1">
      <formula>AR23=CléPersonnalisée2</formula>
    </cfRule>
    <cfRule type="expression" dxfId="13163" priority="1115" stopIfTrue="1">
      <formula>AR23=CléPersonnalisée1</formula>
    </cfRule>
    <cfRule type="expression" dxfId="13162" priority="1116" stopIfTrue="1">
      <formula>AR23=CléMaladie</formula>
    </cfRule>
    <cfRule type="expression" dxfId="13161" priority="1117" stopIfTrue="1">
      <formula>AR23=CléPersonnelle</formula>
    </cfRule>
    <cfRule type="expression" dxfId="13160" priority="1118" stopIfTrue="1">
      <formula>AR23=CléCongés</formula>
    </cfRule>
  </conditionalFormatting>
  <conditionalFormatting sqref="AQ23">
    <cfRule type="expression" priority="1107" stopIfTrue="1">
      <formula>AQ23=""</formula>
    </cfRule>
    <cfRule type="expression" dxfId="13159" priority="1108" stopIfTrue="1">
      <formula>AQ23=CléPersonnalisée2</formula>
    </cfRule>
    <cfRule type="expression" dxfId="13158" priority="1109" stopIfTrue="1">
      <formula>AQ23=CléPersonnalisée1</formula>
    </cfRule>
    <cfRule type="expression" dxfId="13157" priority="1110" stopIfTrue="1">
      <formula>AQ23=CléMaladie</formula>
    </cfRule>
    <cfRule type="expression" dxfId="13156" priority="1111" stopIfTrue="1">
      <formula>AQ23=CléPersonnelle</formula>
    </cfRule>
    <cfRule type="expression" dxfId="13155" priority="1112" stopIfTrue="1">
      <formula>AQ23=CléCongés</formula>
    </cfRule>
  </conditionalFormatting>
  <conditionalFormatting sqref="AR27">
    <cfRule type="expression" priority="1101" stopIfTrue="1">
      <formula>AR27=""</formula>
    </cfRule>
    <cfRule type="expression" dxfId="13154" priority="1102" stopIfTrue="1">
      <formula>AR27=CléPersonnalisée2</formula>
    </cfRule>
    <cfRule type="expression" dxfId="13153" priority="1103" stopIfTrue="1">
      <formula>AR27=CléPersonnalisée1</formula>
    </cfRule>
    <cfRule type="expression" dxfId="13152" priority="1104" stopIfTrue="1">
      <formula>AR27=CléMaladie</formula>
    </cfRule>
    <cfRule type="expression" dxfId="13151" priority="1105" stopIfTrue="1">
      <formula>AR27=CléPersonnelle</formula>
    </cfRule>
    <cfRule type="expression" dxfId="13150" priority="1106" stopIfTrue="1">
      <formula>AR27=CléCongés</formula>
    </cfRule>
  </conditionalFormatting>
  <conditionalFormatting sqref="AQ27">
    <cfRule type="expression" priority="1095" stopIfTrue="1">
      <formula>AQ27=""</formula>
    </cfRule>
    <cfRule type="expression" dxfId="13149" priority="1096" stopIfTrue="1">
      <formula>AQ27=CléPersonnalisée2</formula>
    </cfRule>
    <cfRule type="expression" dxfId="13148" priority="1097" stopIfTrue="1">
      <formula>AQ27=CléPersonnalisée1</formula>
    </cfRule>
    <cfRule type="expression" dxfId="13147" priority="1098" stopIfTrue="1">
      <formula>AQ27=CléMaladie</formula>
    </cfRule>
    <cfRule type="expression" dxfId="13146" priority="1099" stopIfTrue="1">
      <formula>AQ27=CléPersonnelle</formula>
    </cfRule>
    <cfRule type="expression" dxfId="13145" priority="1100" stopIfTrue="1">
      <formula>AQ27=CléCongés</formula>
    </cfRule>
  </conditionalFormatting>
  <conditionalFormatting sqref="AR31">
    <cfRule type="expression" priority="1089" stopIfTrue="1">
      <formula>AR31=""</formula>
    </cfRule>
    <cfRule type="expression" dxfId="13144" priority="1090" stopIfTrue="1">
      <formula>AR31=CléPersonnalisée2</formula>
    </cfRule>
    <cfRule type="expression" dxfId="13143" priority="1091" stopIfTrue="1">
      <formula>AR31=CléPersonnalisée1</formula>
    </cfRule>
    <cfRule type="expression" dxfId="13142" priority="1092" stopIfTrue="1">
      <formula>AR31=CléMaladie</formula>
    </cfRule>
    <cfRule type="expression" dxfId="13141" priority="1093" stopIfTrue="1">
      <formula>AR31=CléPersonnelle</formula>
    </cfRule>
    <cfRule type="expression" dxfId="13140" priority="1094" stopIfTrue="1">
      <formula>AR31=CléCongés</formula>
    </cfRule>
  </conditionalFormatting>
  <conditionalFormatting sqref="AQ31">
    <cfRule type="expression" priority="1083" stopIfTrue="1">
      <formula>AQ31=""</formula>
    </cfRule>
    <cfRule type="expression" dxfId="13139" priority="1084" stopIfTrue="1">
      <formula>AQ31=CléPersonnalisée2</formula>
    </cfRule>
    <cfRule type="expression" dxfId="13138" priority="1085" stopIfTrue="1">
      <formula>AQ31=CléPersonnalisée1</formula>
    </cfRule>
    <cfRule type="expression" dxfId="13137" priority="1086" stopIfTrue="1">
      <formula>AQ31=CléMaladie</formula>
    </cfRule>
    <cfRule type="expression" dxfId="13136" priority="1087" stopIfTrue="1">
      <formula>AQ31=CléPersonnelle</formula>
    </cfRule>
    <cfRule type="expression" dxfId="13135" priority="1088" stopIfTrue="1">
      <formula>AQ31=CléCongés</formula>
    </cfRule>
  </conditionalFormatting>
  <conditionalFormatting sqref="AR35">
    <cfRule type="expression" priority="1077" stopIfTrue="1">
      <formula>AR35=""</formula>
    </cfRule>
    <cfRule type="expression" dxfId="13134" priority="1078" stopIfTrue="1">
      <formula>AR35=CléPersonnalisée2</formula>
    </cfRule>
    <cfRule type="expression" dxfId="13133" priority="1079" stopIfTrue="1">
      <formula>AR35=CléPersonnalisée1</formula>
    </cfRule>
    <cfRule type="expression" dxfId="13132" priority="1080" stopIfTrue="1">
      <formula>AR35=CléMaladie</formula>
    </cfRule>
    <cfRule type="expression" dxfId="13131" priority="1081" stopIfTrue="1">
      <formula>AR35=CléPersonnelle</formula>
    </cfRule>
    <cfRule type="expression" dxfId="13130" priority="1082" stopIfTrue="1">
      <formula>AR35=CléCongés</formula>
    </cfRule>
  </conditionalFormatting>
  <conditionalFormatting sqref="AQ35">
    <cfRule type="expression" priority="1071" stopIfTrue="1">
      <formula>AQ35=""</formula>
    </cfRule>
    <cfRule type="expression" dxfId="13129" priority="1072" stopIfTrue="1">
      <formula>AQ35=CléPersonnalisée2</formula>
    </cfRule>
    <cfRule type="expression" dxfId="13128" priority="1073" stopIfTrue="1">
      <formula>AQ35=CléPersonnalisée1</formula>
    </cfRule>
    <cfRule type="expression" dxfId="13127" priority="1074" stopIfTrue="1">
      <formula>AQ35=CléMaladie</formula>
    </cfRule>
    <cfRule type="expression" dxfId="13126" priority="1075" stopIfTrue="1">
      <formula>AQ35=CléPersonnelle</formula>
    </cfRule>
    <cfRule type="expression" dxfId="13125" priority="1076" stopIfTrue="1">
      <formula>AQ35=CléCongés</formula>
    </cfRule>
  </conditionalFormatting>
  <conditionalFormatting sqref="AR39">
    <cfRule type="expression" priority="1065" stopIfTrue="1">
      <formula>AR39=""</formula>
    </cfRule>
    <cfRule type="expression" dxfId="13124" priority="1066" stopIfTrue="1">
      <formula>AR39=CléPersonnalisée2</formula>
    </cfRule>
    <cfRule type="expression" dxfId="13123" priority="1067" stopIfTrue="1">
      <formula>AR39=CléPersonnalisée1</formula>
    </cfRule>
    <cfRule type="expression" dxfId="13122" priority="1068" stopIfTrue="1">
      <formula>AR39=CléMaladie</formula>
    </cfRule>
    <cfRule type="expression" dxfId="13121" priority="1069" stopIfTrue="1">
      <formula>AR39=CléPersonnelle</formula>
    </cfRule>
    <cfRule type="expression" dxfId="13120" priority="1070" stopIfTrue="1">
      <formula>AR39=CléCongés</formula>
    </cfRule>
  </conditionalFormatting>
  <conditionalFormatting sqref="AQ39">
    <cfRule type="expression" priority="1059" stopIfTrue="1">
      <formula>AQ39=""</formula>
    </cfRule>
    <cfRule type="expression" dxfId="13119" priority="1060" stopIfTrue="1">
      <formula>AQ39=CléPersonnalisée2</formula>
    </cfRule>
    <cfRule type="expression" dxfId="13118" priority="1061" stopIfTrue="1">
      <formula>AQ39=CléPersonnalisée1</formula>
    </cfRule>
    <cfRule type="expression" dxfId="13117" priority="1062" stopIfTrue="1">
      <formula>AQ39=CléMaladie</formula>
    </cfRule>
    <cfRule type="expression" dxfId="13116" priority="1063" stopIfTrue="1">
      <formula>AQ39=CléPersonnelle</formula>
    </cfRule>
    <cfRule type="expression" dxfId="13115" priority="1064" stopIfTrue="1">
      <formula>AQ39=CléCongés</formula>
    </cfRule>
  </conditionalFormatting>
  <conditionalFormatting sqref="AR43">
    <cfRule type="expression" priority="1053" stopIfTrue="1">
      <formula>AR43=""</formula>
    </cfRule>
    <cfRule type="expression" dxfId="13114" priority="1054" stopIfTrue="1">
      <formula>AR43=CléPersonnalisée2</formula>
    </cfRule>
    <cfRule type="expression" dxfId="13113" priority="1055" stopIfTrue="1">
      <formula>AR43=CléPersonnalisée1</formula>
    </cfRule>
    <cfRule type="expression" dxfId="13112" priority="1056" stopIfTrue="1">
      <formula>AR43=CléMaladie</formula>
    </cfRule>
    <cfRule type="expression" dxfId="13111" priority="1057" stopIfTrue="1">
      <formula>AR43=CléPersonnelle</formula>
    </cfRule>
    <cfRule type="expression" dxfId="13110" priority="1058" stopIfTrue="1">
      <formula>AR43=CléCongés</formula>
    </cfRule>
  </conditionalFormatting>
  <conditionalFormatting sqref="AQ43">
    <cfRule type="expression" priority="1047" stopIfTrue="1">
      <formula>AQ43=""</formula>
    </cfRule>
    <cfRule type="expression" dxfId="13109" priority="1048" stopIfTrue="1">
      <formula>AQ43=CléPersonnalisée2</formula>
    </cfRule>
    <cfRule type="expression" dxfId="13108" priority="1049" stopIfTrue="1">
      <formula>AQ43=CléPersonnalisée1</formula>
    </cfRule>
    <cfRule type="expression" dxfId="13107" priority="1050" stopIfTrue="1">
      <formula>AQ43=CléMaladie</formula>
    </cfRule>
    <cfRule type="expression" dxfId="13106" priority="1051" stopIfTrue="1">
      <formula>AQ43=CléPersonnelle</formula>
    </cfRule>
    <cfRule type="expression" dxfId="13105" priority="1052" stopIfTrue="1">
      <formula>AQ43=CléCongés</formula>
    </cfRule>
  </conditionalFormatting>
  <conditionalFormatting sqref="AR47">
    <cfRule type="expression" priority="1041" stopIfTrue="1">
      <formula>AR47=""</formula>
    </cfRule>
    <cfRule type="expression" dxfId="13104" priority="1042" stopIfTrue="1">
      <formula>AR47=CléPersonnalisée2</formula>
    </cfRule>
    <cfRule type="expression" dxfId="13103" priority="1043" stopIfTrue="1">
      <formula>AR47=CléPersonnalisée1</formula>
    </cfRule>
    <cfRule type="expression" dxfId="13102" priority="1044" stopIfTrue="1">
      <formula>AR47=CléMaladie</formula>
    </cfRule>
    <cfRule type="expression" dxfId="13101" priority="1045" stopIfTrue="1">
      <formula>AR47=CléPersonnelle</formula>
    </cfRule>
    <cfRule type="expression" dxfId="13100" priority="1046" stopIfTrue="1">
      <formula>AR47=CléCongés</formula>
    </cfRule>
  </conditionalFormatting>
  <conditionalFormatting sqref="AQ47">
    <cfRule type="expression" priority="1035" stopIfTrue="1">
      <formula>AQ47=""</formula>
    </cfRule>
    <cfRule type="expression" dxfId="13099" priority="1036" stopIfTrue="1">
      <formula>AQ47=CléPersonnalisée2</formula>
    </cfRule>
    <cfRule type="expression" dxfId="13098" priority="1037" stopIfTrue="1">
      <formula>AQ47=CléPersonnalisée1</formula>
    </cfRule>
    <cfRule type="expression" dxfId="13097" priority="1038" stopIfTrue="1">
      <formula>AQ47=CléMaladie</formula>
    </cfRule>
    <cfRule type="expression" dxfId="13096" priority="1039" stopIfTrue="1">
      <formula>AQ47=CléPersonnelle</formula>
    </cfRule>
    <cfRule type="expression" dxfId="13095" priority="1040" stopIfTrue="1">
      <formula>AQ47=CléCongés</formula>
    </cfRule>
  </conditionalFormatting>
  <conditionalFormatting sqref="AR51">
    <cfRule type="expression" priority="1029" stopIfTrue="1">
      <formula>AR51=""</formula>
    </cfRule>
    <cfRule type="expression" dxfId="13094" priority="1030" stopIfTrue="1">
      <formula>AR51=CléPersonnalisée2</formula>
    </cfRule>
    <cfRule type="expression" dxfId="13093" priority="1031" stopIfTrue="1">
      <formula>AR51=CléPersonnalisée1</formula>
    </cfRule>
    <cfRule type="expression" dxfId="13092" priority="1032" stopIfTrue="1">
      <formula>AR51=CléMaladie</formula>
    </cfRule>
    <cfRule type="expression" dxfId="13091" priority="1033" stopIfTrue="1">
      <formula>AR51=CléPersonnelle</formula>
    </cfRule>
    <cfRule type="expression" dxfId="13090" priority="1034" stopIfTrue="1">
      <formula>AR51=CléCongés</formula>
    </cfRule>
  </conditionalFormatting>
  <conditionalFormatting sqref="AQ51">
    <cfRule type="expression" priority="1023" stopIfTrue="1">
      <formula>AQ51=""</formula>
    </cfRule>
    <cfRule type="expression" dxfId="13089" priority="1024" stopIfTrue="1">
      <formula>AQ51=CléPersonnalisée2</formula>
    </cfRule>
    <cfRule type="expression" dxfId="13088" priority="1025" stopIfTrue="1">
      <formula>AQ51=CléPersonnalisée1</formula>
    </cfRule>
    <cfRule type="expression" dxfId="13087" priority="1026" stopIfTrue="1">
      <formula>AQ51=CléMaladie</formula>
    </cfRule>
    <cfRule type="expression" dxfId="13086" priority="1027" stopIfTrue="1">
      <formula>AQ51=CléPersonnelle</formula>
    </cfRule>
    <cfRule type="expression" dxfId="13085" priority="1028" stopIfTrue="1">
      <formula>AQ51=CléCongés</formula>
    </cfRule>
  </conditionalFormatting>
  <conditionalFormatting sqref="AR55">
    <cfRule type="expression" priority="1017" stopIfTrue="1">
      <formula>AR55=""</formula>
    </cfRule>
    <cfRule type="expression" dxfId="13084" priority="1018" stopIfTrue="1">
      <formula>AR55=CléPersonnalisée2</formula>
    </cfRule>
    <cfRule type="expression" dxfId="13083" priority="1019" stopIfTrue="1">
      <formula>AR55=CléPersonnalisée1</formula>
    </cfRule>
    <cfRule type="expression" dxfId="13082" priority="1020" stopIfTrue="1">
      <formula>AR55=CléMaladie</formula>
    </cfRule>
    <cfRule type="expression" dxfId="13081" priority="1021" stopIfTrue="1">
      <formula>AR55=CléPersonnelle</formula>
    </cfRule>
    <cfRule type="expression" dxfId="13080" priority="1022" stopIfTrue="1">
      <formula>AR55=CléCongés</formula>
    </cfRule>
  </conditionalFormatting>
  <conditionalFormatting sqref="AQ55">
    <cfRule type="expression" priority="1011" stopIfTrue="1">
      <formula>AQ55=""</formula>
    </cfRule>
    <cfRule type="expression" dxfId="13079" priority="1012" stopIfTrue="1">
      <formula>AQ55=CléPersonnalisée2</formula>
    </cfRule>
    <cfRule type="expression" dxfId="13078" priority="1013" stopIfTrue="1">
      <formula>AQ55=CléPersonnalisée1</formula>
    </cfRule>
    <cfRule type="expression" dxfId="13077" priority="1014" stopIfTrue="1">
      <formula>AQ55=CléMaladie</formula>
    </cfRule>
    <cfRule type="expression" dxfId="13076" priority="1015" stopIfTrue="1">
      <formula>AQ55=CléPersonnelle</formula>
    </cfRule>
    <cfRule type="expression" dxfId="13075" priority="1016" stopIfTrue="1">
      <formula>AQ55=CléCongés</formula>
    </cfRule>
  </conditionalFormatting>
  <conditionalFormatting sqref="AR63">
    <cfRule type="expression" priority="1005" stopIfTrue="1">
      <formula>AR63=""</formula>
    </cfRule>
    <cfRule type="expression" dxfId="13074" priority="1006" stopIfTrue="1">
      <formula>AR63=CléPersonnalisée2</formula>
    </cfRule>
    <cfRule type="expression" dxfId="13073" priority="1007" stopIfTrue="1">
      <formula>AR63=CléPersonnalisée1</formula>
    </cfRule>
    <cfRule type="expression" dxfId="13072" priority="1008" stopIfTrue="1">
      <formula>AR63=CléMaladie</formula>
    </cfRule>
    <cfRule type="expression" dxfId="13071" priority="1009" stopIfTrue="1">
      <formula>AR63=CléPersonnelle</formula>
    </cfRule>
    <cfRule type="expression" dxfId="13070" priority="1010" stopIfTrue="1">
      <formula>AR63=CléCongés</formula>
    </cfRule>
  </conditionalFormatting>
  <conditionalFormatting sqref="AQ63">
    <cfRule type="expression" priority="999" stopIfTrue="1">
      <formula>AQ63=""</formula>
    </cfRule>
    <cfRule type="expression" dxfId="13069" priority="1000" stopIfTrue="1">
      <formula>AQ63=CléPersonnalisée2</formula>
    </cfRule>
    <cfRule type="expression" dxfId="13068" priority="1001" stopIfTrue="1">
      <formula>AQ63=CléPersonnalisée1</formula>
    </cfRule>
    <cfRule type="expression" dxfId="13067" priority="1002" stopIfTrue="1">
      <formula>AQ63=CléMaladie</formula>
    </cfRule>
    <cfRule type="expression" dxfId="13066" priority="1003" stopIfTrue="1">
      <formula>AQ63=CléPersonnelle</formula>
    </cfRule>
    <cfRule type="expression" dxfId="13065" priority="1004" stopIfTrue="1">
      <formula>AQ63=CléCongés</formula>
    </cfRule>
  </conditionalFormatting>
  <conditionalFormatting sqref="AR67">
    <cfRule type="expression" priority="993" stopIfTrue="1">
      <formula>AR67=""</formula>
    </cfRule>
    <cfRule type="expression" dxfId="13064" priority="994" stopIfTrue="1">
      <formula>AR67=CléPersonnalisée2</formula>
    </cfRule>
    <cfRule type="expression" dxfId="13063" priority="995" stopIfTrue="1">
      <formula>AR67=CléPersonnalisée1</formula>
    </cfRule>
    <cfRule type="expression" dxfId="13062" priority="996" stopIfTrue="1">
      <formula>AR67=CléMaladie</formula>
    </cfRule>
    <cfRule type="expression" dxfId="13061" priority="997" stopIfTrue="1">
      <formula>AR67=CléPersonnelle</formula>
    </cfRule>
    <cfRule type="expression" dxfId="13060" priority="998" stopIfTrue="1">
      <formula>AR67=CléCongés</formula>
    </cfRule>
  </conditionalFormatting>
  <conditionalFormatting sqref="AQ67">
    <cfRule type="expression" priority="987" stopIfTrue="1">
      <formula>AQ67=""</formula>
    </cfRule>
    <cfRule type="expression" dxfId="13059" priority="988" stopIfTrue="1">
      <formula>AQ67=CléPersonnalisée2</formula>
    </cfRule>
    <cfRule type="expression" dxfId="13058" priority="989" stopIfTrue="1">
      <formula>AQ67=CléPersonnalisée1</formula>
    </cfRule>
    <cfRule type="expression" dxfId="13057" priority="990" stopIfTrue="1">
      <formula>AQ67=CléMaladie</formula>
    </cfRule>
    <cfRule type="expression" dxfId="13056" priority="991" stopIfTrue="1">
      <formula>AQ67=CléPersonnelle</formula>
    </cfRule>
    <cfRule type="expression" dxfId="13055" priority="992" stopIfTrue="1">
      <formula>AQ67=CléCongés</formula>
    </cfRule>
  </conditionalFormatting>
  <conditionalFormatting sqref="AR71">
    <cfRule type="expression" priority="981" stopIfTrue="1">
      <formula>AR71=""</formula>
    </cfRule>
    <cfRule type="expression" dxfId="13054" priority="982" stopIfTrue="1">
      <formula>AR71=CléPersonnalisée2</formula>
    </cfRule>
    <cfRule type="expression" dxfId="13053" priority="983" stopIfTrue="1">
      <formula>AR71=CléPersonnalisée1</formula>
    </cfRule>
    <cfRule type="expression" dxfId="13052" priority="984" stopIfTrue="1">
      <formula>AR71=CléMaladie</formula>
    </cfRule>
    <cfRule type="expression" dxfId="13051" priority="985" stopIfTrue="1">
      <formula>AR71=CléPersonnelle</formula>
    </cfRule>
    <cfRule type="expression" dxfId="13050" priority="986" stopIfTrue="1">
      <formula>AR71=CléCongés</formula>
    </cfRule>
  </conditionalFormatting>
  <conditionalFormatting sqref="C73:AG75">
    <cfRule type="expression" priority="968" stopIfTrue="1">
      <formula>C73=""</formula>
    </cfRule>
    <cfRule type="expression" dxfId="13049" priority="969" stopIfTrue="1">
      <formula>C73=CléPersonnalisée2</formula>
    </cfRule>
    <cfRule type="expression" dxfId="13048" priority="970" stopIfTrue="1">
      <formula>C73=CléPersonnalisée1</formula>
    </cfRule>
    <cfRule type="expression" dxfId="13047" priority="971" stopIfTrue="1">
      <formula>C73=CléMaladie</formula>
    </cfRule>
    <cfRule type="expression" dxfId="13046" priority="972" stopIfTrue="1">
      <formula>C73=CléPersonnelle</formula>
    </cfRule>
    <cfRule type="expression" dxfId="13045" priority="973" stopIfTrue="1">
      <formula>C73=CléCongés</formula>
    </cfRule>
  </conditionalFormatting>
  <conditionalFormatting sqref="AH75">
    <cfRule type="dataBar" priority="974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{396D607D-B324-4E7F-8109-FD75D896B36A}</x14:id>
        </ext>
      </extLst>
    </cfRule>
  </conditionalFormatting>
  <conditionalFormatting sqref="AM73:AP74">
    <cfRule type="expression" priority="962" stopIfTrue="1">
      <formula>AM73=""</formula>
    </cfRule>
    <cfRule type="expression" dxfId="13044" priority="963" stopIfTrue="1">
      <formula>AM73=CléPersonnalisée2</formula>
    </cfRule>
    <cfRule type="expression" dxfId="13043" priority="964" stopIfTrue="1">
      <formula>AM73=CléPersonnalisée1</formula>
    </cfRule>
    <cfRule type="expression" dxfId="13042" priority="965" stopIfTrue="1">
      <formula>AM73=CléMaladie</formula>
    </cfRule>
    <cfRule type="expression" dxfId="13041" priority="966" stopIfTrue="1">
      <formula>AM73=CléPersonnelle</formula>
    </cfRule>
    <cfRule type="expression" dxfId="13040" priority="967" stopIfTrue="1">
      <formula>AM73=CléCongés</formula>
    </cfRule>
  </conditionalFormatting>
  <conditionalFormatting sqref="AQ73:AR74">
    <cfRule type="expression" priority="956" stopIfTrue="1">
      <formula>AQ73=""</formula>
    </cfRule>
    <cfRule type="expression" dxfId="13039" priority="957" stopIfTrue="1">
      <formula>AQ73=CléPersonnalisée2</formula>
    </cfRule>
    <cfRule type="expression" dxfId="13038" priority="958" stopIfTrue="1">
      <formula>AQ73=CléPersonnalisée1</formula>
    </cfRule>
    <cfRule type="expression" dxfId="13037" priority="959" stopIfTrue="1">
      <formula>AQ73=CléMaladie</formula>
    </cfRule>
    <cfRule type="expression" dxfId="13036" priority="960" stopIfTrue="1">
      <formula>AQ73=CléPersonnelle</formula>
    </cfRule>
    <cfRule type="expression" dxfId="13035" priority="961" stopIfTrue="1">
      <formula>AQ73=CléCongés</formula>
    </cfRule>
  </conditionalFormatting>
  <conditionalFormatting sqref="AM75 AP75">
    <cfRule type="expression" priority="950" stopIfTrue="1">
      <formula>AM75=""</formula>
    </cfRule>
    <cfRule type="expression" dxfId="13034" priority="951" stopIfTrue="1">
      <formula>AM75=CléPersonnalisée2</formula>
    </cfRule>
    <cfRule type="expression" dxfId="13033" priority="952" stopIfTrue="1">
      <formula>AM75=CléPersonnalisée1</formula>
    </cfRule>
    <cfRule type="expression" dxfId="13032" priority="953" stopIfTrue="1">
      <formula>AM75=CléMaladie</formula>
    </cfRule>
    <cfRule type="expression" dxfId="13031" priority="954" stopIfTrue="1">
      <formula>AM75=CléPersonnelle</formula>
    </cfRule>
    <cfRule type="expression" dxfId="13030" priority="955" stopIfTrue="1">
      <formula>AM75=CléCongés</formula>
    </cfRule>
  </conditionalFormatting>
  <conditionalFormatting sqref="AH73:AH74">
    <cfRule type="dataBar" priority="949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{DB3ECF64-E06D-4C34-9D7C-C727C1920060}</x14:id>
        </ext>
      </extLst>
    </cfRule>
  </conditionalFormatting>
  <conditionalFormatting sqref="AR75">
    <cfRule type="expression" priority="943" stopIfTrue="1">
      <formula>AR75=""</formula>
    </cfRule>
    <cfRule type="expression" dxfId="13029" priority="944" stopIfTrue="1">
      <formula>AR75=CléPersonnalisée2</formula>
    </cfRule>
    <cfRule type="expression" dxfId="13028" priority="945" stopIfTrue="1">
      <formula>AR75=CléPersonnalisée1</formula>
    </cfRule>
    <cfRule type="expression" dxfId="13027" priority="946" stopIfTrue="1">
      <formula>AR75=CléMaladie</formula>
    </cfRule>
    <cfRule type="expression" dxfId="13026" priority="947" stopIfTrue="1">
      <formula>AR75=CléPersonnelle</formula>
    </cfRule>
    <cfRule type="expression" dxfId="13025" priority="948" stopIfTrue="1">
      <formula>AR75=CléCongés</formula>
    </cfRule>
  </conditionalFormatting>
  <conditionalFormatting sqref="C81:AG83">
    <cfRule type="expression" priority="930" stopIfTrue="1">
      <formula>C81=""</formula>
    </cfRule>
    <cfRule type="expression" dxfId="13024" priority="931" stopIfTrue="1">
      <formula>C81=CléPersonnalisée2</formula>
    </cfRule>
    <cfRule type="expression" dxfId="13023" priority="932" stopIfTrue="1">
      <formula>C81=CléPersonnalisée1</formula>
    </cfRule>
    <cfRule type="expression" dxfId="13022" priority="933" stopIfTrue="1">
      <formula>C81=CléMaladie</formula>
    </cfRule>
    <cfRule type="expression" dxfId="13021" priority="934" stopIfTrue="1">
      <formula>C81=CléPersonnelle</formula>
    </cfRule>
    <cfRule type="expression" dxfId="13020" priority="935" stopIfTrue="1">
      <formula>C81=CléCongés</formula>
    </cfRule>
  </conditionalFormatting>
  <conditionalFormatting sqref="AH83">
    <cfRule type="dataBar" priority="936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{DA8B593B-1E07-482D-B229-A75AF7AA4DDA}</x14:id>
        </ext>
      </extLst>
    </cfRule>
  </conditionalFormatting>
  <conditionalFormatting sqref="AM81:AP82">
    <cfRule type="expression" priority="924" stopIfTrue="1">
      <formula>AM81=""</formula>
    </cfRule>
    <cfRule type="expression" dxfId="13019" priority="925" stopIfTrue="1">
      <formula>AM81=CléPersonnalisée2</formula>
    </cfRule>
    <cfRule type="expression" dxfId="13018" priority="926" stopIfTrue="1">
      <formula>AM81=CléPersonnalisée1</formula>
    </cfRule>
    <cfRule type="expression" dxfId="13017" priority="927" stopIfTrue="1">
      <formula>AM81=CléMaladie</formula>
    </cfRule>
    <cfRule type="expression" dxfId="13016" priority="928" stopIfTrue="1">
      <formula>AM81=CléPersonnelle</formula>
    </cfRule>
    <cfRule type="expression" dxfId="13015" priority="929" stopIfTrue="1">
      <formula>AM81=CléCongés</formula>
    </cfRule>
  </conditionalFormatting>
  <conditionalFormatting sqref="AQ81:AR82">
    <cfRule type="expression" priority="918" stopIfTrue="1">
      <formula>AQ81=""</formula>
    </cfRule>
    <cfRule type="expression" dxfId="13014" priority="919" stopIfTrue="1">
      <formula>AQ81=CléPersonnalisée2</formula>
    </cfRule>
    <cfRule type="expression" dxfId="13013" priority="920" stopIfTrue="1">
      <formula>AQ81=CléPersonnalisée1</formula>
    </cfRule>
    <cfRule type="expression" dxfId="13012" priority="921" stopIfTrue="1">
      <formula>AQ81=CléMaladie</formula>
    </cfRule>
    <cfRule type="expression" dxfId="13011" priority="922" stopIfTrue="1">
      <formula>AQ81=CléPersonnelle</formula>
    </cfRule>
    <cfRule type="expression" dxfId="13010" priority="923" stopIfTrue="1">
      <formula>AQ81=CléCongés</formula>
    </cfRule>
  </conditionalFormatting>
  <conditionalFormatting sqref="AM83 AP83">
    <cfRule type="expression" priority="912" stopIfTrue="1">
      <formula>AM83=""</formula>
    </cfRule>
    <cfRule type="expression" dxfId="13009" priority="913" stopIfTrue="1">
      <formula>AM83=CléPersonnalisée2</formula>
    </cfRule>
    <cfRule type="expression" dxfId="13008" priority="914" stopIfTrue="1">
      <formula>AM83=CléPersonnalisée1</formula>
    </cfRule>
    <cfRule type="expression" dxfId="13007" priority="915" stopIfTrue="1">
      <formula>AM83=CléMaladie</formula>
    </cfRule>
    <cfRule type="expression" dxfId="13006" priority="916" stopIfTrue="1">
      <formula>AM83=CléPersonnelle</formula>
    </cfRule>
    <cfRule type="expression" dxfId="13005" priority="917" stopIfTrue="1">
      <formula>AM83=CléCongés</formula>
    </cfRule>
  </conditionalFormatting>
  <conditionalFormatting sqref="AH81:AH82">
    <cfRule type="dataBar" priority="911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{7DCFEA0B-7A84-44CF-B953-10356022F3F7}</x14:id>
        </ext>
      </extLst>
    </cfRule>
  </conditionalFormatting>
  <conditionalFormatting sqref="AN83">
    <cfRule type="expression" priority="905" stopIfTrue="1">
      <formula>AN83=""</formula>
    </cfRule>
    <cfRule type="expression" dxfId="13004" priority="906" stopIfTrue="1">
      <formula>AN83=CléPersonnalisée2</formula>
    </cfRule>
    <cfRule type="expression" dxfId="13003" priority="907" stopIfTrue="1">
      <formula>AN83=CléPersonnalisée1</formula>
    </cfRule>
    <cfRule type="expression" dxfId="13002" priority="908" stopIfTrue="1">
      <formula>AN83=CléMaladie</formula>
    </cfRule>
    <cfRule type="expression" dxfId="13001" priority="909" stopIfTrue="1">
      <formula>AN83=CléPersonnelle</formula>
    </cfRule>
    <cfRule type="expression" dxfId="13000" priority="910" stopIfTrue="1">
      <formula>AN83=CléCongés</formula>
    </cfRule>
  </conditionalFormatting>
  <conditionalFormatting sqref="AR83">
    <cfRule type="expression" priority="899" stopIfTrue="1">
      <formula>AR83=""</formula>
    </cfRule>
    <cfRule type="expression" dxfId="12999" priority="900" stopIfTrue="1">
      <formula>AR83=CléPersonnalisée2</formula>
    </cfRule>
    <cfRule type="expression" dxfId="12998" priority="901" stopIfTrue="1">
      <formula>AR83=CléPersonnalisée1</formula>
    </cfRule>
    <cfRule type="expression" dxfId="12997" priority="902" stopIfTrue="1">
      <formula>AR83=CléMaladie</formula>
    </cfRule>
    <cfRule type="expression" dxfId="12996" priority="903" stopIfTrue="1">
      <formula>AR83=CléPersonnelle</formula>
    </cfRule>
    <cfRule type="expression" dxfId="12995" priority="904" stopIfTrue="1">
      <formula>AR83=CléCongés</formula>
    </cfRule>
  </conditionalFormatting>
  <conditionalFormatting sqref="AQ87">
    <cfRule type="expression" priority="849" stopIfTrue="1">
      <formula>AQ87=""</formula>
    </cfRule>
    <cfRule type="expression" dxfId="12994" priority="850" stopIfTrue="1">
      <formula>AQ87=CléPersonnalisée2</formula>
    </cfRule>
    <cfRule type="expression" dxfId="12993" priority="851" stopIfTrue="1">
      <formula>AQ87=CléPersonnalisée1</formula>
    </cfRule>
    <cfRule type="expression" dxfId="12992" priority="852" stopIfTrue="1">
      <formula>AQ87=CléMaladie</formula>
    </cfRule>
    <cfRule type="expression" dxfId="12991" priority="853" stopIfTrue="1">
      <formula>AQ87=CléPersonnelle</formula>
    </cfRule>
    <cfRule type="expression" dxfId="12990" priority="854" stopIfTrue="1">
      <formula>AQ87=CléCongés</formula>
    </cfRule>
  </conditionalFormatting>
  <conditionalFormatting sqref="C85:AG87">
    <cfRule type="expression" priority="886" stopIfTrue="1">
      <formula>C85=""</formula>
    </cfRule>
    <cfRule type="expression" dxfId="12989" priority="887" stopIfTrue="1">
      <formula>C85=CléPersonnalisée2</formula>
    </cfRule>
    <cfRule type="expression" dxfId="12988" priority="888" stopIfTrue="1">
      <formula>C85=CléPersonnalisée1</formula>
    </cfRule>
    <cfRule type="expression" dxfId="12987" priority="889" stopIfTrue="1">
      <formula>C85=CléMaladie</formula>
    </cfRule>
    <cfRule type="expression" dxfId="12986" priority="890" stopIfTrue="1">
      <formula>C85=CléPersonnelle</formula>
    </cfRule>
    <cfRule type="expression" dxfId="12985" priority="891" stopIfTrue="1">
      <formula>C85=CléCongés</formula>
    </cfRule>
  </conditionalFormatting>
  <conditionalFormatting sqref="AH87">
    <cfRule type="dataBar" priority="892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{E96A23A5-4215-44D9-AD06-9B0BB2376819}</x14:id>
        </ext>
      </extLst>
    </cfRule>
  </conditionalFormatting>
  <conditionalFormatting sqref="AM85:AP86">
    <cfRule type="expression" priority="880" stopIfTrue="1">
      <formula>AM85=""</formula>
    </cfRule>
    <cfRule type="expression" dxfId="12984" priority="881" stopIfTrue="1">
      <formula>AM85=CléPersonnalisée2</formula>
    </cfRule>
    <cfRule type="expression" dxfId="12983" priority="882" stopIfTrue="1">
      <formula>AM85=CléPersonnalisée1</formula>
    </cfRule>
    <cfRule type="expression" dxfId="12982" priority="883" stopIfTrue="1">
      <formula>AM85=CléMaladie</formula>
    </cfRule>
    <cfRule type="expression" dxfId="12981" priority="884" stopIfTrue="1">
      <formula>AM85=CléPersonnelle</formula>
    </cfRule>
    <cfRule type="expression" dxfId="12980" priority="885" stopIfTrue="1">
      <formula>AM85=CléCongés</formula>
    </cfRule>
  </conditionalFormatting>
  <conditionalFormatting sqref="AQ85:AR86">
    <cfRule type="expression" priority="874" stopIfTrue="1">
      <formula>AQ85=""</formula>
    </cfRule>
    <cfRule type="expression" dxfId="12979" priority="875" stopIfTrue="1">
      <formula>AQ85=CléPersonnalisée2</formula>
    </cfRule>
    <cfRule type="expression" dxfId="12978" priority="876" stopIfTrue="1">
      <formula>AQ85=CléPersonnalisée1</formula>
    </cfRule>
    <cfRule type="expression" dxfId="12977" priority="877" stopIfTrue="1">
      <formula>AQ85=CléMaladie</formula>
    </cfRule>
    <cfRule type="expression" dxfId="12976" priority="878" stopIfTrue="1">
      <formula>AQ85=CléPersonnelle</formula>
    </cfRule>
    <cfRule type="expression" dxfId="12975" priority="879" stopIfTrue="1">
      <formula>AQ85=CléCongés</formula>
    </cfRule>
  </conditionalFormatting>
  <conditionalFormatting sqref="AM87 AP87">
    <cfRule type="expression" priority="868" stopIfTrue="1">
      <formula>AM87=""</formula>
    </cfRule>
    <cfRule type="expression" dxfId="12974" priority="869" stopIfTrue="1">
      <formula>AM87=CléPersonnalisée2</formula>
    </cfRule>
    <cfRule type="expression" dxfId="12973" priority="870" stopIfTrue="1">
      <formula>AM87=CléPersonnalisée1</formula>
    </cfRule>
    <cfRule type="expression" dxfId="12972" priority="871" stopIfTrue="1">
      <formula>AM87=CléMaladie</formula>
    </cfRule>
    <cfRule type="expression" dxfId="12971" priority="872" stopIfTrue="1">
      <formula>AM87=CléPersonnelle</formula>
    </cfRule>
    <cfRule type="expression" dxfId="12970" priority="873" stopIfTrue="1">
      <formula>AM87=CléCongés</formula>
    </cfRule>
  </conditionalFormatting>
  <conditionalFormatting sqref="AH85:AH86">
    <cfRule type="dataBar" priority="867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{4A39AF0A-7F98-4104-B170-C40D28B20754}</x14:id>
        </ext>
      </extLst>
    </cfRule>
  </conditionalFormatting>
  <conditionalFormatting sqref="AN87">
    <cfRule type="expression" priority="861" stopIfTrue="1">
      <formula>AN87=""</formula>
    </cfRule>
    <cfRule type="expression" dxfId="12969" priority="862" stopIfTrue="1">
      <formula>AN87=CléPersonnalisée2</formula>
    </cfRule>
    <cfRule type="expression" dxfId="12968" priority="863" stopIfTrue="1">
      <formula>AN87=CléPersonnalisée1</formula>
    </cfRule>
    <cfRule type="expression" dxfId="12967" priority="864" stopIfTrue="1">
      <formula>AN87=CléMaladie</formula>
    </cfRule>
    <cfRule type="expression" dxfId="12966" priority="865" stopIfTrue="1">
      <formula>AN87=CléPersonnelle</formula>
    </cfRule>
    <cfRule type="expression" dxfId="12965" priority="866" stopIfTrue="1">
      <formula>AN87=CléCongés</formula>
    </cfRule>
  </conditionalFormatting>
  <conditionalFormatting sqref="AR87">
    <cfRule type="expression" priority="855" stopIfTrue="1">
      <formula>AR87=""</formula>
    </cfRule>
    <cfRule type="expression" dxfId="12964" priority="856" stopIfTrue="1">
      <formula>AR87=CléPersonnalisée2</formula>
    </cfRule>
    <cfRule type="expression" dxfId="12963" priority="857" stopIfTrue="1">
      <formula>AR87=CléPersonnalisée1</formula>
    </cfRule>
    <cfRule type="expression" dxfId="12962" priority="858" stopIfTrue="1">
      <formula>AR87=CléMaladie</formula>
    </cfRule>
    <cfRule type="expression" dxfId="12961" priority="859" stopIfTrue="1">
      <formula>AR87=CléPersonnelle</formula>
    </cfRule>
    <cfRule type="expression" dxfId="12960" priority="860" stopIfTrue="1">
      <formula>AR87=CléCongés</formula>
    </cfRule>
  </conditionalFormatting>
  <conditionalFormatting sqref="C89:AG91">
    <cfRule type="expression" priority="842" stopIfTrue="1">
      <formula>C89=""</formula>
    </cfRule>
    <cfRule type="expression" dxfId="12959" priority="843" stopIfTrue="1">
      <formula>C89=CléPersonnalisée2</formula>
    </cfRule>
    <cfRule type="expression" dxfId="12958" priority="844" stopIfTrue="1">
      <formula>C89=CléPersonnalisée1</formula>
    </cfRule>
    <cfRule type="expression" dxfId="12957" priority="845" stopIfTrue="1">
      <formula>C89=CléMaladie</formula>
    </cfRule>
    <cfRule type="expression" dxfId="12956" priority="846" stopIfTrue="1">
      <formula>C89=CléPersonnelle</formula>
    </cfRule>
    <cfRule type="expression" dxfId="12955" priority="847" stopIfTrue="1">
      <formula>C89=CléCongés</formula>
    </cfRule>
  </conditionalFormatting>
  <conditionalFormatting sqref="AH91">
    <cfRule type="dataBar" priority="848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{2FDA34A5-E23F-4B65-9860-1887FE5B918E}</x14:id>
        </ext>
      </extLst>
    </cfRule>
  </conditionalFormatting>
  <conditionalFormatting sqref="AM89:AP90">
    <cfRule type="expression" priority="836" stopIfTrue="1">
      <formula>AM89=""</formula>
    </cfRule>
    <cfRule type="expression" dxfId="12954" priority="837" stopIfTrue="1">
      <formula>AM89=CléPersonnalisée2</formula>
    </cfRule>
    <cfRule type="expression" dxfId="12953" priority="838" stopIfTrue="1">
      <formula>AM89=CléPersonnalisée1</formula>
    </cfRule>
    <cfRule type="expression" dxfId="12952" priority="839" stopIfTrue="1">
      <formula>AM89=CléMaladie</formula>
    </cfRule>
    <cfRule type="expression" dxfId="12951" priority="840" stopIfTrue="1">
      <formula>AM89=CléPersonnelle</formula>
    </cfRule>
    <cfRule type="expression" dxfId="12950" priority="841" stopIfTrue="1">
      <formula>AM89=CléCongés</formula>
    </cfRule>
  </conditionalFormatting>
  <conditionalFormatting sqref="AQ89:AR90">
    <cfRule type="expression" priority="830" stopIfTrue="1">
      <formula>AQ89=""</formula>
    </cfRule>
    <cfRule type="expression" dxfId="12949" priority="831" stopIfTrue="1">
      <formula>AQ89=CléPersonnalisée2</formula>
    </cfRule>
    <cfRule type="expression" dxfId="12948" priority="832" stopIfTrue="1">
      <formula>AQ89=CléPersonnalisée1</formula>
    </cfRule>
    <cfRule type="expression" dxfId="12947" priority="833" stopIfTrue="1">
      <formula>AQ89=CléMaladie</formula>
    </cfRule>
    <cfRule type="expression" dxfId="12946" priority="834" stopIfTrue="1">
      <formula>AQ89=CléPersonnelle</formula>
    </cfRule>
    <cfRule type="expression" dxfId="12945" priority="835" stopIfTrue="1">
      <formula>AQ89=CléCongés</formula>
    </cfRule>
  </conditionalFormatting>
  <conditionalFormatting sqref="AM91 AP91">
    <cfRule type="expression" priority="824" stopIfTrue="1">
      <formula>AM91=""</formula>
    </cfRule>
    <cfRule type="expression" dxfId="12944" priority="825" stopIfTrue="1">
      <formula>AM91=CléPersonnalisée2</formula>
    </cfRule>
    <cfRule type="expression" dxfId="12943" priority="826" stopIfTrue="1">
      <formula>AM91=CléPersonnalisée1</formula>
    </cfRule>
    <cfRule type="expression" dxfId="12942" priority="827" stopIfTrue="1">
      <formula>AM91=CléMaladie</formula>
    </cfRule>
    <cfRule type="expression" dxfId="12941" priority="828" stopIfTrue="1">
      <formula>AM91=CléPersonnelle</formula>
    </cfRule>
    <cfRule type="expression" dxfId="12940" priority="829" stopIfTrue="1">
      <formula>AM91=CléCongés</formula>
    </cfRule>
  </conditionalFormatting>
  <conditionalFormatting sqref="AH89:AH90">
    <cfRule type="dataBar" priority="823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{D6B9EBCE-0FB0-4CA6-9A84-558E91CE3A67}</x14:id>
        </ext>
      </extLst>
    </cfRule>
  </conditionalFormatting>
  <conditionalFormatting sqref="AN91">
    <cfRule type="expression" priority="817" stopIfTrue="1">
      <formula>AN91=""</formula>
    </cfRule>
    <cfRule type="expression" dxfId="12939" priority="818" stopIfTrue="1">
      <formula>AN91=CléPersonnalisée2</formula>
    </cfRule>
    <cfRule type="expression" dxfId="12938" priority="819" stopIfTrue="1">
      <formula>AN91=CléPersonnalisée1</formula>
    </cfRule>
    <cfRule type="expression" dxfId="12937" priority="820" stopIfTrue="1">
      <formula>AN91=CléMaladie</formula>
    </cfRule>
    <cfRule type="expression" dxfId="12936" priority="821" stopIfTrue="1">
      <formula>AN91=CléPersonnelle</formula>
    </cfRule>
    <cfRule type="expression" dxfId="12935" priority="822" stopIfTrue="1">
      <formula>AN91=CléCongés</formula>
    </cfRule>
  </conditionalFormatting>
  <conditionalFormatting sqref="AR91">
    <cfRule type="expression" priority="811" stopIfTrue="1">
      <formula>AR91=""</formula>
    </cfRule>
    <cfRule type="expression" dxfId="12934" priority="812" stopIfTrue="1">
      <formula>AR91=CléPersonnalisée2</formula>
    </cfRule>
    <cfRule type="expression" dxfId="12933" priority="813" stopIfTrue="1">
      <formula>AR91=CléPersonnalisée1</formula>
    </cfRule>
    <cfRule type="expression" dxfId="12932" priority="814" stopIfTrue="1">
      <formula>AR91=CléMaladie</formula>
    </cfRule>
    <cfRule type="expression" dxfId="12931" priority="815" stopIfTrue="1">
      <formula>AR91=CléPersonnelle</formula>
    </cfRule>
    <cfRule type="expression" dxfId="12930" priority="816" stopIfTrue="1">
      <formula>AR91=CléCongés</formula>
    </cfRule>
  </conditionalFormatting>
  <conditionalFormatting sqref="AN75">
    <cfRule type="expression" priority="799" stopIfTrue="1">
      <formula>AN75=""</formula>
    </cfRule>
    <cfRule type="expression" dxfId="12929" priority="800" stopIfTrue="1">
      <formula>AN75=CléPersonnalisée2</formula>
    </cfRule>
    <cfRule type="expression" dxfId="12928" priority="801" stopIfTrue="1">
      <formula>AN75=CléPersonnalisée1</formula>
    </cfRule>
    <cfRule type="expression" dxfId="12927" priority="802" stopIfTrue="1">
      <formula>AN75=CléMaladie</formula>
    </cfRule>
    <cfRule type="expression" dxfId="12926" priority="803" stopIfTrue="1">
      <formula>AN75=CléPersonnelle</formula>
    </cfRule>
    <cfRule type="expression" dxfId="12925" priority="804" stopIfTrue="1">
      <formula>AN75=CléCongés</formula>
    </cfRule>
  </conditionalFormatting>
  <conditionalFormatting sqref="AQ124:AR124">
    <cfRule type="expression" priority="793" stopIfTrue="1">
      <formula>AQ124=""</formula>
    </cfRule>
    <cfRule type="expression" dxfId="12924" priority="794" stopIfTrue="1">
      <formula>AQ124=CléPersonnalisée2</formula>
    </cfRule>
    <cfRule type="expression" dxfId="12923" priority="795" stopIfTrue="1">
      <formula>AQ124=CléPersonnalisée1</formula>
    </cfRule>
    <cfRule type="expression" dxfId="12922" priority="796" stopIfTrue="1">
      <formula>AQ124=CléMaladie</formula>
    </cfRule>
    <cfRule type="expression" dxfId="12921" priority="797" stopIfTrue="1">
      <formula>AQ124=CléPersonnelle</formula>
    </cfRule>
    <cfRule type="expression" dxfId="12920" priority="798" stopIfTrue="1">
      <formula>AQ124=CléCongés</formula>
    </cfRule>
  </conditionalFormatting>
  <conditionalFormatting sqref="AQ123">
    <cfRule type="expression" priority="655" stopIfTrue="1">
      <formula>AQ123=""</formula>
    </cfRule>
    <cfRule type="expression" dxfId="12919" priority="656" stopIfTrue="1">
      <formula>AQ123=CléPersonnalisée2</formula>
    </cfRule>
    <cfRule type="expression" dxfId="12918" priority="657" stopIfTrue="1">
      <formula>AQ123=CléPersonnalisée1</formula>
    </cfRule>
    <cfRule type="expression" dxfId="12917" priority="658" stopIfTrue="1">
      <formula>AQ123=CléMaladie</formula>
    </cfRule>
    <cfRule type="expression" dxfId="12916" priority="659" stopIfTrue="1">
      <formula>AQ123=CléPersonnelle</formula>
    </cfRule>
    <cfRule type="expression" dxfId="12915" priority="660" stopIfTrue="1">
      <formula>AQ123=CléCongés</formula>
    </cfRule>
  </conditionalFormatting>
  <conditionalFormatting sqref="AQ104:AR104 AQ112:AR112 AQ116:AR116">
    <cfRule type="expression" priority="787" stopIfTrue="1">
      <formula>AQ104=""</formula>
    </cfRule>
    <cfRule type="expression" dxfId="12914" priority="788" stopIfTrue="1">
      <formula>AQ104=CléPersonnalisée2</formula>
    </cfRule>
    <cfRule type="expression" dxfId="12913" priority="789" stopIfTrue="1">
      <formula>AQ104=CléPersonnalisée1</formula>
    </cfRule>
    <cfRule type="expression" dxfId="12912" priority="790" stopIfTrue="1">
      <formula>AQ104=CléMaladie</formula>
    </cfRule>
    <cfRule type="expression" dxfId="12911" priority="791" stopIfTrue="1">
      <formula>AQ104=CléPersonnelle</formula>
    </cfRule>
    <cfRule type="expression" dxfId="12910" priority="792" stopIfTrue="1">
      <formula>AQ104=CléCongés</formula>
    </cfRule>
  </conditionalFormatting>
  <conditionalFormatting sqref="AQ95 AQ103 AQ99">
    <cfRule type="expression" priority="743" stopIfTrue="1">
      <formula>AQ95=""</formula>
    </cfRule>
    <cfRule type="expression" dxfId="12909" priority="744" stopIfTrue="1">
      <formula>AQ95=CléPersonnalisée2</formula>
    </cfRule>
    <cfRule type="expression" dxfId="12908" priority="745" stopIfTrue="1">
      <formula>AQ95=CléPersonnalisée1</formula>
    </cfRule>
    <cfRule type="expression" dxfId="12907" priority="746" stopIfTrue="1">
      <formula>AQ95=CléMaladie</formula>
    </cfRule>
    <cfRule type="expression" dxfId="12906" priority="747" stopIfTrue="1">
      <formula>AQ95=CléPersonnelle</formula>
    </cfRule>
    <cfRule type="expression" dxfId="12905" priority="748" stopIfTrue="1">
      <formula>AQ95=CléCongés</formula>
    </cfRule>
  </conditionalFormatting>
  <conditionalFormatting sqref="C93:AG95 C101:AG103 C97:AG99">
    <cfRule type="expression" priority="780" stopIfTrue="1">
      <formula>C93=""</formula>
    </cfRule>
    <cfRule type="expression" dxfId="12904" priority="781" stopIfTrue="1">
      <formula>C93=CléPersonnalisée2</formula>
    </cfRule>
    <cfRule type="expression" dxfId="12903" priority="782" stopIfTrue="1">
      <formula>C93=CléPersonnalisée1</formula>
    </cfRule>
    <cfRule type="expression" dxfId="12902" priority="783" stopIfTrue="1">
      <formula>C93=CléMaladie</formula>
    </cfRule>
    <cfRule type="expression" dxfId="12901" priority="784" stopIfTrue="1">
      <formula>C93=CléPersonnelle</formula>
    </cfRule>
    <cfRule type="expression" dxfId="12900" priority="785" stopIfTrue="1">
      <formula>C93=CléCongés</formula>
    </cfRule>
  </conditionalFormatting>
  <conditionalFormatting sqref="AH101:AH103 AH95 AH97:AH99">
    <cfRule type="dataBar" priority="786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{ACF8A80F-924C-4FF9-B8FC-E237CE6D61C0}</x14:id>
        </ext>
      </extLst>
    </cfRule>
  </conditionalFormatting>
  <conditionalFormatting sqref="AM93:AP94">
    <cfRule type="expression" priority="774" stopIfTrue="1">
      <formula>AM93=""</formula>
    </cfRule>
    <cfRule type="expression" dxfId="12899" priority="775" stopIfTrue="1">
      <formula>AM93=CléPersonnalisée2</formula>
    </cfRule>
    <cfRule type="expression" dxfId="12898" priority="776" stopIfTrue="1">
      <formula>AM93=CléPersonnalisée1</formula>
    </cfRule>
    <cfRule type="expression" dxfId="12897" priority="777" stopIfTrue="1">
      <formula>AM93=CléMaladie</formula>
    </cfRule>
    <cfRule type="expression" dxfId="12896" priority="778" stopIfTrue="1">
      <formula>AM93=CléPersonnelle</formula>
    </cfRule>
    <cfRule type="expression" dxfId="12895" priority="779" stopIfTrue="1">
      <formula>AM93=CléCongés</formula>
    </cfRule>
  </conditionalFormatting>
  <conditionalFormatting sqref="AQ93:AR94">
    <cfRule type="expression" priority="768" stopIfTrue="1">
      <formula>AQ93=""</formula>
    </cfRule>
    <cfRule type="expression" dxfId="12894" priority="769" stopIfTrue="1">
      <formula>AQ93=CléPersonnalisée2</formula>
    </cfRule>
    <cfRule type="expression" dxfId="12893" priority="770" stopIfTrue="1">
      <formula>AQ93=CléPersonnalisée1</formula>
    </cfRule>
    <cfRule type="expression" dxfId="12892" priority="771" stopIfTrue="1">
      <formula>AQ93=CléMaladie</formula>
    </cfRule>
    <cfRule type="expression" dxfId="12891" priority="772" stopIfTrue="1">
      <formula>AQ93=CléPersonnelle</formula>
    </cfRule>
    <cfRule type="expression" dxfId="12890" priority="773" stopIfTrue="1">
      <formula>AQ93=CléCongés</formula>
    </cfRule>
  </conditionalFormatting>
  <conditionalFormatting sqref="AP95 AP103 AM103 AP99 AM99">
    <cfRule type="expression" priority="762" stopIfTrue="1">
      <formula>AM95=""</formula>
    </cfRule>
    <cfRule type="expression" dxfId="12889" priority="763" stopIfTrue="1">
      <formula>AM95=CléPersonnalisée2</formula>
    </cfRule>
    <cfRule type="expression" dxfId="12888" priority="764" stopIfTrue="1">
      <formula>AM95=CléPersonnalisée1</formula>
    </cfRule>
    <cfRule type="expression" dxfId="12887" priority="765" stopIfTrue="1">
      <formula>AM95=CléMaladie</formula>
    </cfRule>
    <cfRule type="expression" dxfId="12886" priority="766" stopIfTrue="1">
      <formula>AM95=CléPersonnelle</formula>
    </cfRule>
    <cfRule type="expression" dxfId="12885" priority="767" stopIfTrue="1">
      <formula>AM95=CléCongés</formula>
    </cfRule>
  </conditionalFormatting>
  <conditionalFormatting sqref="AH93:AH94">
    <cfRule type="dataBar" priority="761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{ABBFD064-BFB4-4808-B634-AD5956533C40}</x14:id>
        </ext>
      </extLst>
    </cfRule>
  </conditionalFormatting>
  <conditionalFormatting sqref="AN95 AN103 AN99">
    <cfRule type="expression" priority="755" stopIfTrue="1">
      <formula>AN95=""</formula>
    </cfRule>
    <cfRule type="expression" dxfId="12884" priority="756" stopIfTrue="1">
      <formula>AN95=CléPersonnalisée2</formula>
    </cfRule>
    <cfRule type="expression" dxfId="12883" priority="757" stopIfTrue="1">
      <formula>AN95=CléPersonnalisée1</formula>
    </cfRule>
    <cfRule type="expression" dxfId="12882" priority="758" stopIfTrue="1">
      <formula>AN95=CléMaladie</formula>
    </cfRule>
    <cfRule type="expression" dxfId="12881" priority="759" stopIfTrue="1">
      <formula>AN95=CléPersonnelle</formula>
    </cfRule>
    <cfRule type="expression" dxfId="12880" priority="760" stopIfTrue="1">
      <formula>AN95=CléCongés</formula>
    </cfRule>
  </conditionalFormatting>
  <conditionalFormatting sqref="AR95 AR103 AR99">
    <cfRule type="expression" priority="749" stopIfTrue="1">
      <formula>AR95=""</formula>
    </cfRule>
    <cfRule type="expression" dxfId="12879" priority="750" stopIfTrue="1">
      <formula>AR95=CléPersonnalisée2</formula>
    </cfRule>
    <cfRule type="expression" dxfId="12878" priority="751" stopIfTrue="1">
      <formula>AR95=CléPersonnalisée1</formula>
    </cfRule>
    <cfRule type="expression" dxfId="12877" priority="752" stopIfTrue="1">
      <formula>AR95=CléMaladie</formula>
    </cfRule>
    <cfRule type="expression" dxfId="12876" priority="753" stopIfTrue="1">
      <formula>AR95=CléPersonnelle</formula>
    </cfRule>
    <cfRule type="expression" dxfId="12875" priority="754" stopIfTrue="1">
      <formula>AR95=CléCongés</formula>
    </cfRule>
  </conditionalFormatting>
  <conditionalFormatting sqref="AQ111">
    <cfRule type="expression" priority="699" stopIfTrue="1">
      <formula>AQ111=""</formula>
    </cfRule>
    <cfRule type="expression" dxfId="12874" priority="700" stopIfTrue="1">
      <formula>AQ111=CléPersonnalisée2</formula>
    </cfRule>
    <cfRule type="expression" dxfId="12873" priority="701" stopIfTrue="1">
      <formula>AQ111=CléPersonnalisée1</formula>
    </cfRule>
    <cfRule type="expression" dxfId="12872" priority="702" stopIfTrue="1">
      <formula>AQ111=CléMaladie</formula>
    </cfRule>
    <cfRule type="expression" dxfId="12871" priority="703" stopIfTrue="1">
      <formula>AQ111=CléPersonnelle</formula>
    </cfRule>
    <cfRule type="expression" dxfId="12870" priority="704" stopIfTrue="1">
      <formula>AQ111=CléCongés</formula>
    </cfRule>
  </conditionalFormatting>
  <conditionalFormatting sqref="C109:AG111">
    <cfRule type="expression" priority="736" stopIfTrue="1">
      <formula>C109=""</formula>
    </cfRule>
    <cfRule type="expression" dxfId="12869" priority="737" stopIfTrue="1">
      <formula>C109=CléPersonnalisée2</formula>
    </cfRule>
    <cfRule type="expression" dxfId="12868" priority="738" stopIfTrue="1">
      <formula>C109=CléPersonnalisée1</formula>
    </cfRule>
    <cfRule type="expression" dxfId="12867" priority="739" stopIfTrue="1">
      <formula>C109=CléMaladie</formula>
    </cfRule>
    <cfRule type="expression" dxfId="12866" priority="740" stopIfTrue="1">
      <formula>C109=CléPersonnelle</formula>
    </cfRule>
    <cfRule type="expression" dxfId="12865" priority="741" stopIfTrue="1">
      <formula>C109=CléCongés</formula>
    </cfRule>
  </conditionalFormatting>
  <conditionalFormatting sqref="AH111">
    <cfRule type="dataBar" priority="742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{F0AD6BE4-51CA-4820-B7AA-919D92D26A25}</x14:id>
        </ext>
      </extLst>
    </cfRule>
  </conditionalFormatting>
  <conditionalFormatting sqref="AM109:AP110">
    <cfRule type="expression" priority="730" stopIfTrue="1">
      <formula>AM109=""</formula>
    </cfRule>
    <cfRule type="expression" dxfId="12864" priority="731" stopIfTrue="1">
      <formula>AM109=CléPersonnalisée2</formula>
    </cfRule>
    <cfRule type="expression" dxfId="12863" priority="732" stopIfTrue="1">
      <formula>AM109=CléPersonnalisée1</formula>
    </cfRule>
    <cfRule type="expression" dxfId="12862" priority="733" stopIfTrue="1">
      <formula>AM109=CléMaladie</formula>
    </cfRule>
    <cfRule type="expression" dxfId="12861" priority="734" stopIfTrue="1">
      <formula>AM109=CléPersonnelle</formula>
    </cfRule>
    <cfRule type="expression" dxfId="12860" priority="735" stopIfTrue="1">
      <formula>AM109=CléCongés</formula>
    </cfRule>
  </conditionalFormatting>
  <conditionalFormatting sqref="AQ109:AR110">
    <cfRule type="expression" priority="724" stopIfTrue="1">
      <formula>AQ109=""</formula>
    </cfRule>
    <cfRule type="expression" dxfId="12859" priority="725" stopIfTrue="1">
      <formula>AQ109=CléPersonnalisée2</formula>
    </cfRule>
    <cfRule type="expression" dxfId="12858" priority="726" stopIfTrue="1">
      <formula>AQ109=CléPersonnalisée1</formula>
    </cfRule>
    <cfRule type="expression" dxfId="12857" priority="727" stopIfTrue="1">
      <formula>AQ109=CléMaladie</formula>
    </cfRule>
    <cfRule type="expression" dxfId="12856" priority="728" stopIfTrue="1">
      <formula>AQ109=CléPersonnelle</formula>
    </cfRule>
    <cfRule type="expression" dxfId="12855" priority="729" stopIfTrue="1">
      <formula>AQ109=CléCongés</formula>
    </cfRule>
  </conditionalFormatting>
  <conditionalFormatting sqref="AM111 AP111">
    <cfRule type="expression" priority="718" stopIfTrue="1">
      <formula>AM111=""</formula>
    </cfRule>
    <cfRule type="expression" dxfId="12854" priority="719" stopIfTrue="1">
      <formula>AM111=CléPersonnalisée2</formula>
    </cfRule>
    <cfRule type="expression" dxfId="12853" priority="720" stopIfTrue="1">
      <formula>AM111=CléPersonnalisée1</formula>
    </cfRule>
    <cfRule type="expression" dxfId="12852" priority="721" stopIfTrue="1">
      <formula>AM111=CléMaladie</formula>
    </cfRule>
    <cfRule type="expression" dxfId="12851" priority="722" stopIfTrue="1">
      <formula>AM111=CléPersonnelle</formula>
    </cfRule>
    <cfRule type="expression" dxfId="12850" priority="723" stopIfTrue="1">
      <formula>AM111=CléCongés</formula>
    </cfRule>
  </conditionalFormatting>
  <conditionalFormatting sqref="AH109:AH110">
    <cfRule type="dataBar" priority="717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{56C1E395-5E1C-40F6-ABD7-D9723A87139A}</x14:id>
        </ext>
      </extLst>
    </cfRule>
  </conditionalFormatting>
  <conditionalFormatting sqref="AN111">
    <cfRule type="expression" priority="711" stopIfTrue="1">
      <formula>AN111=""</formula>
    </cfRule>
    <cfRule type="expression" dxfId="12849" priority="712" stopIfTrue="1">
      <formula>AN111=CléPersonnalisée2</formula>
    </cfRule>
    <cfRule type="expression" dxfId="12848" priority="713" stopIfTrue="1">
      <formula>AN111=CléPersonnalisée1</formula>
    </cfRule>
    <cfRule type="expression" dxfId="12847" priority="714" stopIfTrue="1">
      <formula>AN111=CléMaladie</formula>
    </cfRule>
    <cfRule type="expression" dxfId="12846" priority="715" stopIfTrue="1">
      <formula>AN111=CléPersonnelle</formula>
    </cfRule>
    <cfRule type="expression" dxfId="12845" priority="716" stopIfTrue="1">
      <formula>AN111=CléCongés</formula>
    </cfRule>
  </conditionalFormatting>
  <conditionalFormatting sqref="AR111">
    <cfRule type="expression" priority="705" stopIfTrue="1">
      <formula>AR111=""</formula>
    </cfRule>
    <cfRule type="expression" dxfId="12844" priority="706" stopIfTrue="1">
      <formula>AR111=CléPersonnalisée2</formula>
    </cfRule>
    <cfRule type="expression" dxfId="12843" priority="707" stopIfTrue="1">
      <formula>AR111=CléPersonnalisée1</formula>
    </cfRule>
    <cfRule type="expression" dxfId="12842" priority="708" stopIfTrue="1">
      <formula>AR111=CléMaladie</formula>
    </cfRule>
    <cfRule type="expression" dxfId="12841" priority="709" stopIfTrue="1">
      <formula>AR111=CléPersonnelle</formula>
    </cfRule>
    <cfRule type="expression" dxfId="12840" priority="710" stopIfTrue="1">
      <formula>AR111=CléCongés</formula>
    </cfRule>
  </conditionalFormatting>
  <conditionalFormatting sqref="C121:AG123">
    <cfRule type="expression" priority="692" stopIfTrue="1">
      <formula>C121=""</formula>
    </cfRule>
    <cfRule type="expression" dxfId="12839" priority="693" stopIfTrue="1">
      <formula>C121=CléPersonnalisée2</formula>
    </cfRule>
    <cfRule type="expression" dxfId="12838" priority="694" stopIfTrue="1">
      <formula>C121=CléPersonnalisée1</formula>
    </cfRule>
    <cfRule type="expression" dxfId="12837" priority="695" stopIfTrue="1">
      <formula>C121=CléMaladie</formula>
    </cfRule>
    <cfRule type="expression" dxfId="12836" priority="696" stopIfTrue="1">
      <formula>C121=CléPersonnelle</formula>
    </cfRule>
    <cfRule type="expression" dxfId="12835" priority="697" stopIfTrue="1">
      <formula>C121=CléCongés</formula>
    </cfRule>
  </conditionalFormatting>
  <conditionalFormatting sqref="AH123">
    <cfRule type="dataBar" priority="698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{D708F690-9092-421D-932C-9C51145366D7}</x14:id>
        </ext>
      </extLst>
    </cfRule>
  </conditionalFormatting>
  <conditionalFormatting sqref="AM121:AP122">
    <cfRule type="expression" priority="686" stopIfTrue="1">
      <formula>AM121=""</formula>
    </cfRule>
    <cfRule type="expression" dxfId="12834" priority="687" stopIfTrue="1">
      <formula>AM121=CléPersonnalisée2</formula>
    </cfRule>
    <cfRule type="expression" dxfId="12833" priority="688" stopIfTrue="1">
      <formula>AM121=CléPersonnalisée1</formula>
    </cfRule>
    <cfRule type="expression" dxfId="12832" priority="689" stopIfTrue="1">
      <formula>AM121=CléMaladie</formula>
    </cfRule>
    <cfRule type="expression" dxfId="12831" priority="690" stopIfTrue="1">
      <formula>AM121=CléPersonnelle</formula>
    </cfRule>
    <cfRule type="expression" dxfId="12830" priority="691" stopIfTrue="1">
      <formula>AM121=CléCongés</formula>
    </cfRule>
  </conditionalFormatting>
  <conditionalFormatting sqref="AQ121:AR122">
    <cfRule type="expression" priority="680" stopIfTrue="1">
      <formula>AQ121=""</formula>
    </cfRule>
    <cfRule type="expression" dxfId="12829" priority="681" stopIfTrue="1">
      <formula>AQ121=CléPersonnalisée2</formula>
    </cfRule>
    <cfRule type="expression" dxfId="12828" priority="682" stopIfTrue="1">
      <formula>AQ121=CléPersonnalisée1</formula>
    </cfRule>
    <cfRule type="expression" dxfId="12827" priority="683" stopIfTrue="1">
      <formula>AQ121=CléMaladie</formula>
    </cfRule>
    <cfRule type="expression" dxfId="12826" priority="684" stopIfTrue="1">
      <formula>AQ121=CléPersonnelle</formula>
    </cfRule>
    <cfRule type="expression" dxfId="12825" priority="685" stopIfTrue="1">
      <formula>AQ121=CléCongés</formula>
    </cfRule>
  </conditionalFormatting>
  <conditionalFormatting sqref="AM123 AP123">
    <cfRule type="expression" priority="674" stopIfTrue="1">
      <formula>AM123=""</formula>
    </cfRule>
    <cfRule type="expression" dxfId="12824" priority="675" stopIfTrue="1">
      <formula>AM123=CléPersonnalisée2</formula>
    </cfRule>
    <cfRule type="expression" dxfId="12823" priority="676" stopIfTrue="1">
      <formula>AM123=CléPersonnalisée1</formula>
    </cfRule>
    <cfRule type="expression" dxfId="12822" priority="677" stopIfTrue="1">
      <formula>AM123=CléMaladie</formula>
    </cfRule>
    <cfRule type="expression" dxfId="12821" priority="678" stopIfTrue="1">
      <formula>AM123=CléPersonnelle</formula>
    </cfRule>
    <cfRule type="expression" dxfId="12820" priority="679" stopIfTrue="1">
      <formula>AM123=CléCongés</formula>
    </cfRule>
  </conditionalFormatting>
  <conditionalFormatting sqref="AH121:AH122">
    <cfRule type="dataBar" priority="673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{83814BE3-0A6C-43F8-A112-CEC55231EF4C}</x14:id>
        </ext>
      </extLst>
    </cfRule>
  </conditionalFormatting>
  <conditionalFormatting sqref="AN123">
    <cfRule type="expression" priority="667" stopIfTrue="1">
      <formula>AN123=""</formula>
    </cfRule>
    <cfRule type="expression" dxfId="12819" priority="668" stopIfTrue="1">
      <formula>AN123=CléPersonnalisée2</formula>
    </cfRule>
    <cfRule type="expression" dxfId="12818" priority="669" stopIfTrue="1">
      <formula>AN123=CléPersonnalisée1</formula>
    </cfRule>
    <cfRule type="expression" dxfId="12817" priority="670" stopIfTrue="1">
      <formula>AN123=CléMaladie</formula>
    </cfRule>
    <cfRule type="expression" dxfId="12816" priority="671" stopIfTrue="1">
      <formula>AN123=CléPersonnelle</formula>
    </cfRule>
    <cfRule type="expression" dxfId="12815" priority="672" stopIfTrue="1">
      <formula>AN123=CléCongés</formula>
    </cfRule>
  </conditionalFormatting>
  <conditionalFormatting sqref="AR123">
    <cfRule type="expression" priority="661" stopIfTrue="1">
      <formula>AR123=""</formula>
    </cfRule>
    <cfRule type="expression" dxfId="12814" priority="662" stopIfTrue="1">
      <formula>AR123=CléPersonnalisée2</formula>
    </cfRule>
    <cfRule type="expression" dxfId="12813" priority="663" stopIfTrue="1">
      <formula>AR123=CléPersonnalisée1</formula>
    </cfRule>
    <cfRule type="expression" dxfId="12812" priority="664" stopIfTrue="1">
      <formula>AR123=CléMaladie</formula>
    </cfRule>
    <cfRule type="expression" dxfId="12811" priority="665" stopIfTrue="1">
      <formula>AR123=CléPersonnelle</formula>
    </cfRule>
    <cfRule type="expression" dxfId="12810" priority="666" stopIfTrue="1">
      <formula>AR123=CléCongés</formula>
    </cfRule>
  </conditionalFormatting>
  <conditionalFormatting sqref="AQ115">
    <cfRule type="expression" priority="611" stopIfTrue="1">
      <formula>AQ115=""</formula>
    </cfRule>
    <cfRule type="expression" dxfId="12809" priority="612" stopIfTrue="1">
      <formula>AQ115=CléPersonnalisée2</formula>
    </cfRule>
    <cfRule type="expression" dxfId="12808" priority="613" stopIfTrue="1">
      <formula>AQ115=CléPersonnalisée1</formula>
    </cfRule>
    <cfRule type="expression" dxfId="12807" priority="614" stopIfTrue="1">
      <formula>AQ115=CléMaladie</formula>
    </cfRule>
    <cfRule type="expression" dxfId="12806" priority="615" stopIfTrue="1">
      <formula>AQ115=CléPersonnelle</formula>
    </cfRule>
    <cfRule type="expression" dxfId="12805" priority="616" stopIfTrue="1">
      <formula>AQ115=CléCongés</formula>
    </cfRule>
  </conditionalFormatting>
  <conditionalFormatting sqref="C113:AG115">
    <cfRule type="expression" priority="648" stopIfTrue="1">
      <formula>C113=""</formula>
    </cfRule>
    <cfRule type="expression" dxfId="12804" priority="649" stopIfTrue="1">
      <formula>C113=CléPersonnalisée2</formula>
    </cfRule>
    <cfRule type="expression" dxfId="12803" priority="650" stopIfTrue="1">
      <formula>C113=CléPersonnalisée1</formula>
    </cfRule>
    <cfRule type="expression" dxfId="12802" priority="651" stopIfTrue="1">
      <formula>C113=CléMaladie</formula>
    </cfRule>
    <cfRule type="expression" dxfId="12801" priority="652" stopIfTrue="1">
      <formula>C113=CléPersonnelle</formula>
    </cfRule>
    <cfRule type="expression" dxfId="12800" priority="653" stopIfTrue="1">
      <formula>C113=CléCongés</formula>
    </cfRule>
  </conditionalFormatting>
  <conditionalFormatting sqref="AH115">
    <cfRule type="dataBar" priority="654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{9676934E-20CC-4C9B-8A9E-7CF9CBBAF7B4}</x14:id>
        </ext>
      </extLst>
    </cfRule>
  </conditionalFormatting>
  <conditionalFormatting sqref="AM113:AP114">
    <cfRule type="expression" priority="642" stopIfTrue="1">
      <formula>AM113=""</formula>
    </cfRule>
    <cfRule type="expression" dxfId="12799" priority="643" stopIfTrue="1">
      <formula>AM113=CléPersonnalisée2</formula>
    </cfRule>
    <cfRule type="expression" dxfId="12798" priority="644" stopIfTrue="1">
      <formula>AM113=CléPersonnalisée1</formula>
    </cfRule>
    <cfRule type="expression" dxfId="12797" priority="645" stopIfTrue="1">
      <formula>AM113=CléMaladie</formula>
    </cfRule>
    <cfRule type="expression" dxfId="12796" priority="646" stopIfTrue="1">
      <formula>AM113=CléPersonnelle</formula>
    </cfRule>
    <cfRule type="expression" dxfId="12795" priority="647" stopIfTrue="1">
      <formula>AM113=CléCongés</formula>
    </cfRule>
  </conditionalFormatting>
  <conditionalFormatting sqref="AQ113:AR114">
    <cfRule type="expression" priority="636" stopIfTrue="1">
      <formula>AQ113=""</formula>
    </cfRule>
    <cfRule type="expression" dxfId="12794" priority="637" stopIfTrue="1">
      <formula>AQ113=CléPersonnalisée2</formula>
    </cfRule>
    <cfRule type="expression" dxfId="12793" priority="638" stopIfTrue="1">
      <formula>AQ113=CléPersonnalisée1</formula>
    </cfRule>
    <cfRule type="expression" dxfId="12792" priority="639" stopIfTrue="1">
      <formula>AQ113=CléMaladie</formula>
    </cfRule>
    <cfRule type="expression" dxfId="12791" priority="640" stopIfTrue="1">
      <formula>AQ113=CléPersonnelle</formula>
    </cfRule>
    <cfRule type="expression" dxfId="12790" priority="641" stopIfTrue="1">
      <formula>AQ113=CléCongés</formula>
    </cfRule>
  </conditionalFormatting>
  <conditionalFormatting sqref="AM115 AP115">
    <cfRule type="expression" priority="630" stopIfTrue="1">
      <formula>AM115=""</formula>
    </cfRule>
    <cfRule type="expression" dxfId="12789" priority="631" stopIfTrue="1">
      <formula>AM115=CléPersonnalisée2</formula>
    </cfRule>
    <cfRule type="expression" dxfId="12788" priority="632" stopIfTrue="1">
      <formula>AM115=CléPersonnalisée1</formula>
    </cfRule>
    <cfRule type="expression" dxfId="12787" priority="633" stopIfTrue="1">
      <formula>AM115=CléMaladie</formula>
    </cfRule>
    <cfRule type="expression" dxfId="12786" priority="634" stopIfTrue="1">
      <formula>AM115=CléPersonnelle</formula>
    </cfRule>
    <cfRule type="expression" dxfId="12785" priority="635" stopIfTrue="1">
      <formula>AM115=CléCongés</formula>
    </cfRule>
  </conditionalFormatting>
  <conditionalFormatting sqref="AH113:AH114">
    <cfRule type="dataBar" priority="629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{6CF58D20-4D3C-4041-AC9D-92EC0993C266}</x14:id>
        </ext>
      </extLst>
    </cfRule>
  </conditionalFormatting>
  <conditionalFormatting sqref="AN115">
    <cfRule type="expression" priority="623" stopIfTrue="1">
      <formula>AN115=""</formula>
    </cfRule>
    <cfRule type="expression" dxfId="12784" priority="624" stopIfTrue="1">
      <formula>AN115=CléPersonnalisée2</formula>
    </cfRule>
    <cfRule type="expression" dxfId="12783" priority="625" stopIfTrue="1">
      <formula>AN115=CléPersonnalisée1</formula>
    </cfRule>
    <cfRule type="expression" dxfId="12782" priority="626" stopIfTrue="1">
      <formula>AN115=CléMaladie</formula>
    </cfRule>
    <cfRule type="expression" dxfId="12781" priority="627" stopIfTrue="1">
      <formula>AN115=CléPersonnelle</formula>
    </cfRule>
    <cfRule type="expression" dxfId="12780" priority="628" stopIfTrue="1">
      <formula>AN115=CléCongés</formula>
    </cfRule>
  </conditionalFormatting>
  <conditionalFormatting sqref="AR115">
    <cfRule type="expression" priority="617" stopIfTrue="1">
      <formula>AR115=""</formula>
    </cfRule>
    <cfRule type="expression" dxfId="12779" priority="618" stopIfTrue="1">
      <formula>AR115=CléPersonnalisée2</formula>
    </cfRule>
    <cfRule type="expression" dxfId="12778" priority="619" stopIfTrue="1">
      <formula>AR115=CléPersonnalisée1</formula>
    </cfRule>
    <cfRule type="expression" dxfId="12777" priority="620" stopIfTrue="1">
      <formula>AR115=CléMaladie</formula>
    </cfRule>
    <cfRule type="expression" dxfId="12776" priority="621" stopIfTrue="1">
      <formula>AR115=CléPersonnelle</formula>
    </cfRule>
    <cfRule type="expression" dxfId="12775" priority="622" stopIfTrue="1">
      <formula>AR115=CléCongés</formula>
    </cfRule>
  </conditionalFormatting>
  <conditionalFormatting sqref="AQ15">
    <cfRule type="expression" priority="567" stopIfTrue="1">
      <formula>AQ15=""</formula>
    </cfRule>
    <cfRule type="expression" dxfId="12774" priority="568" stopIfTrue="1">
      <formula>AQ15=CléPersonnalisée2</formula>
    </cfRule>
    <cfRule type="expression" dxfId="12773" priority="569" stopIfTrue="1">
      <formula>AQ15=CléPersonnalisée1</formula>
    </cfRule>
    <cfRule type="expression" dxfId="12772" priority="570" stopIfTrue="1">
      <formula>AQ15=CléMaladie</formula>
    </cfRule>
    <cfRule type="expression" dxfId="12771" priority="571" stopIfTrue="1">
      <formula>AQ15=CléPersonnelle</formula>
    </cfRule>
    <cfRule type="expression" dxfId="12770" priority="572" stopIfTrue="1">
      <formula>AQ15=CléCongés</formula>
    </cfRule>
  </conditionalFormatting>
  <conditionalFormatting sqref="C13:AG15">
    <cfRule type="expression" priority="604" stopIfTrue="1">
      <formula>C13=""</formula>
    </cfRule>
    <cfRule type="expression" dxfId="12769" priority="605" stopIfTrue="1">
      <formula>C13=CléPersonnalisée2</formula>
    </cfRule>
    <cfRule type="expression" dxfId="12768" priority="606" stopIfTrue="1">
      <formula>C13=CléPersonnalisée1</formula>
    </cfRule>
    <cfRule type="expression" dxfId="12767" priority="607" stopIfTrue="1">
      <formula>C13=CléMaladie</formula>
    </cfRule>
    <cfRule type="expression" dxfId="12766" priority="608" stopIfTrue="1">
      <formula>C13=CléPersonnelle</formula>
    </cfRule>
    <cfRule type="expression" dxfId="12765" priority="609" stopIfTrue="1">
      <formula>C13=CléCongés</formula>
    </cfRule>
  </conditionalFormatting>
  <conditionalFormatting sqref="AH15">
    <cfRule type="dataBar" priority="610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{5B8C453B-708B-4E6A-8F74-C7656C67AF7C}</x14:id>
        </ext>
      </extLst>
    </cfRule>
  </conditionalFormatting>
  <conditionalFormatting sqref="AM13:AP14">
    <cfRule type="expression" priority="598" stopIfTrue="1">
      <formula>AM13=""</formula>
    </cfRule>
    <cfRule type="expression" dxfId="12764" priority="599" stopIfTrue="1">
      <formula>AM13=CléPersonnalisée2</formula>
    </cfRule>
    <cfRule type="expression" dxfId="12763" priority="600" stopIfTrue="1">
      <formula>AM13=CléPersonnalisée1</formula>
    </cfRule>
    <cfRule type="expression" dxfId="12762" priority="601" stopIfTrue="1">
      <formula>AM13=CléMaladie</formula>
    </cfRule>
    <cfRule type="expression" dxfId="12761" priority="602" stopIfTrue="1">
      <formula>AM13=CléPersonnelle</formula>
    </cfRule>
    <cfRule type="expression" dxfId="12760" priority="603" stopIfTrue="1">
      <formula>AM13=CléCongés</formula>
    </cfRule>
  </conditionalFormatting>
  <conditionalFormatting sqref="AQ13:AR14">
    <cfRule type="expression" priority="592" stopIfTrue="1">
      <formula>AQ13=""</formula>
    </cfRule>
    <cfRule type="expression" dxfId="12759" priority="593" stopIfTrue="1">
      <formula>AQ13=CléPersonnalisée2</formula>
    </cfRule>
    <cfRule type="expression" dxfId="12758" priority="594" stopIfTrue="1">
      <formula>AQ13=CléPersonnalisée1</formula>
    </cfRule>
    <cfRule type="expression" dxfId="12757" priority="595" stopIfTrue="1">
      <formula>AQ13=CléMaladie</formula>
    </cfRule>
    <cfRule type="expression" dxfId="12756" priority="596" stopIfTrue="1">
      <formula>AQ13=CléPersonnelle</formula>
    </cfRule>
    <cfRule type="expression" dxfId="12755" priority="597" stopIfTrue="1">
      <formula>AQ13=CléCongés</formula>
    </cfRule>
  </conditionalFormatting>
  <conditionalFormatting sqref="AM15 AP15">
    <cfRule type="expression" priority="586" stopIfTrue="1">
      <formula>AM15=""</formula>
    </cfRule>
    <cfRule type="expression" dxfId="12754" priority="587" stopIfTrue="1">
      <formula>AM15=CléPersonnalisée2</formula>
    </cfRule>
    <cfRule type="expression" dxfId="12753" priority="588" stopIfTrue="1">
      <formula>AM15=CléPersonnalisée1</formula>
    </cfRule>
    <cfRule type="expression" dxfId="12752" priority="589" stopIfTrue="1">
      <formula>AM15=CléMaladie</formula>
    </cfRule>
    <cfRule type="expression" dxfId="12751" priority="590" stopIfTrue="1">
      <formula>AM15=CléPersonnelle</formula>
    </cfRule>
    <cfRule type="expression" dxfId="12750" priority="591" stopIfTrue="1">
      <formula>AM15=CléCongés</formula>
    </cfRule>
  </conditionalFormatting>
  <conditionalFormatting sqref="AH13:AH14">
    <cfRule type="dataBar" priority="585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{860BF07B-83D7-41D8-8476-001BE81D5071}</x14:id>
        </ext>
      </extLst>
    </cfRule>
  </conditionalFormatting>
  <conditionalFormatting sqref="AN15">
    <cfRule type="expression" priority="579" stopIfTrue="1">
      <formula>AN15=""</formula>
    </cfRule>
    <cfRule type="expression" dxfId="12749" priority="580" stopIfTrue="1">
      <formula>AN15=CléPersonnalisée2</formula>
    </cfRule>
    <cfRule type="expression" dxfId="12748" priority="581" stopIfTrue="1">
      <formula>AN15=CléPersonnalisée1</formula>
    </cfRule>
    <cfRule type="expression" dxfId="12747" priority="582" stopIfTrue="1">
      <formula>AN15=CléMaladie</formula>
    </cfRule>
    <cfRule type="expression" dxfId="12746" priority="583" stopIfTrue="1">
      <formula>AN15=CléPersonnelle</formula>
    </cfRule>
    <cfRule type="expression" dxfId="12745" priority="584" stopIfTrue="1">
      <formula>AN15=CléCongés</formula>
    </cfRule>
  </conditionalFormatting>
  <conditionalFormatting sqref="AR15">
    <cfRule type="expression" priority="573" stopIfTrue="1">
      <formula>AR15=""</formula>
    </cfRule>
    <cfRule type="expression" dxfId="12744" priority="574" stopIfTrue="1">
      <formula>AR15=CléPersonnalisée2</formula>
    </cfRule>
    <cfRule type="expression" dxfId="12743" priority="575" stopIfTrue="1">
      <formula>AR15=CléPersonnalisée1</formula>
    </cfRule>
    <cfRule type="expression" dxfId="12742" priority="576" stopIfTrue="1">
      <formula>AR15=CléMaladie</formula>
    </cfRule>
    <cfRule type="expression" dxfId="12741" priority="577" stopIfTrue="1">
      <formula>AR15=CléPersonnelle</formula>
    </cfRule>
    <cfRule type="expression" dxfId="12740" priority="578" stopIfTrue="1">
      <formula>AR15=CléCongés</formula>
    </cfRule>
  </conditionalFormatting>
  <conditionalFormatting sqref="AI13:AL15">
    <cfRule type="expression" priority="561" stopIfTrue="1">
      <formula>AI13=""</formula>
    </cfRule>
    <cfRule type="expression" dxfId="12739" priority="562" stopIfTrue="1">
      <formula>AI13=CléPersonnalisée2</formula>
    </cfRule>
    <cfRule type="expression" dxfId="12738" priority="563" stopIfTrue="1">
      <formula>AI13=CléPersonnalisée1</formula>
    </cfRule>
    <cfRule type="expression" dxfId="12737" priority="564" stopIfTrue="1">
      <formula>AI13=CléMaladie</formula>
    </cfRule>
    <cfRule type="expression" dxfId="12736" priority="565" stopIfTrue="1">
      <formula>AI13=CléPersonnelle</formula>
    </cfRule>
    <cfRule type="expression" dxfId="12735" priority="566" stopIfTrue="1">
      <formula>AI13=CléCongés</formula>
    </cfRule>
  </conditionalFormatting>
  <conditionalFormatting sqref="AI17:AL19">
    <cfRule type="expression" priority="555" stopIfTrue="1">
      <formula>AI17=""</formula>
    </cfRule>
    <cfRule type="expression" dxfId="12734" priority="556" stopIfTrue="1">
      <formula>AI17=CléPersonnalisée2</formula>
    </cfRule>
    <cfRule type="expression" dxfId="12733" priority="557" stopIfTrue="1">
      <formula>AI17=CléPersonnalisée1</formula>
    </cfRule>
    <cfRule type="expression" dxfId="12732" priority="558" stopIfTrue="1">
      <formula>AI17=CléMaladie</formula>
    </cfRule>
    <cfRule type="expression" dxfId="12731" priority="559" stopIfTrue="1">
      <formula>AI17=CléPersonnelle</formula>
    </cfRule>
    <cfRule type="expression" dxfId="12730" priority="560" stopIfTrue="1">
      <formula>AI17=CléCongés</formula>
    </cfRule>
  </conditionalFormatting>
  <conditionalFormatting sqref="AI21:AL23">
    <cfRule type="expression" priority="549" stopIfTrue="1">
      <formula>AI21=""</formula>
    </cfRule>
    <cfRule type="expression" dxfId="12729" priority="550" stopIfTrue="1">
      <formula>AI21=CléPersonnalisée2</formula>
    </cfRule>
    <cfRule type="expression" dxfId="12728" priority="551" stopIfTrue="1">
      <formula>AI21=CléPersonnalisée1</formula>
    </cfRule>
    <cfRule type="expression" dxfId="12727" priority="552" stopIfTrue="1">
      <formula>AI21=CléMaladie</formula>
    </cfRule>
    <cfRule type="expression" dxfId="12726" priority="553" stopIfTrue="1">
      <formula>AI21=CléPersonnelle</formula>
    </cfRule>
    <cfRule type="expression" dxfId="12725" priority="554" stopIfTrue="1">
      <formula>AI21=CléCongés</formula>
    </cfRule>
  </conditionalFormatting>
  <conditionalFormatting sqref="AI25:AL27">
    <cfRule type="expression" priority="543" stopIfTrue="1">
      <formula>AI25=""</formula>
    </cfRule>
    <cfRule type="expression" dxfId="12724" priority="544" stopIfTrue="1">
      <formula>AI25=CléPersonnalisée2</formula>
    </cfRule>
    <cfRule type="expression" dxfId="12723" priority="545" stopIfTrue="1">
      <formula>AI25=CléPersonnalisée1</formula>
    </cfRule>
    <cfRule type="expression" dxfId="12722" priority="546" stopIfTrue="1">
      <formula>AI25=CléMaladie</formula>
    </cfRule>
    <cfRule type="expression" dxfId="12721" priority="547" stopIfTrue="1">
      <formula>AI25=CléPersonnelle</formula>
    </cfRule>
    <cfRule type="expression" dxfId="12720" priority="548" stopIfTrue="1">
      <formula>AI25=CléCongés</formula>
    </cfRule>
  </conditionalFormatting>
  <conditionalFormatting sqref="AI29:AL31">
    <cfRule type="expression" priority="537" stopIfTrue="1">
      <formula>AI29=""</formula>
    </cfRule>
    <cfRule type="expression" dxfId="12719" priority="538" stopIfTrue="1">
      <formula>AI29=CléPersonnalisée2</formula>
    </cfRule>
    <cfRule type="expression" dxfId="12718" priority="539" stopIfTrue="1">
      <formula>AI29=CléPersonnalisée1</formula>
    </cfRule>
    <cfRule type="expression" dxfId="12717" priority="540" stopIfTrue="1">
      <formula>AI29=CléMaladie</formula>
    </cfRule>
    <cfRule type="expression" dxfId="12716" priority="541" stopIfTrue="1">
      <formula>AI29=CléPersonnelle</formula>
    </cfRule>
    <cfRule type="expression" dxfId="12715" priority="542" stopIfTrue="1">
      <formula>AI29=CléCongés</formula>
    </cfRule>
  </conditionalFormatting>
  <conditionalFormatting sqref="AI33:AL35">
    <cfRule type="expression" priority="531" stopIfTrue="1">
      <formula>AI33=""</formula>
    </cfRule>
    <cfRule type="expression" dxfId="12714" priority="532" stopIfTrue="1">
      <formula>AI33=CléPersonnalisée2</formula>
    </cfRule>
    <cfRule type="expression" dxfId="12713" priority="533" stopIfTrue="1">
      <formula>AI33=CléPersonnalisée1</formula>
    </cfRule>
    <cfRule type="expression" dxfId="12712" priority="534" stopIfTrue="1">
      <formula>AI33=CléMaladie</formula>
    </cfRule>
    <cfRule type="expression" dxfId="12711" priority="535" stopIfTrue="1">
      <formula>AI33=CléPersonnelle</formula>
    </cfRule>
    <cfRule type="expression" dxfId="12710" priority="536" stopIfTrue="1">
      <formula>AI33=CléCongés</formula>
    </cfRule>
  </conditionalFormatting>
  <conditionalFormatting sqref="AI37:AL39">
    <cfRule type="expression" priority="525" stopIfTrue="1">
      <formula>AI37=""</formula>
    </cfRule>
    <cfRule type="expression" dxfId="12709" priority="526" stopIfTrue="1">
      <formula>AI37=CléPersonnalisée2</formula>
    </cfRule>
    <cfRule type="expression" dxfId="12708" priority="527" stopIfTrue="1">
      <formula>AI37=CléPersonnalisée1</formula>
    </cfRule>
    <cfRule type="expression" dxfId="12707" priority="528" stopIfTrue="1">
      <formula>AI37=CléMaladie</formula>
    </cfRule>
    <cfRule type="expression" dxfId="12706" priority="529" stopIfTrue="1">
      <formula>AI37=CléPersonnelle</formula>
    </cfRule>
    <cfRule type="expression" dxfId="12705" priority="530" stopIfTrue="1">
      <formula>AI37=CléCongés</formula>
    </cfRule>
  </conditionalFormatting>
  <conditionalFormatting sqref="AI41:AL43">
    <cfRule type="expression" priority="519" stopIfTrue="1">
      <formula>AI41=""</formula>
    </cfRule>
    <cfRule type="expression" dxfId="12704" priority="520" stopIfTrue="1">
      <formula>AI41=CléPersonnalisée2</formula>
    </cfRule>
    <cfRule type="expression" dxfId="12703" priority="521" stopIfTrue="1">
      <formula>AI41=CléPersonnalisée1</formula>
    </cfRule>
    <cfRule type="expression" dxfId="12702" priority="522" stopIfTrue="1">
      <formula>AI41=CléMaladie</formula>
    </cfRule>
    <cfRule type="expression" dxfId="12701" priority="523" stopIfTrue="1">
      <formula>AI41=CléPersonnelle</formula>
    </cfRule>
    <cfRule type="expression" dxfId="12700" priority="524" stopIfTrue="1">
      <formula>AI41=CléCongés</formula>
    </cfRule>
  </conditionalFormatting>
  <conditionalFormatting sqref="AI45:AL47">
    <cfRule type="expression" priority="513" stopIfTrue="1">
      <formula>AI45=""</formula>
    </cfRule>
    <cfRule type="expression" dxfId="12699" priority="514" stopIfTrue="1">
      <formula>AI45=CléPersonnalisée2</formula>
    </cfRule>
    <cfRule type="expression" dxfId="12698" priority="515" stopIfTrue="1">
      <formula>AI45=CléPersonnalisée1</formula>
    </cfRule>
    <cfRule type="expression" dxfId="12697" priority="516" stopIfTrue="1">
      <formula>AI45=CléMaladie</formula>
    </cfRule>
    <cfRule type="expression" dxfId="12696" priority="517" stopIfTrue="1">
      <formula>AI45=CléPersonnelle</formula>
    </cfRule>
    <cfRule type="expression" dxfId="12695" priority="518" stopIfTrue="1">
      <formula>AI45=CléCongés</formula>
    </cfRule>
  </conditionalFormatting>
  <conditionalFormatting sqref="AI49:AL51">
    <cfRule type="expression" priority="507" stopIfTrue="1">
      <formula>AI49=""</formula>
    </cfRule>
    <cfRule type="expression" dxfId="12694" priority="508" stopIfTrue="1">
      <formula>AI49=CléPersonnalisée2</formula>
    </cfRule>
    <cfRule type="expression" dxfId="12693" priority="509" stopIfTrue="1">
      <formula>AI49=CléPersonnalisée1</formula>
    </cfRule>
    <cfRule type="expression" dxfId="12692" priority="510" stopIfTrue="1">
      <formula>AI49=CléMaladie</formula>
    </cfRule>
    <cfRule type="expression" dxfId="12691" priority="511" stopIfTrue="1">
      <formula>AI49=CléPersonnelle</formula>
    </cfRule>
    <cfRule type="expression" dxfId="12690" priority="512" stopIfTrue="1">
      <formula>AI49=CléCongés</formula>
    </cfRule>
  </conditionalFormatting>
  <conditionalFormatting sqref="AI53:AL55">
    <cfRule type="expression" priority="501" stopIfTrue="1">
      <formula>AI53=""</formula>
    </cfRule>
    <cfRule type="expression" dxfId="12689" priority="502" stopIfTrue="1">
      <formula>AI53=CléPersonnalisée2</formula>
    </cfRule>
    <cfRule type="expression" dxfId="12688" priority="503" stopIfTrue="1">
      <formula>AI53=CléPersonnalisée1</formula>
    </cfRule>
    <cfRule type="expression" dxfId="12687" priority="504" stopIfTrue="1">
      <formula>AI53=CléMaladie</formula>
    </cfRule>
    <cfRule type="expression" dxfId="12686" priority="505" stopIfTrue="1">
      <formula>AI53=CléPersonnelle</formula>
    </cfRule>
    <cfRule type="expression" dxfId="12685" priority="506" stopIfTrue="1">
      <formula>AI53=CléCongés</formula>
    </cfRule>
  </conditionalFormatting>
  <conditionalFormatting sqref="AI61:AL63">
    <cfRule type="expression" priority="495" stopIfTrue="1">
      <formula>AI61=""</formula>
    </cfRule>
    <cfRule type="expression" dxfId="12684" priority="496" stopIfTrue="1">
      <formula>AI61=CléPersonnalisée2</formula>
    </cfRule>
    <cfRule type="expression" dxfId="12683" priority="497" stopIfTrue="1">
      <formula>AI61=CléPersonnalisée1</formula>
    </cfRule>
    <cfRule type="expression" dxfId="12682" priority="498" stopIfTrue="1">
      <formula>AI61=CléMaladie</formula>
    </cfRule>
    <cfRule type="expression" dxfId="12681" priority="499" stopIfTrue="1">
      <formula>AI61=CléPersonnelle</formula>
    </cfRule>
    <cfRule type="expression" dxfId="12680" priority="500" stopIfTrue="1">
      <formula>AI61=CléCongés</formula>
    </cfRule>
  </conditionalFormatting>
  <conditionalFormatting sqref="AI65:AL67">
    <cfRule type="expression" priority="489" stopIfTrue="1">
      <formula>AI65=""</formula>
    </cfRule>
    <cfRule type="expression" dxfId="12679" priority="490" stopIfTrue="1">
      <formula>AI65=CléPersonnalisée2</formula>
    </cfRule>
    <cfRule type="expression" dxfId="12678" priority="491" stopIfTrue="1">
      <formula>AI65=CléPersonnalisée1</formula>
    </cfRule>
    <cfRule type="expression" dxfId="12677" priority="492" stopIfTrue="1">
      <formula>AI65=CléMaladie</formula>
    </cfRule>
    <cfRule type="expression" dxfId="12676" priority="493" stopIfTrue="1">
      <formula>AI65=CléPersonnelle</formula>
    </cfRule>
    <cfRule type="expression" dxfId="12675" priority="494" stopIfTrue="1">
      <formula>AI65=CléCongés</formula>
    </cfRule>
  </conditionalFormatting>
  <conditionalFormatting sqref="AI69:AL71">
    <cfRule type="expression" priority="483" stopIfTrue="1">
      <formula>AI69=""</formula>
    </cfRule>
    <cfRule type="expression" dxfId="12674" priority="484" stopIfTrue="1">
      <formula>AI69=CléPersonnalisée2</formula>
    </cfRule>
    <cfRule type="expression" dxfId="12673" priority="485" stopIfTrue="1">
      <formula>AI69=CléPersonnalisée1</formula>
    </cfRule>
    <cfRule type="expression" dxfId="12672" priority="486" stopIfTrue="1">
      <formula>AI69=CléMaladie</formula>
    </cfRule>
    <cfRule type="expression" dxfId="12671" priority="487" stopIfTrue="1">
      <formula>AI69=CléPersonnelle</formula>
    </cfRule>
    <cfRule type="expression" dxfId="12670" priority="488" stopIfTrue="1">
      <formula>AI69=CléCongés</formula>
    </cfRule>
  </conditionalFormatting>
  <conditionalFormatting sqref="AI73:AL75">
    <cfRule type="expression" priority="477" stopIfTrue="1">
      <formula>AI73=""</formula>
    </cfRule>
    <cfRule type="expression" dxfId="12669" priority="478" stopIfTrue="1">
      <formula>AI73=CléPersonnalisée2</formula>
    </cfRule>
    <cfRule type="expression" dxfId="12668" priority="479" stopIfTrue="1">
      <formula>AI73=CléPersonnalisée1</formula>
    </cfRule>
    <cfRule type="expression" dxfId="12667" priority="480" stopIfTrue="1">
      <formula>AI73=CléMaladie</formula>
    </cfRule>
    <cfRule type="expression" dxfId="12666" priority="481" stopIfTrue="1">
      <formula>AI73=CléPersonnelle</formula>
    </cfRule>
    <cfRule type="expression" dxfId="12665" priority="482" stopIfTrue="1">
      <formula>AI73=CléCongés</formula>
    </cfRule>
  </conditionalFormatting>
  <conditionalFormatting sqref="AI81:AL83">
    <cfRule type="expression" priority="471" stopIfTrue="1">
      <formula>AI81=""</formula>
    </cfRule>
    <cfRule type="expression" dxfId="12664" priority="472" stopIfTrue="1">
      <formula>AI81=CléPersonnalisée2</formula>
    </cfRule>
    <cfRule type="expression" dxfId="12663" priority="473" stopIfTrue="1">
      <formula>AI81=CléPersonnalisée1</formula>
    </cfRule>
    <cfRule type="expression" dxfId="12662" priority="474" stopIfTrue="1">
      <formula>AI81=CléMaladie</formula>
    </cfRule>
    <cfRule type="expression" dxfId="12661" priority="475" stopIfTrue="1">
      <formula>AI81=CléPersonnelle</formula>
    </cfRule>
    <cfRule type="expression" dxfId="12660" priority="476" stopIfTrue="1">
      <formula>AI81=CléCongés</formula>
    </cfRule>
  </conditionalFormatting>
  <conditionalFormatting sqref="AI85:AL87">
    <cfRule type="expression" priority="465" stopIfTrue="1">
      <formula>AI85=""</formula>
    </cfRule>
    <cfRule type="expression" dxfId="12659" priority="466" stopIfTrue="1">
      <formula>AI85=CléPersonnalisée2</formula>
    </cfRule>
    <cfRule type="expression" dxfId="12658" priority="467" stopIfTrue="1">
      <formula>AI85=CléPersonnalisée1</formula>
    </cfRule>
    <cfRule type="expression" dxfId="12657" priority="468" stopIfTrue="1">
      <formula>AI85=CléMaladie</formula>
    </cfRule>
    <cfRule type="expression" dxfId="12656" priority="469" stopIfTrue="1">
      <formula>AI85=CléPersonnelle</formula>
    </cfRule>
    <cfRule type="expression" dxfId="12655" priority="470" stopIfTrue="1">
      <formula>AI85=CléCongés</formula>
    </cfRule>
  </conditionalFormatting>
  <conditionalFormatting sqref="AI89:AL91">
    <cfRule type="expression" priority="459" stopIfTrue="1">
      <formula>AI89=""</formula>
    </cfRule>
    <cfRule type="expression" dxfId="12654" priority="460" stopIfTrue="1">
      <formula>AI89=CléPersonnalisée2</formula>
    </cfRule>
    <cfRule type="expression" dxfId="12653" priority="461" stopIfTrue="1">
      <formula>AI89=CléPersonnalisée1</formula>
    </cfRule>
    <cfRule type="expression" dxfId="12652" priority="462" stopIfTrue="1">
      <formula>AI89=CléMaladie</formula>
    </cfRule>
    <cfRule type="expression" dxfId="12651" priority="463" stopIfTrue="1">
      <formula>AI89=CléPersonnelle</formula>
    </cfRule>
    <cfRule type="expression" dxfId="12650" priority="464" stopIfTrue="1">
      <formula>AI89=CléCongés</formula>
    </cfRule>
  </conditionalFormatting>
  <conditionalFormatting sqref="AI93:AL95 AI101:AL103 AI97:AL99">
    <cfRule type="expression" priority="453" stopIfTrue="1">
      <formula>AI93=""</formula>
    </cfRule>
    <cfRule type="expression" dxfId="12649" priority="454" stopIfTrue="1">
      <formula>AI93=CléPersonnalisée2</formula>
    </cfRule>
    <cfRule type="expression" dxfId="12648" priority="455" stopIfTrue="1">
      <formula>AI93=CléPersonnalisée1</formula>
    </cfRule>
    <cfRule type="expression" dxfId="12647" priority="456" stopIfTrue="1">
      <formula>AI93=CléMaladie</formula>
    </cfRule>
    <cfRule type="expression" dxfId="12646" priority="457" stopIfTrue="1">
      <formula>AI93=CléPersonnelle</formula>
    </cfRule>
    <cfRule type="expression" dxfId="12645" priority="458" stopIfTrue="1">
      <formula>AI93=CléCongés</formula>
    </cfRule>
  </conditionalFormatting>
  <conditionalFormatting sqref="AI109:AL111">
    <cfRule type="expression" priority="447" stopIfTrue="1">
      <formula>AI109=""</formula>
    </cfRule>
    <cfRule type="expression" dxfId="12644" priority="448" stopIfTrue="1">
      <formula>AI109=CléPersonnalisée2</formula>
    </cfRule>
    <cfRule type="expression" dxfId="12643" priority="449" stopIfTrue="1">
      <formula>AI109=CléPersonnalisée1</formula>
    </cfRule>
    <cfRule type="expression" dxfId="12642" priority="450" stopIfTrue="1">
      <formula>AI109=CléMaladie</formula>
    </cfRule>
    <cfRule type="expression" dxfId="12641" priority="451" stopIfTrue="1">
      <formula>AI109=CléPersonnelle</formula>
    </cfRule>
    <cfRule type="expression" dxfId="12640" priority="452" stopIfTrue="1">
      <formula>AI109=CléCongés</formula>
    </cfRule>
  </conditionalFormatting>
  <conditionalFormatting sqref="AI113:AL115">
    <cfRule type="expression" priority="441" stopIfTrue="1">
      <formula>AI113=""</formula>
    </cfRule>
    <cfRule type="expression" dxfId="12639" priority="442" stopIfTrue="1">
      <formula>AI113=CléPersonnalisée2</formula>
    </cfRule>
    <cfRule type="expression" dxfId="12638" priority="443" stopIfTrue="1">
      <formula>AI113=CléPersonnalisée1</formula>
    </cfRule>
    <cfRule type="expression" dxfId="12637" priority="444" stopIfTrue="1">
      <formula>AI113=CléMaladie</formula>
    </cfRule>
    <cfRule type="expression" dxfId="12636" priority="445" stopIfTrue="1">
      <formula>AI113=CléPersonnelle</formula>
    </cfRule>
    <cfRule type="expression" dxfId="12635" priority="446" stopIfTrue="1">
      <formula>AI113=CléCongés</formula>
    </cfRule>
  </conditionalFormatting>
  <conditionalFormatting sqref="AI121:AL123">
    <cfRule type="expression" priority="435" stopIfTrue="1">
      <formula>AI121=""</formula>
    </cfRule>
    <cfRule type="expression" dxfId="12634" priority="436" stopIfTrue="1">
      <formula>AI121=CléPersonnalisée2</formula>
    </cfRule>
    <cfRule type="expression" dxfId="12633" priority="437" stopIfTrue="1">
      <formula>AI121=CléPersonnalisée1</formula>
    </cfRule>
    <cfRule type="expression" dxfId="12632" priority="438" stopIfTrue="1">
      <formula>AI121=CléMaladie</formula>
    </cfRule>
    <cfRule type="expression" dxfId="12631" priority="439" stopIfTrue="1">
      <formula>AI121=CléPersonnelle</formula>
    </cfRule>
    <cfRule type="expression" dxfId="12630" priority="440" stopIfTrue="1">
      <formula>AI121=CléCongés</formula>
    </cfRule>
  </conditionalFormatting>
  <conditionalFormatting sqref="AO11">
    <cfRule type="expression" priority="429" stopIfTrue="1">
      <formula>AO11=""</formula>
    </cfRule>
    <cfRule type="expression" dxfId="12629" priority="430" stopIfTrue="1">
      <formula>AO11=CléPersonnalisée2</formula>
    </cfRule>
    <cfRule type="expression" dxfId="12628" priority="431" stopIfTrue="1">
      <formula>AO11=CléPersonnalisée1</formula>
    </cfRule>
    <cfRule type="expression" dxfId="12627" priority="432" stopIfTrue="1">
      <formula>AO11=CléMaladie</formula>
    </cfRule>
    <cfRule type="expression" dxfId="12626" priority="433" stopIfTrue="1">
      <formula>AO11=CléPersonnelle</formula>
    </cfRule>
    <cfRule type="expression" dxfId="12625" priority="434" stopIfTrue="1">
      <formula>AO11=CléCongés</formula>
    </cfRule>
  </conditionalFormatting>
  <conditionalFormatting sqref="AO15">
    <cfRule type="expression" priority="423" stopIfTrue="1">
      <formula>AO15=""</formula>
    </cfRule>
    <cfRule type="expression" dxfId="12624" priority="424" stopIfTrue="1">
      <formula>AO15=CléPersonnalisée2</formula>
    </cfRule>
    <cfRule type="expression" dxfId="12623" priority="425" stopIfTrue="1">
      <formula>AO15=CléPersonnalisée1</formula>
    </cfRule>
    <cfRule type="expression" dxfId="12622" priority="426" stopIfTrue="1">
      <formula>AO15=CléMaladie</formula>
    </cfRule>
    <cfRule type="expression" dxfId="12621" priority="427" stopIfTrue="1">
      <formula>AO15=CléPersonnelle</formula>
    </cfRule>
    <cfRule type="expression" dxfId="12620" priority="428" stopIfTrue="1">
      <formula>AO15=CléCongés</formula>
    </cfRule>
  </conditionalFormatting>
  <conditionalFormatting sqref="AO19">
    <cfRule type="expression" priority="417" stopIfTrue="1">
      <formula>AO19=""</formula>
    </cfRule>
    <cfRule type="expression" dxfId="12619" priority="418" stopIfTrue="1">
      <formula>AO19=CléPersonnalisée2</formula>
    </cfRule>
    <cfRule type="expression" dxfId="12618" priority="419" stopIfTrue="1">
      <formula>AO19=CléPersonnalisée1</formula>
    </cfRule>
    <cfRule type="expression" dxfId="12617" priority="420" stopIfTrue="1">
      <formula>AO19=CléMaladie</formula>
    </cfRule>
    <cfRule type="expression" dxfId="12616" priority="421" stopIfTrue="1">
      <formula>AO19=CléPersonnelle</formula>
    </cfRule>
    <cfRule type="expression" dxfId="12615" priority="422" stopIfTrue="1">
      <formula>AO19=CléCongés</formula>
    </cfRule>
  </conditionalFormatting>
  <conditionalFormatting sqref="AO23">
    <cfRule type="expression" priority="411" stopIfTrue="1">
      <formula>AO23=""</formula>
    </cfRule>
    <cfRule type="expression" dxfId="12614" priority="412" stopIfTrue="1">
      <formula>AO23=CléPersonnalisée2</formula>
    </cfRule>
    <cfRule type="expression" dxfId="12613" priority="413" stopIfTrue="1">
      <formula>AO23=CléPersonnalisée1</formula>
    </cfRule>
    <cfRule type="expression" dxfId="12612" priority="414" stopIfTrue="1">
      <formula>AO23=CléMaladie</formula>
    </cfRule>
    <cfRule type="expression" dxfId="12611" priority="415" stopIfTrue="1">
      <formula>AO23=CléPersonnelle</formula>
    </cfRule>
    <cfRule type="expression" dxfId="12610" priority="416" stopIfTrue="1">
      <formula>AO23=CléCongés</formula>
    </cfRule>
  </conditionalFormatting>
  <conditionalFormatting sqref="AO27">
    <cfRule type="expression" priority="405" stopIfTrue="1">
      <formula>AO27=""</formula>
    </cfRule>
    <cfRule type="expression" dxfId="12609" priority="406" stopIfTrue="1">
      <formula>AO27=CléPersonnalisée2</formula>
    </cfRule>
    <cfRule type="expression" dxfId="12608" priority="407" stopIfTrue="1">
      <formula>AO27=CléPersonnalisée1</formula>
    </cfRule>
    <cfRule type="expression" dxfId="12607" priority="408" stopIfTrue="1">
      <formula>AO27=CléMaladie</formula>
    </cfRule>
    <cfRule type="expression" dxfId="12606" priority="409" stopIfTrue="1">
      <formula>AO27=CléPersonnelle</formula>
    </cfRule>
    <cfRule type="expression" dxfId="12605" priority="410" stopIfTrue="1">
      <formula>AO27=CléCongés</formula>
    </cfRule>
  </conditionalFormatting>
  <conditionalFormatting sqref="AO31">
    <cfRule type="expression" priority="399" stopIfTrue="1">
      <formula>AO31=""</formula>
    </cfRule>
    <cfRule type="expression" dxfId="12604" priority="400" stopIfTrue="1">
      <formula>AO31=CléPersonnalisée2</formula>
    </cfRule>
    <cfRule type="expression" dxfId="12603" priority="401" stopIfTrue="1">
      <formula>AO31=CléPersonnalisée1</formula>
    </cfRule>
    <cfRule type="expression" dxfId="12602" priority="402" stopIfTrue="1">
      <formula>AO31=CléMaladie</formula>
    </cfRule>
    <cfRule type="expression" dxfId="12601" priority="403" stopIfTrue="1">
      <formula>AO31=CléPersonnelle</formula>
    </cfRule>
    <cfRule type="expression" dxfId="12600" priority="404" stopIfTrue="1">
      <formula>AO31=CléCongés</formula>
    </cfRule>
  </conditionalFormatting>
  <conditionalFormatting sqref="AO35">
    <cfRule type="expression" priority="393" stopIfTrue="1">
      <formula>AO35=""</formula>
    </cfRule>
    <cfRule type="expression" dxfId="12599" priority="394" stopIfTrue="1">
      <formula>AO35=CléPersonnalisée2</formula>
    </cfRule>
    <cfRule type="expression" dxfId="12598" priority="395" stopIfTrue="1">
      <formula>AO35=CléPersonnalisée1</formula>
    </cfRule>
    <cfRule type="expression" dxfId="12597" priority="396" stopIfTrue="1">
      <formula>AO35=CléMaladie</formula>
    </cfRule>
    <cfRule type="expression" dxfId="12596" priority="397" stopIfTrue="1">
      <formula>AO35=CléPersonnelle</formula>
    </cfRule>
    <cfRule type="expression" dxfId="12595" priority="398" stopIfTrue="1">
      <formula>AO35=CléCongés</formula>
    </cfRule>
  </conditionalFormatting>
  <conditionalFormatting sqref="AO39">
    <cfRule type="expression" priority="387" stopIfTrue="1">
      <formula>AO39=""</formula>
    </cfRule>
    <cfRule type="expression" dxfId="12594" priority="388" stopIfTrue="1">
      <formula>AO39=CléPersonnalisée2</formula>
    </cfRule>
    <cfRule type="expression" dxfId="12593" priority="389" stopIfTrue="1">
      <formula>AO39=CléPersonnalisée1</formula>
    </cfRule>
    <cfRule type="expression" dxfId="12592" priority="390" stopIfTrue="1">
      <formula>AO39=CléMaladie</formula>
    </cfRule>
    <cfRule type="expression" dxfId="12591" priority="391" stopIfTrue="1">
      <formula>AO39=CléPersonnelle</formula>
    </cfRule>
    <cfRule type="expression" dxfId="12590" priority="392" stopIfTrue="1">
      <formula>AO39=CléCongés</formula>
    </cfRule>
  </conditionalFormatting>
  <conditionalFormatting sqref="AO43">
    <cfRule type="expression" priority="381" stopIfTrue="1">
      <formula>AO43=""</formula>
    </cfRule>
    <cfRule type="expression" dxfId="12589" priority="382" stopIfTrue="1">
      <formula>AO43=CléPersonnalisée2</formula>
    </cfRule>
    <cfRule type="expression" dxfId="12588" priority="383" stopIfTrue="1">
      <formula>AO43=CléPersonnalisée1</formula>
    </cfRule>
    <cfRule type="expression" dxfId="12587" priority="384" stopIfTrue="1">
      <formula>AO43=CléMaladie</formula>
    </cfRule>
    <cfRule type="expression" dxfId="12586" priority="385" stopIfTrue="1">
      <formula>AO43=CléPersonnelle</formula>
    </cfRule>
    <cfRule type="expression" dxfId="12585" priority="386" stopIfTrue="1">
      <formula>AO43=CléCongés</formula>
    </cfRule>
  </conditionalFormatting>
  <conditionalFormatting sqref="AO47">
    <cfRule type="expression" priority="375" stopIfTrue="1">
      <formula>AO47=""</formula>
    </cfRule>
    <cfRule type="expression" dxfId="12584" priority="376" stopIfTrue="1">
      <formula>AO47=CléPersonnalisée2</formula>
    </cfRule>
    <cfRule type="expression" dxfId="12583" priority="377" stopIfTrue="1">
      <formula>AO47=CléPersonnalisée1</formula>
    </cfRule>
    <cfRule type="expression" dxfId="12582" priority="378" stopIfTrue="1">
      <formula>AO47=CléMaladie</formula>
    </cfRule>
    <cfRule type="expression" dxfId="12581" priority="379" stopIfTrue="1">
      <formula>AO47=CléPersonnelle</formula>
    </cfRule>
    <cfRule type="expression" dxfId="12580" priority="380" stopIfTrue="1">
      <formula>AO47=CléCongés</formula>
    </cfRule>
  </conditionalFormatting>
  <conditionalFormatting sqref="AO51">
    <cfRule type="expression" priority="369" stopIfTrue="1">
      <formula>AO51=""</formula>
    </cfRule>
    <cfRule type="expression" dxfId="12579" priority="370" stopIfTrue="1">
      <formula>AO51=CléPersonnalisée2</formula>
    </cfRule>
    <cfRule type="expression" dxfId="12578" priority="371" stopIfTrue="1">
      <formula>AO51=CléPersonnalisée1</formula>
    </cfRule>
    <cfRule type="expression" dxfId="12577" priority="372" stopIfTrue="1">
      <formula>AO51=CléMaladie</formula>
    </cfRule>
    <cfRule type="expression" dxfId="12576" priority="373" stopIfTrue="1">
      <formula>AO51=CléPersonnelle</formula>
    </cfRule>
    <cfRule type="expression" dxfId="12575" priority="374" stopIfTrue="1">
      <formula>AO51=CléCongés</formula>
    </cfRule>
  </conditionalFormatting>
  <conditionalFormatting sqref="AO55">
    <cfRule type="expression" priority="363" stopIfTrue="1">
      <formula>AO55=""</formula>
    </cfRule>
    <cfRule type="expression" dxfId="12574" priority="364" stopIfTrue="1">
      <formula>AO55=CléPersonnalisée2</formula>
    </cfRule>
    <cfRule type="expression" dxfId="12573" priority="365" stopIfTrue="1">
      <formula>AO55=CléPersonnalisée1</formula>
    </cfRule>
    <cfRule type="expression" dxfId="12572" priority="366" stopIfTrue="1">
      <formula>AO55=CléMaladie</formula>
    </cfRule>
    <cfRule type="expression" dxfId="12571" priority="367" stopIfTrue="1">
      <formula>AO55=CléPersonnelle</formula>
    </cfRule>
    <cfRule type="expression" dxfId="12570" priority="368" stopIfTrue="1">
      <formula>AO55=CléCongés</formula>
    </cfRule>
  </conditionalFormatting>
  <conditionalFormatting sqref="AO63">
    <cfRule type="expression" priority="357" stopIfTrue="1">
      <formula>AO63=""</formula>
    </cfRule>
    <cfRule type="expression" dxfId="12569" priority="358" stopIfTrue="1">
      <formula>AO63=CléPersonnalisée2</formula>
    </cfRule>
    <cfRule type="expression" dxfId="12568" priority="359" stopIfTrue="1">
      <formula>AO63=CléPersonnalisée1</formula>
    </cfRule>
    <cfRule type="expression" dxfId="12567" priority="360" stopIfTrue="1">
      <formula>AO63=CléMaladie</formula>
    </cfRule>
    <cfRule type="expression" dxfId="12566" priority="361" stopIfTrue="1">
      <formula>AO63=CléPersonnelle</formula>
    </cfRule>
    <cfRule type="expression" dxfId="12565" priority="362" stopIfTrue="1">
      <formula>AO63=CléCongés</formula>
    </cfRule>
  </conditionalFormatting>
  <conditionalFormatting sqref="AO67">
    <cfRule type="expression" priority="351" stopIfTrue="1">
      <formula>AO67=""</formula>
    </cfRule>
    <cfRule type="expression" dxfId="12564" priority="352" stopIfTrue="1">
      <formula>AO67=CléPersonnalisée2</formula>
    </cfRule>
    <cfRule type="expression" dxfId="12563" priority="353" stopIfTrue="1">
      <formula>AO67=CléPersonnalisée1</formula>
    </cfRule>
    <cfRule type="expression" dxfId="12562" priority="354" stopIfTrue="1">
      <formula>AO67=CléMaladie</formula>
    </cfRule>
    <cfRule type="expression" dxfId="12561" priority="355" stopIfTrue="1">
      <formula>AO67=CléPersonnelle</formula>
    </cfRule>
    <cfRule type="expression" dxfId="12560" priority="356" stopIfTrue="1">
      <formula>AO67=CléCongés</formula>
    </cfRule>
  </conditionalFormatting>
  <conditionalFormatting sqref="AO71">
    <cfRule type="expression" priority="345" stopIfTrue="1">
      <formula>AO71=""</formula>
    </cfRule>
    <cfRule type="expression" dxfId="12559" priority="346" stopIfTrue="1">
      <formula>AO71=CléPersonnalisée2</formula>
    </cfRule>
    <cfRule type="expression" dxfId="12558" priority="347" stopIfTrue="1">
      <formula>AO71=CléPersonnalisée1</formula>
    </cfRule>
    <cfRule type="expression" dxfId="12557" priority="348" stopIfTrue="1">
      <formula>AO71=CléMaladie</formula>
    </cfRule>
    <cfRule type="expression" dxfId="12556" priority="349" stopIfTrue="1">
      <formula>AO71=CléPersonnelle</formula>
    </cfRule>
    <cfRule type="expression" dxfId="12555" priority="350" stopIfTrue="1">
      <formula>AO71=CléCongés</formula>
    </cfRule>
  </conditionalFormatting>
  <conditionalFormatting sqref="AO83">
    <cfRule type="expression" priority="339" stopIfTrue="1">
      <formula>AO83=""</formula>
    </cfRule>
    <cfRule type="expression" dxfId="12554" priority="340" stopIfTrue="1">
      <formula>AO83=CléPersonnalisée2</formula>
    </cfRule>
    <cfRule type="expression" dxfId="12553" priority="341" stopIfTrue="1">
      <formula>AO83=CléPersonnalisée1</formula>
    </cfRule>
    <cfRule type="expression" dxfId="12552" priority="342" stopIfTrue="1">
      <formula>AO83=CléMaladie</formula>
    </cfRule>
    <cfRule type="expression" dxfId="12551" priority="343" stopIfTrue="1">
      <formula>AO83=CléPersonnelle</formula>
    </cfRule>
    <cfRule type="expression" dxfId="12550" priority="344" stopIfTrue="1">
      <formula>AO83=CléCongés</formula>
    </cfRule>
  </conditionalFormatting>
  <conditionalFormatting sqref="AO87">
    <cfRule type="expression" priority="333" stopIfTrue="1">
      <formula>AO87=""</formula>
    </cfRule>
    <cfRule type="expression" dxfId="12549" priority="334" stopIfTrue="1">
      <formula>AO87=CléPersonnalisée2</formula>
    </cfRule>
    <cfRule type="expression" dxfId="12548" priority="335" stopIfTrue="1">
      <formula>AO87=CléPersonnalisée1</formula>
    </cfRule>
    <cfRule type="expression" dxfId="12547" priority="336" stopIfTrue="1">
      <formula>AO87=CléMaladie</formula>
    </cfRule>
    <cfRule type="expression" dxfId="12546" priority="337" stopIfTrue="1">
      <formula>AO87=CléPersonnelle</formula>
    </cfRule>
    <cfRule type="expression" dxfId="12545" priority="338" stopIfTrue="1">
      <formula>AO87=CléCongés</formula>
    </cfRule>
  </conditionalFormatting>
  <conditionalFormatting sqref="AO91">
    <cfRule type="expression" priority="327" stopIfTrue="1">
      <formula>AO91=""</formula>
    </cfRule>
    <cfRule type="expression" dxfId="12544" priority="328" stopIfTrue="1">
      <formula>AO91=CléPersonnalisée2</formula>
    </cfRule>
    <cfRule type="expression" dxfId="12543" priority="329" stopIfTrue="1">
      <formula>AO91=CléPersonnalisée1</formula>
    </cfRule>
    <cfRule type="expression" dxfId="12542" priority="330" stopIfTrue="1">
      <formula>AO91=CléMaladie</formula>
    </cfRule>
    <cfRule type="expression" dxfId="12541" priority="331" stopIfTrue="1">
      <formula>AO91=CléPersonnelle</formula>
    </cfRule>
    <cfRule type="expression" dxfId="12540" priority="332" stopIfTrue="1">
      <formula>AO91=CléCongés</formula>
    </cfRule>
  </conditionalFormatting>
  <conditionalFormatting sqref="AO95 AO103 AO99">
    <cfRule type="expression" priority="321" stopIfTrue="1">
      <formula>AO95=""</formula>
    </cfRule>
    <cfRule type="expression" dxfId="12539" priority="322" stopIfTrue="1">
      <formula>AO95=CléPersonnalisée2</formula>
    </cfRule>
    <cfRule type="expression" dxfId="12538" priority="323" stopIfTrue="1">
      <formula>AO95=CléPersonnalisée1</formula>
    </cfRule>
    <cfRule type="expression" dxfId="12537" priority="324" stopIfTrue="1">
      <formula>AO95=CléMaladie</formula>
    </cfRule>
    <cfRule type="expression" dxfId="12536" priority="325" stopIfTrue="1">
      <formula>AO95=CléPersonnelle</formula>
    </cfRule>
    <cfRule type="expression" dxfId="12535" priority="326" stopIfTrue="1">
      <formula>AO95=CléCongés</formula>
    </cfRule>
  </conditionalFormatting>
  <conditionalFormatting sqref="AO111">
    <cfRule type="expression" priority="315" stopIfTrue="1">
      <formula>AO111=""</formula>
    </cfRule>
    <cfRule type="expression" dxfId="12534" priority="316" stopIfTrue="1">
      <formula>AO111=CléPersonnalisée2</formula>
    </cfRule>
    <cfRule type="expression" dxfId="12533" priority="317" stopIfTrue="1">
      <formula>AO111=CléPersonnalisée1</formula>
    </cfRule>
    <cfRule type="expression" dxfId="12532" priority="318" stopIfTrue="1">
      <formula>AO111=CléMaladie</formula>
    </cfRule>
    <cfRule type="expression" dxfId="12531" priority="319" stopIfTrue="1">
      <formula>AO111=CléPersonnelle</formula>
    </cfRule>
    <cfRule type="expression" dxfId="12530" priority="320" stopIfTrue="1">
      <formula>AO111=CléCongés</formula>
    </cfRule>
  </conditionalFormatting>
  <conditionalFormatting sqref="AO115">
    <cfRule type="expression" priority="309" stopIfTrue="1">
      <formula>AO115=""</formula>
    </cfRule>
    <cfRule type="expression" dxfId="12529" priority="310" stopIfTrue="1">
      <formula>AO115=CléPersonnalisée2</formula>
    </cfRule>
    <cfRule type="expression" dxfId="12528" priority="311" stopIfTrue="1">
      <formula>AO115=CléPersonnalisée1</formula>
    </cfRule>
    <cfRule type="expression" dxfId="12527" priority="312" stopIfTrue="1">
      <formula>AO115=CléMaladie</formula>
    </cfRule>
    <cfRule type="expression" dxfId="12526" priority="313" stopIfTrue="1">
      <formula>AO115=CléPersonnelle</formula>
    </cfRule>
    <cfRule type="expression" dxfId="12525" priority="314" stopIfTrue="1">
      <formula>AO115=CléCongés</formula>
    </cfRule>
  </conditionalFormatting>
  <conditionalFormatting sqref="AO123">
    <cfRule type="expression" priority="303" stopIfTrue="1">
      <formula>AO123=""</formula>
    </cfRule>
    <cfRule type="expression" dxfId="12524" priority="304" stopIfTrue="1">
      <formula>AO123=CléPersonnalisée2</formula>
    </cfRule>
    <cfRule type="expression" dxfId="12523" priority="305" stopIfTrue="1">
      <formula>AO123=CléPersonnalisée1</formula>
    </cfRule>
    <cfRule type="expression" dxfId="12522" priority="306" stopIfTrue="1">
      <formula>AO123=CléMaladie</formula>
    </cfRule>
    <cfRule type="expression" dxfId="12521" priority="307" stopIfTrue="1">
      <formula>AO123=CléPersonnelle</formula>
    </cfRule>
    <cfRule type="expression" dxfId="12520" priority="308" stopIfTrue="1">
      <formula>AO123=CléCongés</formula>
    </cfRule>
  </conditionalFormatting>
  <conditionalFormatting sqref="AO75">
    <cfRule type="expression" priority="297" stopIfTrue="1">
      <formula>AO75=""</formula>
    </cfRule>
    <cfRule type="expression" dxfId="12519" priority="298" stopIfTrue="1">
      <formula>AO75=CléPersonnalisée2</formula>
    </cfRule>
    <cfRule type="expression" dxfId="12518" priority="299" stopIfTrue="1">
      <formula>AO75=CléPersonnalisée1</formula>
    </cfRule>
    <cfRule type="expression" dxfId="12517" priority="300" stopIfTrue="1">
      <formula>AO75=CléMaladie</formula>
    </cfRule>
    <cfRule type="expression" dxfId="12516" priority="301" stopIfTrue="1">
      <formula>AO75=CléPersonnelle</formula>
    </cfRule>
    <cfRule type="expression" dxfId="12515" priority="302" stopIfTrue="1">
      <formula>AO75=CléCongés</formula>
    </cfRule>
  </conditionalFormatting>
  <conditionalFormatting sqref="AQ100:AR100">
    <cfRule type="expression" priority="291" stopIfTrue="1">
      <formula>AQ100=""</formula>
    </cfRule>
    <cfRule type="expression" dxfId="12514" priority="292" stopIfTrue="1">
      <formula>AQ100=CléPersonnalisée2</formula>
    </cfRule>
    <cfRule type="expression" dxfId="12513" priority="293" stopIfTrue="1">
      <formula>AQ100=CléPersonnalisée1</formula>
    </cfRule>
    <cfRule type="expression" dxfId="12512" priority="294" stopIfTrue="1">
      <formula>AQ100=CléMaladie</formula>
    </cfRule>
    <cfRule type="expression" dxfId="12511" priority="295" stopIfTrue="1">
      <formula>AQ100=CléPersonnelle</formula>
    </cfRule>
    <cfRule type="expression" dxfId="12510" priority="296" stopIfTrue="1">
      <formula>AQ100=CléCongés</formula>
    </cfRule>
  </conditionalFormatting>
  <conditionalFormatting sqref="AQ96:AR96">
    <cfRule type="expression" priority="285" stopIfTrue="1">
      <formula>AQ96=""</formula>
    </cfRule>
    <cfRule type="expression" dxfId="12509" priority="286" stopIfTrue="1">
      <formula>AQ96=CléPersonnalisée2</formula>
    </cfRule>
    <cfRule type="expression" dxfId="12508" priority="287" stopIfTrue="1">
      <formula>AQ96=CléPersonnalisée1</formula>
    </cfRule>
    <cfRule type="expression" dxfId="12507" priority="288" stopIfTrue="1">
      <formula>AQ96=CléMaladie</formula>
    </cfRule>
    <cfRule type="expression" dxfId="12506" priority="289" stopIfTrue="1">
      <formula>AQ96=CléPersonnelle</formula>
    </cfRule>
    <cfRule type="expression" dxfId="12505" priority="290" stopIfTrue="1">
      <formula>AQ96=CléCongés</formula>
    </cfRule>
  </conditionalFormatting>
  <conditionalFormatting sqref="AQ120:AR120">
    <cfRule type="expression" priority="279" stopIfTrue="1">
      <formula>AQ120=""</formula>
    </cfRule>
    <cfRule type="expression" dxfId="12504" priority="280" stopIfTrue="1">
      <formula>AQ120=CléPersonnalisée2</formula>
    </cfRule>
    <cfRule type="expression" dxfId="12503" priority="281" stopIfTrue="1">
      <formula>AQ120=CléPersonnalisée1</formula>
    </cfRule>
    <cfRule type="expression" dxfId="12502" priority="282" stopIfTrue="1">
      <formula>AQ120=CléMaladie</formula>
    </cfRule>
    <cfRule type="expression" dxfId="12501" priority="283" stopIfTrue="1">
      <formula>AQ120=CléPersonnelle</formula>
    </cfRule>
    <cfRule type="expression" dxfId="12500" priority="284" stopIfTrue="1">
      <formula>AQ120=CléCongés</formula>
    </cfRule>
  </conditionalFormatting>
  <conditionalFormatting sqref="AQ119">
    <cfRule type="expression" priority="235" stopIfTrue="1">
      <formula>AQ119=""</formula>
    </cfRule>
    <cfRule type="expression" dxfId="12499" priority="236" stopIfTrue="1">
      <formula>AQ119=CléPersonnalisée2</formula>
    </cfRule>
    <cfRule type="expression" dxfId="12498" priority="237" stopIfTrue="1">
      <formula>AQ119=CléPersonnalisée1</formula>
    </cfRule>
    <cfRule type="expression" dxfId="12497" priority="238" stopIfTrue="1">
      <formula>AQ119=CléMaladie</formula>
    </cfRule>
    <cfRule type="expression" dxfId="12496" priority="239" stopIfTrue="1">
      <formula>AQ119=CléPersonnelle</formula>
    </cfRule>
    <cfRule type="expression" dxfId="12495" priority="240" stopIfTrue="1">
      <formula>AQ119=CléCongés</formula>
    </cfRule>
  </conditionalFormatting>
  <conditionalFormatting sqref="C117:AG119">
    <cfRule type="expression" priority="272" stopIfTrue="1">
      <formula>C117=""</formula>
    </cfRule>
    <cfRule type="expression" dxfId="12494" priority="273" stopIfTrue="1">
      <formula>C117=CléPersonnalisée2</formula>
    </cfRule>
    <cfRule type="expression" dxfId="12493" priority="274" stopIfTrue="1">
      <formula>C117=CléPersonnalisée1</formula>
    </cfRule>
    <cfRule type="expression" dxfId="12492" priority="275" stopIfTrue="1">
      <formula>C117=CléMaladie</formula>
    </cfRule>
    <cfRule type="expression" dxfId="12491" priority="276" stopIfTrue="1">
      <formula>C117=CléPersonnelle</formula>
    </cfRule>
    <cfRule type="expression" dxfId="12490" priority="277" stopIfTrue="1">
      <formula>C117=CléCongés</formula>
    </cfRule>
  </conditionalFormatting>
  <conditionalFormatting sqref="AH119">
    <cfRule type="dataBar" priority="278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{763EB6E9-67DD-4B57-B99A-9334D0C8931E}</x14:id>
        </ext>
      </extLst>
    </cfRule>
  </conditionalFormatting>
  <conditionalFormatting sqref="AM117:AP118">
    <cfRule type="expression" priority="266" stopIfTrue="1">
      <formula>AM117=""</formula>
    </cfRule>
    <cfRule type="expression" dxfId="12489" priority="267" stopIfTrue="1">
      <formula>AM117=CléPersonnalisée2</formula>
    </cfRule>
    <cfRule type="expression" dxfId="12488" priority="268" stopIfTrue="1">
      <formula>AM117=CléPersonnalisée1</formula>
    </cfRule>
    <cfRule type="expression" dxfId="12487" priority="269" stopIfTrue="1">
      <formula>AM117=CléMaladie</formula>
    </cfRule>
    <cfRule type="expression" dxfId="12486" priority="270" stopIfTrue="1">
      <formula>AM117=CléPersonnelle</formula>
    </cfRule>
    <cfRule type="expression" dxfId="12485" priority="271" stopIfTrue="1">
      <formula>AM117=CléCongés</formula>
    </cfRule>
  </conditionalFormatting>
  <conditionalFormatting sqref="AQ117:AR118">
    <cfRule type="expression" priority="260" stopIfTrue="1">
      <formula>AQ117=""</formula>
    </cfRule>
    <cfRule type="expression" dxfId="12484" priority="261" stopIfTrue="1">
      <formula>AQ117=CléPersonnalisée2</formula>
    </cfRule>
    <cfRule type="expression" dxfId="12483" priority="262" stopIfTrue="1">
      <formula>AQ117=CléPersonnalisée1</formula>
    </cfRule>
    <cfRule type="expression" dxfId="12482" priority="263" stopIfTrue="1">
      <formula>AQ117=CléMaladie</formula>
    </cfRule>
    <cfRule type="expression" dxfId="12481" priority="264" stopIfTrue="1">
      <formula>AQ117=CléPersonnelle</formula>
    </cfRule>
    <cfRule type="expression" dxfId="12480" priority="265" stopIfTrue="1">
      <formula>AQ117=CléCongés</formula>
    </cfRule>
  </conditionalFormatting>
  <conditionalFormatting sqref="AM119 AP119">
    <cfRule type="expression" priority="254" stopIfTrue="1">
      <formula>AM119=""</formula>
    </cfRule>
    <cfRule type="expression" dxfId="12479" priority="255" stopIfTrue="1">
      <formula>AM119=CléPersonnalisée2</formula>
    </cfRule>
    <cfRule type="expression" dxfId="12478" priority="256" stopIfTrue="1">
      <formula>AM119=CléPersonnalisée1</formula>
    </cfRule>
    <cfRule type="expression" dxfId="12477" priority="257" stopIfTrue="1">
      <formula>AM119=CléMaladie</formula>
    </cfRule>
    <cfRule type="expression" dxfId="12476" priority="258" stopIfTrue="1">
      <formula>AM119=CléPersonnelle</formula>
    </cfRule>
    <cfRule type="expression" dxfId="12475" priority="259" stopIfTrue="1">
      <formula>AM119=CléCongés</formula>
    </cfRule>
  </conditionalFormatting>
  <conditionalFormatting sqref="AH117:AH118">
    <cfRule type="dataBar" priority="253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{AC8DD82F-3CBB-4E26-B046-D484B16D7744}</x14:id>
        </ext>
      </extLst>
    </cfRule>
  </conditionalFormatting>
  <conditionalFormatting sqref="AN119">
    <cfRule type="expression" priority="247" stopIfTrue="1">
      <formula>AN119=""</formula>
    </cfRule>
    <cfRule type="expression" dxfId="12474" priority="248" stopIfTrue="1">
      <formula>AN119=CléPersonnalisée2</formula>
    </cfRule>
    <cfRule type="expression" dxfId="12473" priority="249" stopIfTrue="1">
      <formula>AN119=CléPersonnalisée1</formula>
    </cfRule>
    <cfRule type="expression" dxfId="12472" priority="250" stopIfTrue="1">
      <formula>AN119=CléMaladie</formula>
    </cfRule>
    <cfRule type="expression" dxfId="12471" priority="251" stopIfTrue="1">
      <formula>AN119=CléPersonnelle</formula>
    </cfRule>
    <cfRule type="expression" dxfId="12470" priority="252" stopIfTrue="1">
      <formula>AN119=CléCongés</formula>
    </cfRule>
  </conditionalFormatting>
  <conditionalFormatting sqref="AR119">
    <cfRule type="expression" priority="241" stopIfTrue="1">
      <formula>AR119=""</formula>
    </cfRule>
    <cfRule type="expression" dxfId="12469" priority="242" stopIfTrue="1">
      <formula>AR119=CléPersonnalisée2</formula>
    </cfRule>
    <cfRule type="expression" dxfId="12468" priority="243" stopIfTrue="1">
      <formula>AR119=CléPersonnalisée1</formula>
    </cfRule>
    <cfRule type="expression" dxfId="12467" priority="244" stopIfTrue="1">
      <formula>AR119=CléMaladie</formula>
    </cfRule>
    <cfRule type="expression" dxfId="12466" priority="245" stopIfTrue="1">
      <formula>AR119=CléPersonnelle</formula>
    </cfRule>
    <cfRule type="expression" dxfId="12465" priority="246" stopIfTrue="1">
      <formula>AR119=CléCongés</formula>
    </cfRule>
  </conditionalFormatting>
  <conditionalFormatting sqref="AI117:AL119">
    <cfRule type="expression" priority="229" stopIfTrue="1">
      <formula>AI117=""</formula>
    </cfRule>
    <cfRule type="expression" dxfId="12464" priority="230" stopIfTrue="1">
      <formula>AI117=CléPersonnalisée2</formula>
    </cfRule>
    <cfRule type="expression" dxfId="12463" priority="231" stopIfTrue="1">
      <formula>AI117=CléPersonnalisée1</formula>
    </cfRule>
    <cfRule type="expression" dxfId="12462" priority="232" stopIfTrue="1">
      <formula>AI117=CléMaladie</formula>
    </cfRule>
    <cfRule type="expression" dxfId="12461" priority="233" stopIfTrue="1">
      <formula>AI117=CléPersonnelle</formula>
    </cfRule>
    <cfRule type="expression" dxfId="12460" priority="234" stopIfTrue="1">
      <formula>AI117=CléCongés</formula>
    </cfRule>
  </conditionalFormatting>
  <conditionalFormatting sqref="AO119">
    <cfRule type="expression" priority="223" stopIfTrue="1">
      <formula>AO119=""</formula>
    </cfRule>
    <cfRule type="expression" dxfId="12459" priority="224" stopIfTrue="1">
      <formula>AO119=CléPersonnalisée2</formula>
    </cfRule>
    <cfRule type="expression" dxfId="12458" priority="225" stopIfTrue="1">
      <formula>AO119=CléPersonnalisée1</formula>
    </cfRule>
    <cfRule type="expression" dxfId="12457" priority="226" stopIfTrue="1">
      <formula>AO119=CléMaladie</formula>
    </cfRule>
    <cfRule type="expression" dxfId="12456" priority="227" stopIfTrue="1">
      <formula>AO119=CléPersonnelle</formula>
    </cfRule>
    <cfRule type="expression" dxfId="12455" priority="228" stopIfTrue="1">
      <formula>AO119=CléCongés</formula>
    </cfRule>
  </conditionalFormatting>
  <conditionalFormatting sqref="AQ108:AR108">
    <cfRule type="expression" priority="217" stopIfTrue="1">
      <formula>AQ108=""</formula>
    </cfRule>
    <cfRule type="expression" dxfId="12454" priority="218" stopIfTrue="1">
      <formula>AQ108=CléPersonnalisée2</formula>
    </cfRule>
    <cfRule type="expression" dxfId="12453" priority="219" stopIfTrue="1">
      <formula>AQ108=CléPersonnalisée1</formula>
    </cfRule>
    <cfRule type="expression" dxfId="12452" priority="220" stopIfTrue="1">
      <formula>AQ108=CléMaladie</formula>
    </cfRule>
    <cfRule type="expression" dxfId="12451" priority="221" stopIfTrue="1">
      <formula>AQ108=CléPersonnelle</formula>
    </cfRule>
    <cfRule type="expression" dxfId="12450" priority="222" stopIfTrue="1">
      <formula>AQ108=CléCongés</formula>
    </cfRule>
  </conditionalFormatting>
  <conditionalFormatting sqref="AQ107">
    <cfRule type="expression" priority="173" stopIfTrue="1">
      <formula>AQ107=""</formula>
    </cfRule>
    <cfRule type="expression" dxfId="12449" priority="174" stopIfTrue="1">
      <formula>AQ107=CléPersonnalisée2</formula>
    </cfRule>
    <cfRule type="expression" dxfId="12448" priority="175" stopIfTrue="1">
      <formula>AQ107=CléPersonnalisée1</formula>
    </cfRule>
    <cfRule type="expression" dxfId="12447" priority="176" stopIfTrue="1">
      <formula>AQ107=CléMaladie</formula>
    </cfRule>
    <cfRule type="expression" dxfId="12446" priority="177" stopIfTrue="1">
      <formula>AQ107=CléPersonnelle</formula>
    </cfRule>
    <cfRule type="expression" dxfId="12445" priority="178" stopIfTrue="1">
      <formula>AQ107=CléCongés</formula>
    </cfRule>
  </conditionalFormatting>
  <conditionalFormatting sqref="C105:AG107">
    <cfRule type="expression" priority="210" stopIfTrue="1">
      <formula>C105=""</formula>
    </cfRule>
    <cfRule type="expression" dxfId="12444" priority="211" stopIfTrue="1">
      <formula>C105=CléPersonnalisée2</formula>
    </cfRule>
    <cfRule type="expression" dxfId="12443" priority="212" stopIfTrue="1">
      <formula>C105=CléPersonnalisée1</formula>
    </cfRule>
    <cfRule type="expression" dxfId="12442" priority="213" stopIfTrue="1">
      <formula>C105=CléMaladie</formula>
    </cfRule>
    <cfRule type="expression" dxfId="12441" priority="214" stopIfTrue="1">
      <formula>C105=CléPersonnelle</formula>
    </cfRule>
    <cfRule type="expression" dxfId="12440" priority="215" stopIfTrue="1">
      <formula>C105=CléCongés</formula>
    </cfRule>
  </conditionalFormatting>
  <conditionalFormatting sqref="AH107">
    <cfRule type="dataBar" priority="216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{95DB51BB-81AB-415B-9600-C599398566A8}</x14:id>
        </ext>
      </extLst>
    </cfRule>
  </conditionalFormatting>
  <conditionalFormatting sqref="AM105:AP106">
    <cfRule type="expression" priority="204" stopIfTrue="1">
      <formula>AM105=""</formula>
    </cfRule>
    <cfRule type="expression" dxfId="12439" priority="205" stopIfTrue="1">
      <formula>AM105=CléPersonnalisée2</formula>
    </cfRule>
    <cfRule type="expression" dxfId="12438" priority="206" stopIfTrue="1">
      <formula>AM105=CléPersonnalisée1</formula>
    </cfRule>
    <cfRule type="expression" dxfId="12437" priority="207" stopIfTrue="1">
      <formula>AM105=CléMaladie</formula>
    </cfRule>
    <cfRule type="expression" dxfId="12436" priority="208" stopIfTrue="1">
      <formula>AM105=CléPersonnelle</formula>
    </cfRule>
    <cfRule type="expression" dxfId="12435" priority="209" stopIfTrue="1">
      <formula>AM105=CléCongés</formula>
    </cfRule>
  </conditionalFormatting>
  <conditionalFormatting sqref="AQ105:AR106">
    <cfRule type="expression" priority="198" stopIfTrue="1">
      <formula>AQ105=""</formula>
    </cfRule>
    <cfRule type="expression" dxfId="12434" priority="199" stopIfTrue="1">
      <formula>AQ105=CléPersonnalisée2</formula>
    </cfRule>
    <cfRule type="expression" dxfId="12433" priority="200" stopIfTrue="1">
      <formula>AQ105=CléPersonnalisée1</formula>
    </cfRule>
    <cfRule type="expression" dxfId="12432" priority="201" stopIfTrue="1">
      <formula>AQ105=CléMaladie</formula>
    </cfRule>
    <cfRule type="expression" dxfId="12431" priority="202" stopIfTrue="1">
      <formula>AQ105=CléPersonnelle</formula>
    </cfRule>
    <cfRule type="expression" dxfId="12430" priority="203" stopIfTrue="1">
      <formula>AQ105=CléCongés</formula>
    </cfRule>
  </conditionalFormatting>
  <conditionalFormatting sqref="AM107 AP107">
    <cfRule type="expression" priority="192" stopIfTrue="1">
      <formula>AM107=""</formula>
    </cfRule>
    <cfRule type="expression" dxfId="12429" priority="193" stopIfTrue="1">
      <formula>AM107=CléPersonnalisée2</formula>
    </cfRule>
    <cfRule type="expression" dxfId="12428" priority="194" stopIfTrue="1">
      <formula>AM107=CléPersonnalisée1</formula>
    </cfRule>
    <cfRule type="expression" dxfId="12427" priority="195" stopIfTrue="1">
      <formula>AM107=CléMaladie</formula>
    </cfRule>
    <cfRule type="expression" dxfId="12426" priority="196" stopIfTrue="1">
      <formula>AM107=CléPersonnelle</formula>
    </cfRule>
    <cfRule type="expression" dxfId="12425" priority="197" stopIfTrue="1">
      <formula>AM107=CléCongés</formula>
    </cfRule>
  </conditionalFormatting>
  <conditionalFormatting sqref="AH105:AH106">
    <cfRule type="dataBar" priority="191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{365F1358-E8D1-4FD5-B044-C481821586B0}</x14:id>
        </ext>
      </extLst>
    </cfRule>
  </conditionalFormatting>
  <conditionalFormatting sqref="AN107">
    <cfRule type="expression" priority="185" stopIfTrue="1">
      <formula>AN107=""</formula>
    </cfRule>
    <cfRule type="expression" dxfId="12424" priority="186" stopIfTrue="1">
      <formula>AN107=CléPersonnalisée2</formula>
    </cfRule>
    <cfRule type="expression" dxfId="12423" priority="187" stopIfTrue="1">
      <formula>AN107=CléPersonnalisée1</formula>
    </cfRule>
    <cfRule type="expression" dxfId="12422" priority="188" stopIfTrue="1">
      <formula>AN107=CléMaladie</formula>
    </cfRule>
    <cfRule type="expression" dxfId="12421" priority="189" stopIfTrue="1">
      <formula>AN107=CléPersonnelle</formula>
    </cfRule>
    <cfRule type="expression" dxfId="12420" priority="190" stopIfTrue="1">
      <formula>AN107=CléCongés</formula>
    </cfRule>
  </conditionalFormatting>
  <conditionalFormatting sqref="AR107">
    <cfRule type="expression" priority="179" stopIfTrue="1">
      <formula>AR107=""</formula>
    </cfRule>
    <cfRule type="expression" dxfId="12419" priority="180" stopIfTrue="1">
      <formula>AR107=CléPersonnalisée2</formula>
    </cfRule>
    <cfRule type="expression" dxfId="12418" priority="181" stopIfTrue="1">
      <formula>AR107=CléPersonnalisée1</formula>
    </cfRule>
    <cfRule type="expression" dxfId="12417" priority="182" stopIfTrue="1">
      <formula>AR107=CléMaladie</formula>
    </cfRule>
    <cfRule type="expression" dxfId="12416" priority="183" stopIfTrue="1">
      <formula>AR107=CléPersonnelle</formula>
    </cfRule>
    <cfRule type="expression" dxfId="12415" priority="184" stopIfTrue="1">
      <formula>AR107=CléCongés</formula>
    </cfRule>
  </conditionalFormatting>
  <conditionalFormatting sqref="AI105:AL107">
    <cfRule type="expression" priority="167" stopIfTrue="1">
      <formula>AI105=""</formula>
    </cfRule>
    <cfRule type="expression" dxfId="12414" priority="168" stopIfTrue="1">
      <formula>AI105=CléPersonnalisée2</formula>
    </cfRule>
    <cfRule type="expression" dxfId="12413" priority="169" stopIfTrue="1">
      <formula>AI105=CléPersonnalisée1</formula>
    </cfRule>
    <cfRule type="expression" dxfId="12412" priority="170" stopIfTrue="1">
      <formula>AI105=CléMaladie</formula>
    </cfRule>
    <cfRule type="expression" dxfId="12411" priority="171" stopIfTrue="1">
      <formula>AI105=CléPersonnelle</formula>
    </cfRule>
    <cfRule type="expression" dxfId="12410" priority="172" stopIfTrue="1">
      <formula>AI105=CléCongés</formula>
    </cfRule>
  </conditionalFormatting>
  <conditionalFormatting sqref="AO107">
    <cfRule type="expression" priority="161" stopIfTrue="1">
      <formula>AO107=""</formula>
    </cfRule>
    <cfRule type="expression" dxfId="12409" priority="162" stopIfTrue="1">
      <formula>AO107=CléPersonnalisée2</formula>
    </cfRule>
    <cfRule type="expression" dxfId="12408" priority="163" stopIfTrue="1">
      <formula>AO107=CléPersonnalisée1</formula>
    </cfRule>
    <cfRule type="expression" dxfId="12407" priority="164" stopIfTrue="1">
      <formula>AO107=CléMaladie</formula>
    </cfRule>
    <cfRule type="expression" dxfId="12406" priority="165" stopIfTrue="1">
      <formula>AO107=CléPersonnelle</formula>
    </cfRule>
    <cfRule type="expression" dxfId="12405" priority="166" stopIfTrue="1">
      <formula>AO107=CléCongés</formula>
    </cfRule>
  </conditionalFormatting>
  <conditionalFormatting sqref="C57:AG59">
    <cfRule type="expression" priority="154" stopIfTrue="1">
      <formula>C57=""</formula>
    </cfRule>
    <cfRule type="expression" dxfId="12404" priority="155" stopIfTrue="1">
      <formula>C57=CléPersonnalisée2</formula>
    </cfRule>
    <cfRule type="expression" dxfId="12403" priority="156" stopIfTrue="1">
      <formula>C57=CléPersonnalisée1</formula>
    </cfRule>
    <cfRule type="expression" dxfId="12402" priority="157" stopIfTrue="1">
      <formula>C57=CléMaladie</formula>
    </cfRule>
    <cfRule type="expression" dxfId="12401" priority="158" stopIfTrue="1">
      <formula>C57=CléPersonnelle</formula>
    </cfRule>
    <cfRule type="expression" dxfId="12400" priority="159" stopIfTrue="1">
      <formula>C57=CléCongés</formula>
    </cfRule>
  </conditionalFormatting>
  <conditionalFormatting sqref="AH59">
    <cfRule type="dataBar" priority="160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{DAF1A240-65C5-42EB-AB7D-E2F37C4EC923}</x14:id>
        </ext>
      </extLst>
    </cfRule>
  </conditionalFormatting>
  <conditionalFormatting sqref="AM57:AP58">
    <cfRule type="expression" priority="148" stopIfTrue="1">
      <formula>AM57=""</formula>
    </cfRule>
    <cfRule type="expression" dxfId="12399" priority="149" stopIfTrue="1">
      <formula>AM57=CléPersonnalisée2</formula>
    </cfRule>
    <cfRule type="expression" dxfId="12398" priority="150" stopIfTrue="1">
      <formula>AM57=CléPersonnalisée1</formula>
    </cfRule>
    <cfRule type="expression" dxfId="12397" priority="151" stopIfTrue="1">
      <formula>AM57=CléMaladie</formula>
    </cfRule>
    <cfRule type="expression" dxfId="12396" priority="152" stopIfTrue="1">
      <formula>AM57=CléPersonnelle</formula>
    </cfRule>
    <cfRule type="expression" dxfId="12395" priority="153" stopIfTrue="1">
      <formula>AM57=CléCongés</formula>
    </cfRule>
  </conditionalFormatting>
  <conditionalFormatting sqref="AQ57:AR58">
    <cfRule type="expression" priority="142" stopIfTrue="1">
      <formula>AQ57=""</formula>
    </cfRule>
    <cfRule type="expression" dxfId="12394" priority="143" stopIfTrue="1">
      <formula>AQ57=CléPersonnalisée2</formula>
    </cfRule>
    <cfRule type="expression" dxfId="12393" priority="144" stopIfTrue="1">
      <formula>AQ57=CléPersonnalisée1</formula>
    </cfRule>
    <cfRule type="expression" dxfId="12392" priority="145" stopIfTrue="1">
      <formula>AQ57=CléMaladie</formula>
    </cfRule>
    <cfRule type="expression" dxfId="12391" priority="146" stopIfTrue="1">
      <formula>AQ57=CléPersonnelle</formula>
    </cfRule>
    <cfRule type="expression" dxfId="12390" priority="147" stopIfTrue="1">
      <formula>AQ57=CléCongés</formula>
    </cfRule>
  </conditionalFormatting>
  <conditionalFormatting sqref="AM59 AP59">
    <cfRule type="expression" priority="136" stopIfTrue="1">
      <formula>AM59=""</formula>
    </cfRule>
    <cfRule type="expression" dxfId="12389" priority="137" stopIfTrue="1">
      <formula>AM59=CléPersonnalisée2</formula>
    </cfRule>
    <cfRule type="expression" dxfId="12388" priority="138" stopIfTrue="1">
      <formula>AM59=CléPersonnalisée1</formula>
    </cfRule>
    <cfRule type="expression" dxfId="12387" priority="139" stopIfTrue="1">
      <formula>AM59=CléMaladie</formula>
    </cfRule>
    <cfRule type="expression" dxfId="12386" priority="140" stopIfTrue="1">
      <formula>AM59=CléPersonnelle</formula>
    </cfRule>
    <cfRule type="expression" dxfId="12385" priority="141" stopIfTrue="1">
      <formula>AM59=CléCongés</formula>
    </cfRule>
  </conditionalFormatting>
  <conditionalFormatting sqref="AH57:AH58">
    <cfRule type="dataBar" priority="135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{F88F8330-36B7-4BCB-9A02-FF4250EBDD1D}</x14:id>
        </ext>
      </extLst>
    </cfRule>
  </conditionalFormatting>
  <conditionalFormatting sqref="AN59">
    <cfRule type="expression" priority="129" stopIfTrue="1">
      <formula>AN59=""</formula>
    </cfRule>
    <cfRule type="expression" dxfId="12384" priority="130" stopIfTrue="1">
      <formula>AN59=CléPersonnalisée2</formula>
    </cfRule>
    <cfRule type="expression" dxfId="12383" priority="131" stopIfTrue="1">
      <formula>AN59=CléPersonnalisée1</formula>
    </cfRule>
    <cfRule type="expression" dxfId="12382" priority="132" stopIfTrue="1">
      <formula>AN59=CléMaladie</formula>
    </cfRule>
    <cfRule type="expression" dxfId="12381" priority="133" stopIfTrue="1">
      <formula>AN59=CléPersonnelle</formula>
    </cfRule>
    <cfRule type="expression" dxfId="12380" priority="134" stopIfTrue="1">
      <formula>AN59=CléCongés</formula>
    </cfRule>
  </conditionalFormatting>
  <conditionalFormatting sqref="AR59">
    <cfRule type="expression" priority="123" stopIfTrue="1">
      <formula>AR59=""</formula>
    </cfRule>
    <cfRule type="expression" dxfId="12379" priority="124" stopIfTrue="1">
      <formula>AR59=CléPersonnalisée2</formula>
    </cfRule>
    <cfRule type="expression" dxfId="12378" priority="125" stopIfTrue="1">
      <formula>AR59=CléPersonnalisée1</formula>
    </cfRule>
    <cfRule type="expression" dxfId="12377" priority="126" stopIfTrue="1">
      <formula>AR59=CléMaladie</formula>
    </cfRule>
    <cfRule type="expression" dxfId="12376" priority="127" stopIfTrue="1">
      <formula>AR59=CléPersonnelle</formula>
    </cfRule>
    <cfRule type="expression" dxfId="12375" priority="128" stopIfTrue="1">
      <formula>AR59=CléCongés</formula>
    </cfRule>
  </conditionalFormatting>
  <conditionalFormatting sqref="AQ59">
    <cfRule type="expression" priority="117" stopIfTrue="1">
      <formula>AQ59=""</formula>
    </cfRule>
    <cfRule type="expression" dxfId="12374" priority="118" stopIfTrue="1">
      <formula>AQ59=CléPersonnalisée2</formula>
    </cfRule>
    <cfRule type="expression" dxfId="12373" priority="119" stopIfTrue="1">
      <formula>AQ59=CléPersonnalisée1</formula>
    </cfRule>
    <cfRule type="expression" dxfId="12372" priority="120" stopIfTrue="1">
      <formula>AQ59=CléMaladie</formula>
    </cfRule>
    <cfRule type="expression" dxfId="12371" priority="121" stopIfTrue="1">
      <formula>AQ59=CléPersonnelle</formula>
    </cfRule>
    <cfRule type="expression" dxfId="12370" priority="122" stopIfTrue="1">
      <formula>AQ59=CléCongés</formula>
    </cfRule>
  </conditionalFormatting>
  <conditionalFormatting sqref="AI57:AL59">
    <cfRule type="expression" priority="111" stopIfTrue="1">
      <formula>AI57=""</formula>
    </cfRule>
    <cfRule type="expression" dxfId="12369" priority="112" stopIfTrue="1">
      <formula>AI57=CléPersonnalisée2</formula>
    </cfRule>
    <cfRule type="expression" dxfId="12368" priority="113" stopIfTrue="1">
      <formula>AI57=CléPersonnalisée1</formula>
    </cfRule>
    <cfRule type="expression" dxfId="12367" priority="114" stopIfTrue="1">
      <formula>AI57=CléMaladie</formula>
    </cfRule>
    <cfRule type="expression" dxfId="12366" priority="115" stopIfTrue="1">
      <formula>AI57=CléPersonnelle</formula>
    </cfRule>
    <cfRule type="expression" dxfId="12365" priority="116" stopIfTrue="1">
      <formula>AI57=CléCongés</formula>
    </cfRule>
  </conditionalFormatting>
  <conditionalFormatting sqref="AO59">
    <cfRule type="expression" priority="105" stopIfTrue="1">
      <formula>AO59=""</formula>
    </cfRule>
    <cfRule type="expression" dxfId="12364" priority="106" stopIfTrue="1">
      <formula>AO59=CléPersonnalisée2</formula>
    </cfRule>
    <cfRule type="expression" dxfId="12363" priority="107" stopIfTrue="1">
      <formula>AO59=CléPersonnalisée1</formula>
    </cfRule>
    <cfRule type="expression" dxfId="12362" priority="108" stopIfTrue="1">
      <formula>AO59=CléMaladie</formula>
    </cfRule>
    <cfRule type="expression" dxfId="12361" priority="109" stopIfTrue="1">
      <formula>AO59=CléPersonnelle</formula>
    </cfRule>
    <cfRule type="expression" dxfId="12360" priority="110" stopIfTrue="1">
      <formula>AO59=CléCongés</formula>
    </cfRule>
  </conditionalFormatting>
  <conditionalFormatting sqref="AQ79">
    <cfRule type="expression" priority="67" stopIfTrue="1">
      <formula>AQ79=""</formula>
    </cfRule>
    <cfRule type="expression" dxfId="12359" priority="68" stopIfTrue="1">
      <formula>AQ79=CléPersonnalisée2</formula>
    </cfRule>
    <cfRule type="expression" dxfId="12358" priority="69" stopIfTrue="1">
      <formula>AQ79=CléPersonnalisée1</formula>
    </cfRule>
    <cfRule type="expression" dxfId="12357" priority="70" stopIfTrue="1">
      <formula>AQ79=CléMaladie</formula>
    </cfRule>
    <cfRule type="expression" dxfId="12356" priority="71" stopIfTrue="1">
      <formula>AQ79=CléPersonnelle</formula>
    </cfRule>
    <cfRule type="expression" dxfId="12355" priority="72" stopIfTrue="1">
      <formula>AQ79=CléCongés</formula>
    </cfRule>
  </conditionalFormatting>
  <conditionalFormatting sqref="C77:AG79">
    <cfRule type="expression" priority="98" stopIfTrue="1">
      <formula>C77=""</formula>
    </cfRule>
    <cfRule type="expression" dxfId="12354" priority="99" stopIfTrue="1">
      <formula>C77=CléPersonnalisée2</formula>
    </cfRule>
    <cfRule type="expression" dxfId="12353" priority="100" stopIfTrue="1">
      <formula>C77=CléPersonnalisée1</formula>
    </cfRule>
    <cfRule type="expression" dxfId="12352" priority="101" stopIfTrue="1">
      <formula>C77=CléMaladie</formula>
    </cfRule>
    <cfRule type="expression" dxfId="12351" priority="102" stopIfTrue="1">
      <formula>C77=CléPersonnelle</formula>
    </cfRule>
    <cfRule type="expression" dxfId="12350" priority="103" stopIfTrue="1">
      <formula>C77=CléCongés</formula>
    </cfRule>
  </conditionalFormatting>
  <conditionalFormatting sqref="AH79">
    <cfRule type="dataBar" priority="104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{83CCDB61-9F6A-4887-83F4-126CB28AF162}</x14:id>
        </ext>
      </extLst>
    </cfRule>
  </conditionalFormatting>
  <conditionalFormatting sqref="AM77:AP78">
    <cfRule type="expression" priority="92" stopIfTrue="1">
      <formula>AM77=""</formula>
    </cfRule>
    <cfRule type="expression" dxfId="12349" priority="93" stopIfTrue="1">
      <formula>AM77=CléPersonnalisée2</formula>
    </cfRule>
    <cfRule type="expression" dxfId="12348" priority="94" stopIfTrue="1">
      <formula>AM77=CléPersonnalisée1</formula>
    </cfRule>
    <cfRule type="expression" dxfId="12347" priority="95" stopIfTrue="1">
      <formula>AM77=CléMaladie</formula>
    </cfRule>
    <cfRule type="expression" dxfId="12346" priority="96" stopIfTrue="1">
      <formula>AM77=CléPersonnelle</formula>
    </cfRule>
    <cfRule type="expression" dxfId="12345" priority="97" stopIfTrue="1">
      <formula>AM77=CléCongés</formula>
    </cfRule>
  </conditionalFormatting>
  <conditionalFormatting sqref="AQ77:AR78">
    <cfRule type="expression" priority="86" stopIfTrue="1">
      <formula>AQ77=""</formula>
    </cfRule>
    <cfRule type="expression" dxfId="12344" priority="87" stopIfTrue="1">
      <formula>AQ77=CléPersonnalisée2</formula>
    </cfRule>
    <cfRule type="expression" dxfId="12343" priority="88" stopIfTrue="1">
      <formula>AQ77=CléPersonnalisée1</formula>
    </cfRule>
    <cfRule type="expression" dxfId="12342" priority="89" stopIfTrue="1">
      <formula>AQ77=CléMaladie</formula>
    </cfRule>
    <cfRule type="expression" dxfId="12341" priority="90" stopIfTrue="1">
      <formula>AQ77=CléPersonnelle</formula>
    </cfRule>
    <cfRule type="expression" dxfId="12340" priority="91" stopIfTrue="1">
      <formula>AQ77=CléCongés</formula>
    </cfRule>
  </conditionalFormatting>
  <conditionalFormatting sqref="AM79 AP79">
    <cfRule type="expression" priority="80" stopIfTrue="1">
      <formula>AM79=""</formula>
    </cfRule>
    <cfRule type="expression" dxfId="12339" priority="81" stopIfTrue="1">
      <formula>AM79=CléPersonnalisée2</formula>
    </cfRule>
    <cfRule type="expression" dxfId="12338" priority="82" stopIfTrue="1">
      <formula>AM79=CléPersonnalisée1</formula>
    </cfRule>
    <cfRule type="expression" dxfId="12337" priority="83" stopIfTrue="1">
      <formula>AM79=CléMaladie</formula>
    </cfRule>
    <cfRule type="expression" dxfId="12336" priority="84" stopIfTrue="1">
      <formula>AM79=CléPersonnelle</formula>
    </cfRule>
    <cfRule type="expression" dxfId="12335" priority="85" stopIfTrue="1">
      <formula>AM79=CléCongés</formula>
    </cfRule>
  </conditionalFormatting>
  <conditionalFormatting sqref="AH77:AH78">
    <cfRule type="dataBar" priority="79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{2600E2BC-E532-4204-8082-92752FC434A7}</x14:id>
        </ext>
      </extLst>
    </cfRule>
  </conditionalFormatting>
  <conditionalFormatting sqref="AR79">
    <cfRule type="expression" priority="73" stopIfTrue="1">
      <formula>AR79=""</formula>
    </cfRule>
    <cfRule type="expression" dxfId="12334" priority="74" stopIfTrue="1">
      <formula>AR79=CléPersonnalisée2</formula>
    </cfRule>
    <cfRule type="expression" dxfId="12333" priority="75" stopIfTrue="1">
      <formula>AR79=CléPersonnalisée1</formula>
    </cfRule>
    <cfRule type="expression" dxfId="12332" priority="76" stopIfTrue="1">
      <formula>AR79=CléMaladie</formula>
    </cfRule>
    <cfRule type="expression" dxfId="12331" priority="77" stopIfTrue="1">
      <formula>AR79=CléPersonnelle</formula>
    </cfRule>
    <cfRule type="expression" dxfId="12330" priority="78" stopIfTrue="1">
      <formula>AR79=CléCongés</formula>
    </cfRule>
  </conditionalFormatting>
  <conditionalFormatting sqref="AN79">
    <cfRule type="expression" priority="61" stopIfTrue="1">
      <formula>AN79=""</formula>
    </cfRule>
    <cfRule type="expression" dxfId="12329" priority="62" stopIfTrue="1">
      <formula>AN79=CléPersonnalisée2</formula>
    </cfRule>
    <cfRule type="expression" dxfId="12328" priority="63" stopIfTrue="1">
      <formula>AN79=CléPersonnalisée1</formula>
    </cfRule>
    <cfRule type="expression" dxfId="12327" priority="64" stopIfTrue="1">
      <formula>AN79=CléMaladie</formula>
    </cfRule>
    <cfRule type="expression" dxfId="12326" priority="65" stopIfTrue="1">
      <formula>AN79=CléPersonnelle</formula>
    </cfRule>
    <cfRule type="expression" dxfId="12325" priority="66" stopIfTrue="1">
      <formula>AN79=CléCongés</formula>
    </cfRule>
  </conditionalFormatting>
  <conditionalFormatting sqref="AI77:AL79">
    <cfRule type="expression" priority="55" stopIfTrue="1">
      <formula>AI77=""</formula>
    </cfRule>
    <cfRule type="expression" dxfId="12324" priority="56" stopIfTrue="1">
      <formula>AI77=CléPersonnalisée2</formula>
    </cfRule>
    <cfRule type="expression" dxfId="12323" priority="57" stopIfTrue="1">
      <formula>AI77=CléPersonnalisée1</formula>
    </cfRule>
    <cfRule type="expression" dxfId="12322" priority="58" stopIfTrue="1">
      <formula>AI77=CléMaladie</formula>
    </cfRule>
    <cfRule type="expression" dxfId="12321" priority="59" stopIfTrue="1">
      <formula>AI77=CléPersonnelle</formula>
    </cfRule>
    <cfRule type="expression" dxfId="12320" priority="60" stopIfTrue="1">
      <formula>AI77=CléCongés</formula>
    </cfRule>
  </conditionalFormatting>
  <conditionalFormatting sqref="AO79">
    <cfRule type="expression" priority="49" stopIfTrue="1">
      <formula>AO79=""</formula>
    </cfRule>
    <cfRule type="expression" dxfId="12319" priority="50" stopIfTrue="1">
      <formula>AO79=CléPersonnalisée2</formula>
    </cfRule>
    <cfRule type="expression" dxfId="12318" priority="51" stopIfTrue="1">
      <formula>AO79=CléPersonnalisée1</formula>
    </cfRule>
    <cfRule type="expression" dxfId="12317" priority="52" stopIfTrue="1">
      <formula>AO79=CléMaladie</formula>
    </cfRule>
    <cfRule type="expression" dxfId="12316" priority="53" stopIfTrue="1">
      <formula>AO79=CléPersonnelle</formula>
    </cfRule>
    <cfRule type="expression" dxfId="12315" priority="54" stopIfTrue="1">
      <formula>AO79=CléCongés</formula>
    </cfRule>
  </conditionalFormatting>
  <conditionalFormatting sqref="AM95">
    <cfRule type="expression" priority="43" stopIfTrue="1">
      <formula>AM95=""</formula>
    </cfRule>
    <cfRule type="expression" dxfId="12314" priority="44" stopIfTrue="1">
      <formula>AM95=CléPersonnalisée2</formula>
    </cfRule>
    <cfRule type="expression" dxfId="12313" priority="45" stopIfTrue="1">
      <formula>AM95=CléPersonnalisée1</formula>
    </cfRule>
    <cfRule type="expression" dxfId="12312" priority="46" stopIfTrue="1">
      <formula>AM95=CléMaladie</formula>
    </cfRule>
    <cfRule type="expression" dxfId="12311" priority="47" stopIfTrue="1">
      <formula>AM95=CléPersonnelle</formula>
    </cfRule>
    <cfRule type="expression" dxfId="12310" priority="48" stopIfTrue="1">
      <formula>AM95=CléCongés</formula>
    </cfRule>
  </conditionalFormatting>
  <conditionalFormatting sqref="AM97:AP98">
    <cfRule type="expression" priority="37" stopIfTrue="1">
      <formula>AM97=""</formula>
    </cfRule>
    <cfRule type="expression" dxfId="12309" priority="38" stopIfTrue="1">
      <formula>AM97=CléPersonnalisée2</formula>
    </cfRule>
    <cfRule type="expression" dxfId="12308" priority="39" stopIfTrue="1">
      <formula>AM97=CléPersonnalisée1</formula>
    </cfRule>
    <cfRule type="expression" dxfId="12307" priority="40" stopIfTrue="1">
      <formula>AM97=CléMaladie</formula>
    </cfRule>
    <cfRule type="expression" dxfId="12306" priority="41" stopIfTrue="1">
      <formula>AM97=CléPersonnelle</formula>
    </cfRule>
    <cfRule type="expression" dxfId="12305" priority="42" stopIfTrue="1">
      <formula>AM97=CléCongés</formula>
    </cfRule>
  </conditionalFormatting>
  <conditionalFormatting sqref="AQ97:AR98">
    <cfRule type="expression" priority="31" stopIfTrue="1">
      <formula>AQ97=""</formula>
    </cfRule>
    <cfRule type="expression" dxfId="12304" priority="32" stopIfTrue="1">
      <formula>AQ97=CléPersonnalisée2</formula>
    </cfRule>
    <cfRule type="expression" dxfId="12303" priority="33" stopIfTrue="1">
      <formula>AQ97=CléPersonnalisée1</formula>
    </cfRule>
    <cfRule type="expression" dxfId="12302" priority="34" stopIfTrue="1">
      <formula>AQ97=CléMaladie</formula>
    </cfRule>
    <cfRule type="expression" dxfId="12301" priority="35" stopIfTrue="1">
      <formula>AQ97=CléPersonnelle</formula>
    </cfRule>
    <cfRule type="expression" dxfId="12300" priority="36" stopIfTrue="1">
      <formula>AQ97=CléCongés</formula>
    </cfRule>
  </conditionalFormatting>
  <conditionalFormatting sqref="AM101:AP102">
    <cfRule type="expression" priority="25" stopIfTrue="1">
      <formula>AM101=""</formula>
    </cfRule>
    <cfRule type="expression" dxfId="12299" priority="26" stopIfTrue="1">
      <formula>AM101=CléPersonnalisée2</formula>
    </cfRule>
    <cfRule type="expression" dxfId="12298" priority="27" stopIfTrue="1">
      <formula>AM101=CléPersonnalisée1</formula>
    </cfRule>
    <cfRule type="expression" dxfId="12297" priority="28" stopIfTrue="1">
      <formula>AM101=CléMaladie</formula>
    </cfRule>
    <cfRule type="expression" dxfId="12296" priority="29" stopIfTrue="1">
      <formula>AM101=CléPersonnelle</formula>
    </cfRule>
    <cfRule type="expression" dxfId="12295" priority="30" stopIfTrue="1">
      <formula>AM101=CléCongés</formula>
    </cfRule>
  </conditionalFormatting>
  <conditionalFormatting sqref="AQ101:AR102">
    <cfRule type="expression" priority="19" stopIfTrue="1">
      <formula>AQ101=""</formula>
    </cfRule>
    <cfRule type="expression" dxfId="12294" priority="20" stopIfTrue="1">
      <formula>AQ101=CléPersonnalisée2</formula>
    </cfRule>
    <cfRule type="expression" dxfId="12293" priority="21" stopIfTrue="1">
      <formula>AQ101=CléPersonnalisée1</formula>
    </cfRule>
    <cfRule type="expression" dxfId="12292" priority="22" stopIfTrue="1">
      <formula>AQ101=CléMaladie</formula>
    </cfRule>
    <cfRule type="expression" dxfId="12291" priority="23" stopIfTrue="1">
      <formula>AQ101=CléPersonnelle</formula>
    </cfRule>
    <cfRule type="expression" dxfId="12290" priority="24" stopIfTrue="1">
      <formula>AQ101=CléCongés</formula>
    </cfRule>
  </conditionalFormatting>
  <conditionalFormatting sqref="AS13 AS17 AS21 AS25 AS29 AS33 AS37 AS41 AS45 AS49 AS53 AS57 AS61 AS65 AS69 AS73 AS77 AS81 AS85 AS89 AS93 AS97 AS101 AS105 AS109 AS113 AS117 AS121">
    <cfRule type="expression" priority="13" stopIfTrue="1">
      <formula>AS13=""</formula>
    </cfRule>
    <cfRule type="expression" dxfId="39" priority="14" stopIfTrue="1">
      <formula>AS13=CléPersonnalisée2</formula>
    </cfRule>
    <cfRule type="expression" dxfId="38" priority="15" stopIfTrue="1">
      <formula>AS13=CléPersonnalisée1</formula>
    </cfRule>
    <cfRule type="expression" dxfId="37" priority="16" stopIfTrue="1">
      <formula>AS13=CléMaladie</formula>
    </cfRule>
    <cfRule type="expression" dxfId="36" priority="17" stopIfTrue="1">
      <formula>AS13=CléPersonnelle</formula>
    </cfRule>
    <cfRule type="expression" dxfId="35" priority="18" stopIfTrue="1">
      <formula>AS13=CléCongés</formula>
    </cfRule>
  </conditionalFormatting>
  <conditionalFormatting sqref="AS9">
    <cfRule type="expression" priority="7" stopIfTrue="1">
      <formula>AS9=""</formula>
    </cfRule>
    <cfRule type="expression" dxfId="34" priority="8" stopIfTrue="1">
      <formula>AS9=CléPersonnalisée2</formula>
    </cfRule>
    <cfRule type="expression" dxfId="33" priority="9" stopIfTrue="1">
      <formula>AS9=CléPersonnalisée1</formula>
    </cfRule>
    <cfRule type="expression" dxfId="32" priority="10" stopIfTrue="1">
      <formula>AS9=CléMaladie</formula>
    </cfRule>
    <cfRule type="expression" dxfId="31" priority="11" stopIfTrue="1">
      <formula>AS9=CléPersonnelle</formula>
    </cfRule>
    <cfRule type="expression" dxfId="30" priority="12" stopIfTrue="1">
      <formula>AS9=CléCongés</formula>
    </cfRule>
  </conditionalFormatting>
  <conditionalFormatting sqref="AS5">
    <cfRule type="expression" priority="1" stopIfTrue="1">
      <formula>AS5=""</formula>
    </cfRule>
    <cfRule type="expression" dxfId="29" priority="2" stopIfTrue="1">
      <formula>AS5=CléPersonnalisée2</formula>
    </cfRule>
    <cfRule type="expression" dxfId="28" priority="3" stopIfTrue="1">
      <formula>AS5=CléPersonnalisée1</formula>
    </cfRule>
    <cfRule type="expression" dxfId="27" priority="4" stopIfTrue="1">
      <formula>AS5=CléMaladie</formula>
    </cfRule>
    <cfRule type="expression" dxfId="26" priority="5" stopIfTrue="1">
      <formula>AS5=CléPersonnelle</formula>
    </cfRule>
    <cfRule type="expression" dxfId="25" priority="6" stopIfTrue="1">
      <formula>AS5=CléCongés</formula>
    </cfRule>
  </conditionalFormatting>
  <printOptions horizontalCentered="1"/>
  <pageMargins left="0.25" right="0.25" top="0.75" bottom="0.75" header="0.3" footer="0.3"/>
  <pageSetup scale="56" fitToHeight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C24C179C-EE17-4B93-8F70-DE2DDBD10524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AH5:AH6 AH9:AH11</xm:sqref>
        </x14:conditionalFormatting>
        <x14:conditionalFormatting xmlns:xm="http://schemas.microsoft.com/office/excel/2006/main">
          <x14:cfRule type="dataBar" id="{DEB09FE0-AA68-407A-AC00-1B3FBCF9AF38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AH27</xm:sqref>
        </x14:conditionalFormatting>
        <x14:conditionalFormatting xmlns:xm="http://schemas.microsoft.com/office/excel/2006/main">
          <x14:cfRule type="dataBar" id="{F75CE6B1-5844-41C9-AECB-4E70FBD5957B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AH31</xm:sqref>
        </x14:conditionalFormatting>
        <x14:conditionalFormatting xmlns:xm="http://schemas.microsoft.com/office/excel/2006/main">
          <x14:cfRule type="dataBar" id="{779A7DDA-FAF9-42DA-812E-C1EEF8633D5E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AH35</xm:sqref>
        </x14:conditionalFormatting>
        <x14:conditionalFormatting xmlns:xm="http://schemas.microsoft.com/office/excel/2006/main">
          <x14:cfRule type="dataBar" id="{376B9B82-1B0F-46AD-95E0-0193BE05B768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AH39</xm:sqref>
        </x14:conditionalFormatting>
        <x14:conditionalFormatting xmlns:xm="http://schemas.microsoft.com/office/excel/2006/main">
          <x14:cfRule type="dataBar" id="{AC675936-9A0F-434E-AC52-98BA78591D71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AH43</xm:sqref>
        </x14:conditionalFormatting>
        <x14:conditionalFormatting xmlns:xm="http://schemas.microsoft.com/office/excel/2006/main">
          <x14:cfRule type="dataBar" id="{0A3C049C-DC0B-4B3B-9B4B-3D87EE805239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AH47</xm:sqref>
        </x14:conditionalFormatting>
        <x14:conditionalFormatting xmlns:xm="http://schemas.microsoft.com/office/excel/2006/main">
          <x14:cfRule type="dataBar" id="{A50CDB04-6B5F-4F2B-86A3-F7597C5B5ED2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AH51</xm:sqref>
        </x14:conditionalFormatting>
        <x14:conditionalFormatting xmlns:xm="http://schemas.microsoft.com/office/excel/2006/main">
          <x14:cfRule type="dataBar" id="{29417FF1-DD1B-4657-B290-38945CBF2C98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AH55</xm:sqref>
        </x14:conditionalFormatting>
        <x14:conditionalFormatting xmlns:xm="http://schemas.microsoft.com/office/excel/2006/main">
          <x14:cfRule type="dataBar" id="{DD4C3CFA-3B1F-4A53-8041-DE00838A867F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AH63</xm:sqref>
        </x14:conditionalFormatting>
        <x14:conditionalFormatting xmlns:xm="http://schemas.microsoft.com/office/excel/2006/main">
          <x14:cfRule type="dataBar" id="{D555A317-1C27-4019-BB60-883E6C7075A0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AH71</xm:sqref>
        </x14:conditionalFormatting>
        <x14:conditionalFormatting xmlns:xm="http://schemas.microsoft.com/office/excel/2006/main">
          <x14:cfRule type="dataBar" id="{873AB7AE-DB2D-40F1-8247-C7C0B20CD50E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AH19</xm:sqref>
        </x14:conditionalFormatting>
        <x14:conditionalFormatting xmlns:xm="http://schemas.microsoft.com/office/excel/2006/main">
          <x14:cfRule type="dataBar" id="{CC3CF19D-9E4F-4643-B3BC-51F228AB9D8F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AH23</xm:sqref>
        </x14:conditionalFormatting>
        <x14:conditionalFormatting xmlns:xm="http://schemas.microsoft.com/office/excel/2006/main">
          <x14:cfRule type="dataBar" id="{280150ED-E301-4D11-91CC-C657F065A4F1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AH17:AH18</xm:sqref>
        </x14:conditionalFormatting>
        <x14:conditionalFormatting xmlns:xm="http://schemas.microsoft.com/office/excel/2006/main">
          <x14:cfRule type="dataBar" id="{D155410B-FF48-4657-A7CE-FA0274068CDE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AH21:AH22</xm:sqref>
        </x14:conditionalFormatting>
        <x14:conditionalFormatting xmlns:xm="http://schemas.microsoft.com/office/excel/2006/main">
          <x14:cfRule type="dataBar" id="{0A926DA6-9D97-4213-A1A3-DD0842B31F3E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AH25:AH26</xm:sqref>
        </x14:conditionalFormatting>
        <x14:conditionalFormatting xmlns:xm="http://schemas.microsoft.com/office/excel/2006/main">
          <x14:cfRule type="dataBar" id="{DE539FF1-F6D7-4987-97C1-B106B57C4F21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AH29:AH30</xm:sqref>
        </x14:conditionalFormatting>
        <x14:conditionalFormatting xmlns:xm="http://schemas.microsoft.com/office/excel/2006/main">
          <x14:cfRule type="dataBar" id="{5F72C497-5843-4F34-9462-2A75CB3763A4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AH33:AH34</xm:sqref>
        </x14:conditionalFormatting>
        <x14:conditionalFormatting xmlns:xm="http://schemas.microsoft.com/office/excel/2006/main">
          <x14:cfRule type="dataBar" id="{CDA0AEAC-761C-40A4-ABD0-F7482071E3CF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AH37:AH38</xm:sqref>
        </x14:conditionalFormatting>
        <x14:conditionalFormatting xmlns:xm="http://schemas.microsoft.com/office/excel/2006/main">
          <x14:cfRule type="dataBar" id="{81F3E43F-A0A8-4F3A-BCB1-BA1DCC8BDE7B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AH41:AH42</xm:sqref>
        </x14:conditionalFormatting>
        <x14:conditionalFormatting xmlns:xm="http://schemas.microsoft.com/office/excel/2006/main">
          <x14:cfRule type="dataBar" id="{42A6FCBF-66D5-4488-B966-DEAB19565B33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AH45:AH46</xm:sqref>
        </x14:conditionalFormatting>
        <x14:conditionalFormatting xmlns:xm="http://schemas.microsoft.com/office/excel/2006/main">
          <x14:cfRule type="dataBar" id="{BE6B6BDE-D9B4-49DF-A98C-09AF771A617D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AH49:AH50</xm:sqref>
        </x14:conditionalFormatting>
        <x14:conditionalFormatting xmlns:xm="http://schemas.microsoft.com/office/excel/2006/main">
          <x14:cfRule type="dataBar" id="{7A58579B-E031-4493-B5C1-A32613D9F873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AH53:AH54</xm:sqref>
        </x14:conditionalFormatting>
        <x14:conditionalFormatting xmlns:xm="http://schemas.microsoft.com/office/excel/2006/main">
          <x14:cfRule type="dataBar" id="{C4FD3680-F792-4F31-A7AD-A61EDEBBC6DC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AH61:AH62</xm:sqref>
        </x14:conditionalFormatting>
        <x14:conditionalFormatting xmlns:xm="http://schemas.microsoft.com/office/excel/2006/main">
          <x14:cfRule type="dataBar" id="{EFA8DBA3-52DA-49F4-B833-64807BDF4F63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AH69:AH70</xm:sqref>
        </x14:conditionalFormatting>
        <x14:conditionalFormatting xmlns:xm="http://schemas.microsoft.com/office/excel/2006/main">
          <x14:cfRule type="dataBar" id="{93B8F8C5-993D-4921-831A-9A06E97CCCD1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AH7</xm:sqref>
        </x14:conditionalFormatting>
        <x14:conditionalFormatting xmlns:xm="http://schemas.microsoft.com/office/excel/2006/main">
          <x14:cfRule type="dataBar" id="{05FA6049-A472-4C47-9357-8D6E77A28555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AH67</xm:sqref>
        </x14:conditionalFormatting>
        <x14:conditionalFormatting xmlns:xm="http://schemas.microsoft.com/office/excel/2006/main">
          <x14:cfRule type="dataBar" id="{F9F56E17-85C1-49F1-8F1E-5C6AADB100ED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AH65:AH66</xm:sqref>
        </x14:conditionalFormatting>
        <x14:conditionalFormatting xmlns:xm="http://schemas.microsoft.com/office/excel/2006/main">
          <x14:cfRule type="dataBar" id="{396D607D-B324-4E7F-8109-FD75D896B36A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AH75</xm:sqref>
        </x14:conditionalFormatting>
        <x14:conditionalFormatting xmlns:xm="http://schemas.microsoft.com/office/excel/2006/main">
          <x14:cfRule type="dataBar" id="{DB3ECF64-E06D-4C34-9D7C-C727C1920060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AH73:AH74</xm:sqref>
        </x14:conditionalFormatting>
        <x14:conditionalFormatting xmlns:xm="http://schemas.microsoft.com/office/excel/2006/main">
          <x14:cfRule type="dataBar" id="{DA8B593B-1E07-482D-B229-A75AF7AA4DDA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AH83</xm:sqref>
        </x14:conditionalFormatting>
        <x14:conditionalFormatting xmlns:xm="http://schemas.microsoft.com/office/excel/2006/main">
          <x14:cfRule type="dataBar" id="{7DCFEA0B-7A84-44CF-B953-10356022F3F7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AH81:AH82</xm:sqref>
        </x14:conditionalFormatting>
        <x14:conditionalFormatting xmlns:xm="http://schemas.microsoft.com/office/excel/2006/main">
          <x14:cfRule type="dataBar" id="{E96A23A5-4215-44D9-AD06-9B0BB2376819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AH87</xm:sqref>
        </x14:conditionalFormatting>
        <x14:conditionalFormatting xmlns:xm="http://schemas.microsoft.com/office/excel/2006/main">
          <x14:cfRule type="dataBar" id="{4A39AF0A-7F98-4104-B170-C40D28B20754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AH85:AH86</xm:sqref>
        </x14:conditionalFormatting>
        <x14:conditionalFormatting xmlns:xm="http://schemas.microsoft.com/office/excel/2006/main">
          <x14:cfRule type="dataBar" id="{2FDA34A5-E23F-4B65-9860-1887FE5B918E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AH91</xm:sqref>
        </x14:conditionalFormatting>
        <x14:conditionalFormatting xmlns:xm="http://schemas.microsoft.com/office/excel/2006/main">
          <x14:cfRule type="dataBar" id="{D6B9EBCE-0FB0-4CA6-9A84-558E91CE3A67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AH89:AH90</xm:sqref>
        </x14:conditionalFormatting>
        <x14:conditionalFormatting xmlns:xm="http://schemas.microsoft.com/office/excel/2006/main">
          <x14:cfRule type="dataBar" id="{ACF8A80F-924C-4FF9-B8FC-E237CE6D61C0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AH101:AH103 AH95 AH97:AH99</xm:sqref>
        </x14:conditionalFormatting>
        <x14:conditionalFormatting xmlns:xm="http://schemas.microsoft.com/office/excel/2006/main">
          <x14:cfRule type="dataBar" id="{ABBFD064-BFB4-4808-B634-AD5956533C40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AH93:AH94</xm:sqref>
        </x14:conditionalFormatting>
        <x14:conditionalFormatting xmlns:xm="http://schemas.microsoft.com/office/excel/2006/main">
          <x14:cfRule type="dataBar" id="{F0AD6BE4-51CA-4820-B7AA-919D92D26A25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AH111</xm:sqref>
        </x14:conditionalFormatting>
        <x14:conditionalFormatting xmlns:xm="http://schemas.microsoft.com/office/excel/2006/main">
          <x14:cfRule type="dataBar" id="{56C1E395-5E1C-40F6-ABD7-D9723A87139A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AH109:AH110</xm:sqref>
        </x14:conditionalFormatting>
        <x14:conditionalFormatting xmlns:xm="http://schemas.microsoft.com/office/excel/2006/main">
          <x14:cfRule type="dataBar" id="{D708F690-9092-421D-932C-9C51145366D7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AH123</xm:sqref>
        </x14:conditionalFormatting>
        <x14:conditionalFormatting xmlns:xm="http://schemas.microsoft.com/office/excel/2006/main">
          <x14:cfRule type="dataBar" id="{83814BE3-0A6C-43F8-A112-CEC55231EF4C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AH121:AH122</xm:sqref>
        </x14:conditionalFormatting>
        <x14:conditionalFormatting xmlns:xm="http://schemas.microsoft.com/office/excel/2006/main">
          <x14:cfRule type="dataBar" id="{9676934E-20CC-4C9B-8A9E-7CF9CBBAF7B4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AH115</xm:sqref>
        </x14:conditionalFormatting>
        <x14:conditionalFormatting xmlns:xm="http://schemas.microsoft.com/office/excel/2006/main">
          <x14:cfRule type="dataBar" id="{6CF58D20-4D3C-4041-AC9D-92EC0993C266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AH113:AH114</xm:sqref>
        </x14:conditionalFormatting>
        <x14:conditionalFormatting xmlns:xm="http://schemas.microsoft.com/office/excel/2006/main">
          <x14:cfRule type="dataBar" id="{5B8C453B-708B-4E6A-8F74-C7656C67AF7C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AH15</xm:sqref>
        </x14:conditionalFormatting>
        <x14:conditionalFormatting xmlns:xm="http://schemas.microsoft.com/office/excel/2006/main">
          <x14:cfRule type="dataBar" id="{860BF07B-83D7-41D8-8476-001BE81D5071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AH13:AH14</xm:sqref>
        </x14:conditionalFormatting>
        <x14:conditionalFormatting xmlns:xm="http://schemas.microsoft.com/office/excel/2006/main">
          <x14:cfRule type="dataBar" id="{763EB6E9-67DD-4B57-B99A-9334D0C8931E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AH119</xm:sqref>
        </x14:conditionalFormatting>
        <x14:conditionalFormatting xmlns:xm="http://schemas.microsoft.com/office/excel/2006/main">
          <x14:cfRule type="dataBar" id="{AC8DD82F-3CBB-4E26-B046-D484B16D7744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AH117:AH118</xm:sqref>
        </x14:conditionalFormatting>
        <x14:conditionalFormatting xmlns:xm="http://schemas.microsoft.com/office/excel/2006/main">
          <x14:cfRule type="dataBar" id="{95DB51BB-81AB-415B-9600-C599398566A8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AH107</xm:sqref>
        </x14:conditionalFormatting>
        <x14:conditionalFormatting xmlns:xm="http://schemas.microsoft.com/office/excel/2006/main">
          <x14:cfRule type="dataBar" id="{365F1358-E8D1-4FD5-B044-C481821586B0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AH105:AH106</xm:sqref>
        </x14:conditionalFormatting>
        <x14:conditionalFormatting xmlns:xm="http://schemas.microsoft.com/office/excel/2006/main">
          <x14:cfRule type="dataBar" id="{DAF1A240-65C5-42EB-AB7D-E2F37C4EC923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AH59</xm:sqref>
        </x14:conditionalFormatting>
        <x14:conditionalFormatting xmlns:xm="http://schemas.microsoft.com/office/excel/2006/main">
          <x14:cfRule type="dataBar" id="{F88F8330-36B7-4BCB-9A02-FF4250EBDD1D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AH57:AH58</xm:sqref>
        </x14:conditionalFormatting>
        <x14:conditionalFormatting xmlns:xm="http://schemas.microsoft.com/office/excel/2006/main">
          <x14:cfRule type="dataBar" id="{83CCDB61-9F6A-4887-83F4-126CB28AF162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AH79</xm:sqref>
        </x14:conditionalFormatting>
        <x14:conditionalFormatting xmlns:xm="http://schemas.microsoft.com/office/excel/2006/main">
          <x14:cfRule type="dataBar" id="{2600E2BC-E532-4204-8082-92752FC434A7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AH77:AH78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2" tint="-0.89999084444715716"/>
    <pageSetUpPr fitToPage="1"/>
  </sheetPr>
  <dimension ref="A1:AS1514"/>
  <sheetViews>
    <sheetView showGridLines="0" tabSelected="1" topLeftCell="A3" zoomScale="98" zoomScaleNormal="98" workbookViewId="0">
      <pane xSplit="12465" topLeftCell="AN1" activePane="topRight"/>
      <selection activeCell="AO7" sqref="AO7"/>
      <selection pane="topRight" activeCell="AO15" sqref="AO15"/>
    </sheetView>
  </sheetViews>
  <sheetFormatPr baseColWidth="10" defaultColWidth="9.140625" defaultRowHeight="15" customHeight="1" x14ac:dyDescent="0.25"/>
  <cols>
    <col min="1" max="1" width="24.28515625" style="96" customWidth="1"/>
    <col min="2" max="2" width="6" style="96" customWidth="1"/>
    <col min="3" max="22" width="4" style="93" customWidth="1"/>
    <col min="23" max="23" width="4.42578125" style="93" customWidth="1"/>
    <col min="24" max="26" width="4" style="93" customWidth="1"/>
    <col min="27" max="27" width="4.42578125" style="93" customWidth="1"/>
    <col min="28" max="28" width="4.42578125" style="93" bestFit="1" customWidth="1"/>
    <col min="29" max="32" width="4" style="93" customWidth="1"/>
    <col min="33" max="33" width="4.42578125" style="93" bestFit="1" customWidth="1"/>
    <col min="34" max="34" width="10.7109375" style="94" customWidth="1"/>
    <col min="35" max="35" width="5.5703125" style="93" customWidth="1"/>
    <col min="36" max="36" width="5" style="75" customWidth="1"/>
    <col min="37" max="37" width="4.7109375" style="75" customWidth="1"/>
    <col min="38" max="38" width="4.5703125" style="75" customWidth="1"/>
    <col min="39" max="39" width="7" style="75" customWidth="1"/>
    <col min="40" max="40" width="9.140625" style="75" customWidth="1"/>
    <col min="41" max="41" width="10.140625" style="75" customWidth="1"/>
    <col min="42" max="42" width="6.7109375" style="75" customWidth="1"/>
    <col min="43" max="44" width="7.28515625" style="75" customWidth="1"/>
    <col min="45" max="45" width="15.140625" style="75" customWidth="1"/>
    <col min="46" max="16384" width="9.140625" style="75"/>
  </cols>
  <sheetData>
    <row r="1" spans="1:45" s="8" customFormat="1" ht="50.25" customHeight="1" thickBot="1" x14ac:dyDescent="0.3">
      <c r="A1" s="1" t="s">
        <v>0</v>
      </c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3"/>
      <c r="AE1" s="3"/>
      <c r="AF1" s="4"/>
      <c r="AG1" s="5"/>
      <c r="AH1" s="5"/>
      <c r="AI1" s="6"/>
      <c r="AJ1" s="7"/>
      <c r="AK1" s="7"/>
      <c r="AL1" s="7"/>
      <c r="AM1" s="7"/>
      <c r="AN1" s="7"/>
      <c r="AO1" s="7"/>
      <c r="AP1" s="7"/>
      <c r="AQ1" s="7"/>
      <c r="AR1" s="7"/>
    </row>
    <row r="2" spans="1:45" s="18" customFormat="1" ht="30" customHeight="1" x14ac:dyDescent="0.25">
      <c r="A2" s="97">
        <v>43039</v>
      </c>
      <c r="B2" s="10"/>
      <c r="C2" s="11" t="s">
        <v>1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2">
        <v>2017</v>
      </c>
      <c r="AI2" s="13" t="s">
        <v>2</v>
      </c>
      <c r="AJ2" s="14"/>
      <c r="AK2" s="14"/>
      <c r="AL2" s="15"/>
      <c r="AM2" s="13" t="s">
        <v>3</v>
      </c>
      <c r="AN2" s="14"/>
      <c r="AO2" s="14"/>
      <c r="AP2" s="15"/>
      <c r="AQ2" s="16" t="s">
        <v>4</v>
      </c>
      <c r="AR2" s="17"/>
    </row>
    <row r="3" spans="1:45" s="27" customFormat="1" ht="15.75" customHeight="1" thickBot="1" x14ac:dyDescent="0.35">
      <c r="A3" s="98">
        <v>43009</v>
      </c>
      <c r="B3" s="10"/>
      <c r="C3" s="20" t="str">
        <f>TEXT(WEEKDAY(DATE(CalendrierAnnée,10,1),1),"jjj")</f>
        <v>dim</v>
      </c>
      <c r="D3" s="21" t="str">
        <f>TEXT(WEEKDAY(DATE(CalendrierAnnée,10,2),1),"jjj")</f>
        <v>lun</v>
      </c>
      <c r="E3" s="21" t="str">
        <f>TEXT(WEEKDAY(DATE(CalendrierAnnée,10,3),1),"jjj")</f>
        <v>mar</v>
      </c>
      <c r="F3" s="21" t="str">
        <f>TEXT(WEEKDAY(DATE(CalendrierAnnée,10,4),1),"jjj")</f>
        <v>mer</v>
      </c>
      <c r="G3" s="21" t="str">
        <f>TEXT(WEEKDAY(DATE(CalendrierAnnée,10,5),1),"jjj")</f>
        <v>jeu</v>
      </c>
      <c r="H3" s="21" t="str">
        <f>TEXT(WEEKDAY(DATE(CalendrierAnnée,10,6),1),"jjj")</f>
        <v>ven</v>
      </c>
      <c r="I3" s="21" t="str">
        <f>TEXT(WEEKDAY(DATE(CalendrierAnnée,10,7),1),"jjj")</f>
        <v>sam</v>
      </c>
      <c r="J3" s="21" t="str">
        <f>TEXT(WEEKDAY(DATE(CalendrierAnnée,10,8),1),"jjj")</f>
        <v>dim</v>
      </c>
      <c r="K3" s="21" t="str">
        <f>TEXT(WEEKDAY(DATE(CalendrierAnnée,10,9),1),"jjj")</f>
        <v>lun</v>
      </c>
      <c r="L3" s="21" t="str">
        <f>TEXT(WEEKDAY(DATE(CalendrierAnnée,10,10),1),"jjj")</f>
        <v>mar</v>
      </c>
      <c r="M3" s="21" t="str">
        <f>TEXT(WEEKDAY(DATE(CalendrierAnnée,10,11),1),"jjj")</f>
        <v>mer</v>
      </c>
      <c r="N3" s="21" t="str">
        <f>TEXT(WEEKDAY(DATE(CalendrierAnnée,10,12),1),"jjj")</f>
        <v>jeu</v>
      </c>
      <c r="O3" s="21" t="str">
        <f>TEXT(WEEKDAY(DATE(CalendrierAnnée,10,13),1),"jjj")</f>
        <v>ven</v>
      </c>
      <c r="P3" s="21" t="str">
        <f>TEXT(WEEKDAY(DATE(CalendrierAnnée,10,14),1),"jjj")</f>
        <v>sam</v>
      </c>
      <c r="Q3" s="21" t="str">
        <f>TEXT(WEEKDAY(DATE(CalendrierAnnée,10,15),1),"jjj")</f>
        <v>dim</v>
      </c>
      <c r="R3" s="21" t="str">
        <f>TEXT(WEEKDAY(DATE(CalendrierAnnée,10,16),1),"jjj")</f>
        <v>lun</v>
      </c>
      <c r="S3" s="21" t="str">
        <f>TEXT(WEEKDAY(DATE(CalendrierAnnée,10,17),1),"jjj")</f>
        <v>mar</v>
      </c>
      <c r="T3" s="21" t="str">
        <f>TEXT(WEEKDAY(DATE(CalendrierAnnée,10,18),1),"jjj")</f>
        <v>mer</v>
      </c>
      <c r="U3" s="21" t="str">
        <f>TEXT(WEEKDAY(DATE(CalendrierAnnée,10,19),1),"jjj")</f>
        <v>jeu</v>
      </c>
      <c r="V3" s="21" t="str">
        <f>TEXT(WEEKDAY(DATE(CalendrierAnnée,10,20),1),"jjj")</f>
        <v>ven</v>
      </c>
      <c r="W3" s="21" t="str">
        <f>TEXT(WEEKDAY(DATE(CalendrierAnnée,10,21),1),"jjj")</f>
        <v>sam</v>
      </c>
      <c r="X3" s="21" t="str">
        <f>TEXT(WEEKDAY(DATE(CalendrierAnnée,10,22),1),"jjj")</f>
        <v>dim</v>
      </c>
      <c r="Y3" s="21" t="str">
        <f>TEXT(WEEKDAY(DATE(CalendrierAnnée,10,23),1),"jjj")</f>
        <v>lun</v>
      </c>
      <c r="Z3" s="21" t="str">
        <f>TEXT(WEEKDAY(DATE(CalendrierAnnée,10,24),1),"jjj")</f>
        <v>mar</v>
      </c>
      <c r="AA3" s="21" t="str">
        <f>TEXT(WEEKDAY(DATE(CalendrierAnnée,10,25),1),"jjj")</f>
        <v>mer</v>
      </c>
      <c r="AB3" s="21" t="str">
        <f>TEXT(WEEKDAY(DATE(CalendrierAnnée,10,26),1),"jjj")</f>
        <v>jeu</v>
      </c>
      <c r="AC3" s="21" t="str">
        <f>TEXT(WEEKDAY(DATE(CalendrierAnnée,10,27),1),"jjj")</f>
        <v>ven</v>
      </c>
      <c r="AD3" s="21" t="str">
        <f>TEXT(WEEKDAY(DATE(CalendrierAnnée,10,28),1),"jjj")</f>
        <v>sam</v>
      </c>
      <c r="AE3" s="21" t="str">
        <f>TEXT(WEEKDAY(DATE(CalendrierAnnée,10,29),1),"jjj")</f>
        <v>dim</v>
      </c>
      <c r="AF3" s="21" t="str">
        <f>TEXT(WEEKDAY(DATE(CalendrierAnnée,10,30),1),"jjj")</f>
        <v>lun</v>
      </c>
      <c r="AG3" s="21" t="str">
        <f>TEXT(WEEKDAY(DATE(CalendrierAnnée,10,31),1),"jjj")</f>
        <v>mar</v>
      </c>
      <c r="AH3" s="12"/>
      <c r="AI3" s="22"/>
      <c r="AJ3" s="23"/>
      <c r="AK3" s="23"/>
      <c r="AL3" s="24"/>
      <c r="AM3" s="22"/>
      <c r="AN3" s="23"/>
      <c r="AO3" s="23"/>
      <c r="AP3" s="24"/>
      <c r="AQ3" s="25"/>
      <c r="AR3" s="26"/>
    </row>
    <row r="4" spans="1:45" s="40" customFormat="1" ht="63.75" customHeight="1" x14ac:dyDescent="0.25">
      <c r="A4" s="28" t="s">
        <v>22</v>
      </c>
      <c r="B4" s="29"/>
      <c r="C4" s="99" t="s">
        <v>25</v>
      </c>
      <c r="D4" s="32" t="s">
        <v>26</v>
      </c>
      <c r="E4" s="32" t="s">
        <v>27</v>
      </c>
      <c r="F4" s="32" t="s">
        <v>28</v>
      </c>
      <c r="G4" s="32" t="s">
        <v>29</v>
      </c>
      <c r="H4" s="32" t="s">
        <v>30</v>
      </c>
      <c r="I4" s="32" t="s">
        <v>31</v>
      </c>
      <c r="J4" s="32" t="s">
        <v>32</v>
      </c>
      <c r="K4" s="32" t="s">
        <v>33</v>
      </c>
      <c r="L4" s="32" t="s">
        <v>34</v>
      </c>
      <c r="M4" s="32" t="s">
        <v>35</v>
      </c>
      <c r="N4" s="32" t="s">
        <v>36</v>
      </c>
      <c r="O4" s="32" t="s">
        <v>37</v>
      </c>
      <c r="P4" s="32" t="s">
        <v>38</v>
      </c>
      <c r="Q4" s="32" t="s">
        <v>39</v>
      </c>
      <c r="R4" s="32" t="s">
        <v>40</v>
      </c>
      <c r="S4" s="32" t="s">
        <v>41</v>
      </c>
      <c r="T4" s="32" t="s">
        <v>42</v>
      </c>
      <c r="U4" s="32" t="s">
        <v>43</v>
      </c>
      <c r="V4" s="32" t="s">
        <v>44</v>
      </c>
      <c r="W4" s="32" t="s">
        <v>45</v>
      </c>
      <c r="X4" s="32" t="s">
        <v>46</v>
      </c>
      <c r="Y4" s="32" t="s">
        <v>47</v>
      </c>
      <c r="Z4" s="32" t="s">
        <v>48</v>
      </c>
      <c r="AA4" s="32" t="s">
        <v>49</v>
      </c>
      <c r="AB4" s="32" t="s">
        <v>50</v>
      </c>
      <c r="AC4" s="32" t="s">
        <v>51</v>
      </c>
      <c r="AD4" s="32" t="s">
        <v>52</v>
      </c>
      <c r="AE4" s="32" t="s">
        <v>53</v>
      </c>
      <c r="AF4" s="32" t="s">
        <v>54</v>
      </c>
      <c r="AG4" s="32" t="s">
        <v>55</v>
      </c>
      <c r="AH4" s="33" t="s">
        <v>6</v>
      </c>
      <c r="AI4" s="34" t="s">
        <v>7</v>
      </c>
      <c r="AJ4" s="35" t="s">
        <v>8</v>
      </c>
      <c r="AK4" s="36" t="s">
        <v>9</v>
      </c>
      <c r="AL4" s="37" t="s">
        <v>10</v>
      </c>
      <c r="AM4" s="38" t="s">
        <v>11</v>
      </c>
      <c r="AN4" s="38" t="s">
        <v>12</v>
      </c>
      <c r="AO4" s="38" t="s">
        <v>13</v>
      </c>
      <c r="AP4" s="39" t="s">
        <v>14</v>
      </c>
      <c r="AQ4" s="34" t="s">
        <v>7</v>
      </c>
      <c r="AR4" s="35" t="s">
        <v>8</v>
      </c>
      <c r="AS4" s="39" t="s">
        <v>56</v>
      </c>
    </row>
    <row r="5" spans="1:45" s="40" customFormat="1" ht="12.95" customHeight="1" x14ac:dyDescent="0.25">
      <c r="A5" s="41"/>
      <c r="B5" s="42" t="s">
        <v>15</v>
      </c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 t="s">
        <v>7</v>
      </c>
      <c r="AB5" s="43" t="s">
        <v>7</v>
      </c>
      <c r="AC5" s="43"/>
      <c r="AD5" s="43"/>
      <c r="AE5" s="43"/>
      <c r="AF5" s="43"/>
      <c r="AG5" s="43"/>
      <c r="AH5" s="44">
        <f>COUNTA(Octobre!$C5:$AG5)</f>
        <v>2</v>
      </c>
      <c r="AI5" s="45">
        <f>(COUNTIFS(Octobre!$C5:$AG5,("cp")))/2+Septembre!AI5</f>
        <v>6</v>
      </c>
      <c r="AJ5" s="45">
        <f>COUNTIFS(Octobre!$C5:$AG5,"RTT")/2+Septembre!AJ5</f>
        <v>0</v>
      </c>
      <c r="AK5" s="45">
        <f>COUNTIFS(Octobre!$C5:$AG5,"m")/2+Septembre!AK5</f>
        <v>0</v>
      </c>
      <c r="AL5" s="45">
        <f>COUNTIFS(Octobre!$C5:$AG5,"a")/2+Septembre!AL5</f>
        <v>0</v>
      </c>
      <c r="AM5" s="46"/>
      <c r="AN5" s="47"/>
      <c r="AO5" s="47"/>
      <c r="AP5" s="46"/>
      <c r="AQ5" s="47"/>
      <c r="AR5" s="47"/>
      <c r="AS5" s="47"/>
    </row>
    <row r="6" spans="1:45" s="40" customFormat="1" ht="12.95" customHeight="1" x14ac:dyDescent="0.25">
      <c r="A6" s="48">
        <v>41722</v>
      </c>
      <c r="B6" s="42" t="s">
        <v>16</v>
      </c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 t="s">
        <v>7</v>
      </c>
      <c r="AB6" s="43" t="s">
        <v>7</v>
      </c>
      <c r="AC6" s="43"/>
      <c r="AD6" s="43"/>
      <c r="AE6" s="43"/>
      <c r="AF6" s="43"/>
      <c r="AG6" s="43"/>
      <c r="AH6" s="44">
        <f>COUNTA(Octobre!$C6:$AG6)</f>
        <v>2</v>
      </c>
      <c r="AI6" s="45">
        <f>(COUNTIFS(Octobre!$C6:$AG6,("cp")))/2+Septembre!AI6</f>
        <v>6</v>
      </c>
      <c r="AJ6" s="45">
        <f>COUNTIFS(Octobre!$C6:$AG6,"RTT")/2+Septembre!AJ6</f>
        <v>0</v>
      </c>
      <c r="AK6" s="45">
        <f>COUNTIFS(Octobre!$C6:$AG6,"m")/2+Septembre!AK6</f>
        <v>0</v>
      </c>
      <c r="AL6" s="45">
        <f>COUNTIFS(Octobre!$C6:$AG6,"a")/2+Septembre!AL6</f>
        <v>0</v>
      </c>
      <c r="AM6" s="46"/>
      <c r="AN6" s="47"/>
      <c r="AO6" s="47"/>
      <c r="AP6" s="46"/>
      <c r="AQ6" s="47"/>
      <c r="AR6" s="47"/>
      <c r="AS6" s="101"/>
    </row>
    <row r="7" spans="1:45" s="40" customFormat="1" ht="12.95" customHeight="1" x14ac:dyDescent="0.25">
      <c r="A7" s="41"/>
      <c r="B7" s="42"/>
      <c r="C7" s="49" t="str">
        <f t="shared" ref="C7:AG7" si="0">IF(C5&gt;0,C5,IF(C6&gt;0,C6,""))</f>
        <v/>
      </c>
      <c r="D7" s="49" t="str">
        <f t="shared" si="0"/>
        <v/>
      </c>
      <c r="E7" s="49" t="str">
        <f t="shared" si="0"/>
        <v/>
      </c>
      <c r="F7" s="49" t="str">
        <f t="shared" si="0"/>
        <v/>
      </c>
      <c r="G7" s="49" t="str">
        <f t="shared" si="0"/>
        <v/>
      </c>
      <c r="H7" s="49" t="str">
        <f t="shared" si="0"/>
        <v/>
      </c>
      <c r="I7" s="49" t="str">
        <f t="shared" si="0"/>
        <v/>
      </c>
      <c r="J7" s="49" t="str">
        <f t="shared" si="0"/>
        <v/>
      </c>
      <c r="K7" s="49" t="str">
        <f t="shared" si="0"/>
        <v/>
      </c>
      <c r="L7" s="49" t="str">
        <f t="shared" si="0"/>
        <v/>
      </c>
      <c r="M7" s="49" t="str">
        <f t="shared" si="0"/>
        <v/>
      </c>
      <c r="N7" s="49" t="str">
        <f t="shared" si="0"/>
        <v/>
      </c>
      <c r="O7" s="49" t="str">
        <f t="shared" si="0"/>
        <v/>
      </c>
      <c r="P7" s="49" t="str">
        <f t="shared" si="0"/>
        <v/>
      </c>
      <c r="Q7" s="49" t="str">
        <f t="shared" si="0"/>
        <v/>
      </c>
      <c r="R7" s="49" t="str">
        <f t="shared" si="0"/>
        <v/>
      </c>
      <c r="S7" s="49" t="str">
        <f t="shared" si="0"/>
        <v/>
      </c>
      <c r="T7" s="49" t="str">
        <f t="shared" si="0"/>
        <v/>
      </c>
      <c r="U7" s="49" t="str">
        <f t="shared" si="0"/>
        <v/>
      </c>
      <c r="V7" s="49" t="str">
        <f t="shared" si="0"/>
        <v/>
      </c>
      <c r="W7" s="49" t="str">
        <f t="shared" si="0"/>
        <v/>
      </c>
      <c r="X7" s="49" t="str">
        <f t="shared" si="0"/>
        <v/>
      </c>
      <c r="Y7" s="49" t="str">
        <f t="shared" si="0"/>
        <v/>
      </c>
      <c r="Z7" s="49" t="str">
        <f t="shared" si="0"/>
        <v/>
      </c>
      <c r="AA7" s="49" t="str">
        <f t="shared" si="0"/>
        <v>CP</v>
      </c>
      <c r="AB7" s="49" t="str">
        <f t="shared" si="0"/>
        <v>CP</v>
      </c>
      <c r="AC7" s="49" t="str">
        <f t="shared" si="0"/>
        <v/>
      </c>
      <c r="AD7" s="49" t="str">
        <f t="shared" si="0"/>
        <v/>
      </c>
      <c r="AE7" s="49" t="str">
        <f t="shared" si="0"/>
        <v/>
      </c>
      <c r="AF7" s="49" t="str">
        <f t="shared" si="0"/>
        <v/>
      </c>
      <c r="AG7" s="49" t="str">
        <f t="shared" si="0"/>
        <v/>
      </c>
      <c r="AH7" s="44">
        <f>SUM(AH5:AH6)</f>
        <v>4</v>
      </c>
      <c r="AI7" s="45">
        <f>SUM(AI5:AI6)</f>
        <v>12</v>
      </c>
      <c r="AJ7" s="45">
        <f>SUM(AJ5:AJ6)</f>
        <v>0</v>
      </c>
      <c r="AK7" s="45">
        <f>SUM(AK5:AK6)</f>
        <v>0</v>
      </c>
      <c r="AL7" s="45">
        <f>SUM(AL5:AL6)</f>
        <v>0</v>
      </c>
      <c r="AM7" s="50">
        <f>Juin!AM7</f>
        <v>9.15</v>
      </c>
      <c r="AN7" s="51">
        <f>IF(A6="","",IF(A6&gt;NomMois,0,IF(A6&lt;$A$3,2.08,(NETWORKDAYS(A6,$A$2)/21.66667)*2.08)))</f>
        <v>2.08</v>
      </c>
      <c r="AO7" s="51">
        <f>IF( AN7="",Septembre!AO7,+AN7+Septembre!AO7)</f>
        <v>10.4</v>
      </c>
      <c r="AP7" s="50"/>
      <c r="AQ7" s="45">
        <f>+AM7-AI7</f>
        <v>-2.8499999999999996</v>
      </c>
      <c r="AR7" s="45">
        <f>+AP7-AJ7</f>
        <v>0</v>
      </c>
      <c r="AS7" s="102">
        <f>+AO7+AQ7</f>
        <v>7.5500000000000007</v>
      </c>
    </row>
    <row r="8" spans="1:45" s="40" customFormat="1" ht="6.75" customHeight="1" x14ac:dyDescent="0.25">
      <c r="A8" s="52"/>
      <c r="B8" s="53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  <c r="AF8" s="52"/>
      <c r="AG8" s="52"/>
      <c r="AH8" s="54"/>
      <c r="AI8" s="54"/>
      <c r="AJ8" s="54"/>
      <c r="AK8" s="54"/>
      <c r="AL8" s="54"/>
      <c r="AM8" s="52"/>
      <c r="AN8" s="55"/>
      <c r="AO8" s="55"/>
      <c r="AP8" s="56"/>
      <c r="AQ8" s="58"/>
      <c r="AR8" s="58"/>
      <c r="AS8" s="65"/>
    </row>
    <row r="9" spans="1:45" s="40" customFormat="1" ht="12.95" customHeight="1" x14ac:dyDescent="0.25">
      <c r="A9" s="41"/>
      <c r="B9" s="42" t="s">
        <v>15</v>
      </c>
      <c r="C9" s="67"/>
      <c r="D9" s="43"/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  <c r="AA9" s="43"/>
      <c r="AB9" s="43"/>
      <c r="AC9" s="43"/>
      <c r="AD9" s="43"/>
      <c r="AE9" s="43"/>
      <c r="AF9" s="43"/>
      <c r="AG9" s="43"/>
      <c r="AH9" s="44">
        <f>COUNTA(Octobre!$C9:$AG9)</f>
        <v>0</v>
      </c>
      <c r="AI9" s="45">
        <f>(COUNTIFS(Octobre!$C9:$AG9,("cp")))/2+Septembre!AI9</f>
        <v>3.5</v>
      </c>
      <c r="AJ9" s="45">
        <f>COUNTIFS(Octobre!$C9:$AG9,"RTT")/2+Septembre!AJ9</f>
        <v>0</v>
      </c>
      <c r="AK9" s="45">
        <f>COUNTIFS(Octobre!$C9:$AG9,"m")/2+Septembre!AK9</f>
        <v>0</v>
      </c>
      <c r="AL9" s="45">
        <f>COUNTIFS(Octobre!$C9:$AG9,"a")/2+Septembre!AL9</f>
        <v>0</v>
      </c>
      <c r="AM9" s="46"/>
      <c r="AN9" s="47"/>
      <c r="AO9" s="47"/>
      <c r="AP9" s="46"/>
      <c r="AQ9" s="47"/>
      <c r="AR9" s="47"/>
      <c r="AS9" s="47"/>
    </row>
    <row r="10" spans="1:45" s="40" customFormat="1" ht="12.95" customHeight="1" x14ac:dyDescent="0.25">
      <c r="A10" s="48">
        <v>42740</v>
      </c>
      <c r="B10" s="42" t="s">
        <v>16</v>
      </c>
      <c r="C10" s="67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3"/>
      <c r="AG10" s="43"/>
      <c r="AH10" s="44">
        <f>COUNTA(Octobre!$C10:$AG10)</f>
        <v>0</v>
      </c>
      <c r="AI10" s="45">
        <f>(COUNTIFS(Octobre!$C10:$AG10,("cp")))/2+Septembre!AI10</f>
        <v>3.5</v>
      </c>
      <c r="AJ10" s="45">
        <f>COUNTIFS(Octobre!$C10:$AG10,"RTT")/2+Septembre!AJ10</f>
        <v>0</v>
      </c>
      <c r="AK10" s="45">
        <f>COUNTIFS(Octobre!$C10:$AG10,"m")/2+Septembre!AK10</f>
        <v>0</v>
      </c>
      <c r="AL10" s="45">
        <f>COUNTIFS(Octobre!$C10:$AG10,"a")/2+Septembre!AL10</f>
        <v>0</v>
      </c>
      <c r="AM10" s="46"/>
      <c r="AN10" s="47"/>
      <c r="AO10" s="47"/>
      <c r="AP10" s="46"/>
      <c r="AQ10" s="47"/>
      <c r="AR10" s="47"/>
      <c r="AS10" s="101"/>
    </row>
    <row r="11" spans="1:45" s="40" customFormat="1" ht="12.95" customHeight="1" x14ac:dyDescent="0.25">
      <c r="A11" s="41"/>
      <c r="B11" s="42"/>
      <c r="C11" s="49" t="str">
        <f t="shared" ref="C11:AG11" si="1">IF(C9&gt;0,C9,IF(C10&gt;0,C10,""))</f>
        <v/>
      </c>
      <c r="D11" s="49" t="str">
        <f t="shared" si="1"/>
        <v/>
      </c>
      <c r="E11" s="49" t="str">
        <f t="shared" si="1"/>
        <v/>
      </c>
      <c r="F11" s="49" t="str">
        <f t="shared" si="1"/>
        <v/>
      </c>
      <c r="G11" s="49" t="str">
        <f t="shared" si="1"/>
        <v/>
      </c>
      <c r="H11" s="49" t="str">
        <f t="shared" si="1"/>
        <v/>
      </c>
      <c r="I11" s="49" t="str">
        <f t="shared" si="1"/>
        <v/>
      </c>
      <c r="J11" s="49" t="str">
        <f t="shared" si="1"/>
        <v/>
      </c>
      <c r="K11" s="49" t="str">
        <f t="shared" si="1"/>
        <v/>
      </c>
      <c r="L11" s="49" t="str">
        <f t="shared" si="1"/>
        <v/>
      </c>
      <c r="M11" s="49" t="str">
        <f t="shared" si="1"/>
        <v/>
      </c>
      <c r="N11" s="49" t="str">
        <f t="shared" si="1"/>
        <v/>
      </c>
      <c r="O11" s="49" t="str">
        <f t="shared" si="1"/>
        <v/>
      </c>
      <c r="P11" s="49" t="str">
        <f t="shared" si="1"/>
        <v/>
      </c>
      <c r="Q11" s="49" t="str">
        <f t="shared" si="1"/>
        <v/>
      </c>
      <c r="R11" s="49" t="str">
        <f t="shared" si="1"/>
        <v/>
      </c>
      <c r="S11" s="49" t="str">
        <f t="shared" si="1"/>
        <v/>
      </c>
      <c r="T11" s="49" t="str">
        <f t="shared" si="1"/>
        <v/>
      </c>
      <c r="U11" s="49" t="str">
        <f t="shared" si="1"/>
        <v/>
      </c>
      <c r="V11" s="49" t="str">
        <f t="shared" si="1"/>
        <v/>
      </c>
      <c r="W11" s="49" t="str">
        <f t="shared" si="1"/>
        <v/>
      </c>
      <c r="X11" s="49" t="str">
        <f t="shared" si="1"/>
        <v/>
      </c>
      <c r="Y11" s="49" t="str">
        <f t="shared" si="1"/>
        <v/>
      </c>
      <c r="Z11" s="49" t="str">
        <f t="shared" si="1"/>
        <v/>
      </c>
      <c r="AA11" s="49" t="str">
        <f t="shared" si="1"/>
        <v/>
      </c>
      <c r="AB11" s="49" t="str">
        <f t="shared" si="1"/>
        <v/>
      </c>
      <c r="AC11" s="49" t="str">
        <f t="shared" si="1"/>
        <v/>
      </c>
      <c r="AD11" s="49" t="str">
        <f t="shared" si="1"/>
        <v/>
      </c>
      <c r="AE11" s="49" t="str">
        <f t="shared" si="1"/>
        <v/>
      </c>
      <c r="AF11" s="49" t="str">
        <f t="shared" si="1"/>
        <v/>
      </c>
      <c r="AG11" s="49" t="str">
        <f t="shared" si="1"/>
        <v/>
      </c>
      <c r="AH11" s="44">
        <f>SUM(AH9:AH10)</f>
        <v>0</v>
      </c>
      <c r="AI11" s="45">
        <f>SUM(AI9:AI10)</f>
        <v>7</v>
      </c>
      <c r="AJ11" s="45">
        <f>SUM(AJ9:AJ10)</f>
        <v>0</v>
      </c>
      <c r="AK11" s="45">
        <f>SUM(AK9:AK10)</f>
        <v>0</v>
      </c>
      <c r="AL11" s="45">
        <f>SUM(AL9:AL10)</f>
        <v>0</v>
      </c>
      <c r="AM11" s="50">
        <f>Juin!AM11</f>
        <v>10.32</v>
      </c>
      <c r="AN11" s="51">
        <f>IF(A10="","",IF(A10&gt;NomMois,0,IF(A10&lt;$A$3,2.08,(NETWORKDAYS(A10,$A$2)/21.66667)*2.08)))</f>
        <v>2.08</v>
      </c>
      <c r="AO11" s="51">
        <f>IF( AN11="",Septembre!AO11,+AN11+Septembre!AO11)</f>
        <v>10.4</v>
      </c>
      <c r="AP11" s="50"/>
      <c r="AQ11" s="45">
        <f>+AM11-AI11</f>
        <v>3.3200000000000003</v>
      </c>
      <c r="AR11" s="45">
        <f>+AP11-AJ11</f>
        <v>0</v>
      </c>
      <c r="AS11" s="102">
        <f>+AO11+AQ11</f>
        <v>13.72</v>
      </c>
    </row>
    <row r="12" spans="1:45" s="63" customFormat="1" ht="6.75" customHeight="1" x14ac:dyDescent="0.25">
      <c r="A12" s="60"/>
      <c r="B12" s="53"/>
      <c r="C12" s="60"/>
      <c r="D12" s="60"/>
      <c r="E12" s="60"/>
      <c r="F12" s="60"/>
      <c r="G12" s="60"/>
      <c r="H12" s="60"/>
      <c r="I12" s="60"/>
      <c r="J12" s="60"/>
      <c r="K12" s="60"/>
      <c r="L12" s="60"/>
      <c r="M12" s="60"/>
      <c r="N12" s="60"/>
      <c r="O12" s="60"/>
      <c r="P12" s="60"/>
      <c r="Q12" s="60"/>
      <c r="R12" s="60"/>
      <c r="S12" s="60"/>
      <c r="T12" s="60"/>
      <c r="U12" s="60"/>
      <c r="V12" s="60"/>
      <c r="W12" s="60"/>
      <c r="X12" s="60"/>
      <c r="Y12" s="60"/>
      <c r="Z12" s="60"/>
      <c r="AA12" s="60"/>
      <c r="AB12" s="60"/>
      <c r="AC12" s="60"/>
      <c r="AD12" s="60"/>
      <c r="AE12" s="60"/>
      <c r="AF12" s="60"/>
      <c r="AG12" s="60"/>
      <c r="AH12" s="61"/>
      <c r="AI12" s="61"/>
      <c r="AJ12" s="61"/>
      <c r="AK12" s="61"/>
      <c r="AL12" s="61"/>
      <c r="AM12" s="60"/>
      <c r="AN12" s="61"/>
      <c r="AO12" s="61"/>
      <c r="AP12" s="60"/>
      <c r="AQ12" s="61"/>
      <c r="AR12" s="61"/>
      <c r="AS12" s="65"/>
    </row>
    <row r="13" spans="1:45" s="79" customFormat="1" ht="12.95" customHeight="1" x14ac:dyDescent="0.25">
      <c r="A13" s="41"/>
      <c r="B13" s="42" t="s">
        <v>15</v>
      </c>
      <c r="C13" s="67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43"/>
      <c r="AB13" s="43"/>
      <c r="AC13" s="43"/>
      <c r="AD13" s="43"/>
      <c r="AE13" s="43"/>
      <c r="AF13" s="43"/>
      <c r="AG13" s="43"/>
      <c r="AH13" s="44">
        <f>COUNTA(Octobre!$C13:$AG13)</f>
        <v>0</v>
      </c>
      <c r="AI13" s="45">
        <f>(COUNTIFS(Octobre!$C13:$AG13,("cp")))/2+Septembre!AI13</f>
        <v>0.5</v>
      </c>
      <c r="AJ13" s="45">
        <f>COUNTIFS(Octobre!$C13:$AG13,"RTT")/2+Septembre!AJ13</f>
        <v>0</v>
      </c>
      <c r="AK13" s="45">
        <f>COUNTIFS(Octobre!$C13:$AG13,"m")/2+Septembre!AK13</f>
        <v>0</v>
      </c>
      <c r="AL13" s="45">
        <f>COUNTIFS(Octobre!$C13:$AG13,"a")/2+Septembre!AL13</f>
        <v>1.5</v>
      </c>
      <c r="AM13" s="46"/>
      <c r="AN13" s="47"/>
      <c r="AO13" s="47"/>
      <c r="AP13" s="46"/>
      <c r="AQ13" s="47"/>
      <c r="AR13" s="47"/>
      <c r="AS13" s="47"/>
    </row>
    <row r="14" spans="1:45" s="79" customFormat="1" ht="12.95" customHeight="1" x14ac:dyDescent="0.25">
      <c r="A14" s="48">
        <v>42891</v>
      </c>
      <c r="B14" s="42" t="s">
        <v>16</v>
      </c>
      <c r="C14" s="67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4">
        <f>COUNTA(Octobre!$C14:$AG14)</f>
        <v>0</v>
      </c>
      <c r="AI14" s="45">
        <f>(COUNTIFS(Octobre!$C14:$AG14,("cp")))/2+Septembre!AI14</f>
        <v>0.5</v>
      </c>
      <c r="AJ14" s="45">
        <f>COUNTIFS(Octobre!$C14:$AG14,"RTT")/2+Septembre!AJ14</f>
        <v>0</v>
      </c>
      <c r="AK14" s="45">
        <f>COUNTIFS(Octobre!$C14:$AG14,"m")/2+Septembre!AK14</f>
        <v>0</v>
      </c>
      <c r="AL14" s="45">
        <f>COUNTIFS(Octobre!$C14:$AG14,"a")/2+Septembre!AL14</f>
        <v>1</v>
      </c>
      <c r="AM14" s="46"/>
      <c r="AN14" s="47"/>
      <c r="AO14" s="47"/>
      <c r="AP14" s="46"/>
      <c r="AQ14" s="47"/>
      <c r="AR14" s="47"/>
      <c r="AS14" s="101">
        <v>43014</v>
      </c>
    </row>
    <row r="15" spans="1:45" s="79" customFormat="1" ht="12.95" customHeight="1" x14ac:dyDescent="0.25">
      <c r="A15" s="41"/>
      <c r="B15" s="42"/>
      <c r="C15" s="49" t="str">
        <f t="shared" ref="C15:AG15" si="2">IF(C13&gt;0,C13,IF(C14&gt;0,C14,""))</f>
        <v/>
      </c>
      <c r="D15" s="49" t="str">
        <f t="shared" si="2"/>
        <v/>
      </c>
      <c r="E15" s="49" t="str">
        <f t="shared" si="2"/>
        <v/>
      </c>
      <c r="F15" s="49" t="str">
        <f t="shared" si="2"/>
        <v/>
      </c>
      <c r="G15" s="49" t="str">
        <f t="shared" si="2"/>
        <v/>
      </c>
      <c r="H15" s="49" t="str">
        <f t="shared" si="2"/>
        <v/>
      </c>
      <c r="I15" s="49" t="str">
        <f t="shared" si="2"/>
        <v/>
      </c>
      <c r="J15" s="49" t="str">
        <f t="shared" si="2"/>
        <v/>
      </c>
      <c r="K15" s="49" t="str">
        <f t="shared" si="2"/>
        <v/>
      </c>
      <c r="L15" s="49" t="str">
        <f t="shared" si="2"/>
        <v/>
      </c>
      <c r="M15" s="49" t="str">
        <f t="shared" si="2"/>
        <v/>
      </c>
      <c r="N15" s="49" t="str">
        <f t="shared" si="2"/>
        <v/>
      </c>
      <c r="O15" s="49" t="str">
        <f t="shared" si="2"/>
        <v/>
      </c>
      <c r="P15" s="49" t="str">
        <f t="shared" si="2"/>
        <v/>
      </c>
      <c r="Q15" s="49" t="str">
        <f t="shared" si="2"/>
        <v/>
      </c>
      <c r="R15" s="49" t="str">
        <f t="shared" si="2"/>
        <v/>
      </c>
      <c r="S15" s="49" t="str">
        <f t="shared" si="2"/>
        <v/>
      </c>
      <c r="T15" s="49" t="str">
        <f t="shared" si="2"/>
        <v/>
      </c>
      <c r="U15" s="49" t="str">
        <f t="shared" si="2"/>
        <v/>
      </c>
      <c r="V15" s="49" t="str">
        <f t="shared" si="2"/>
        <v/>
      </c>
      <c r="W15" s="49" t="str">
        <f t="shared" si="2"/>
        <v/>
      </c>
      <c r="X15" s="49" t="str">
        <f t="shared" si="2"/>
        <v/>
      </c>
      <c r="Y15" s="49" t="str">
        <f t="shared" si="2"/>
        <v/>
      </c>
      <c r="Z15" s="49" t="str">
        <f t="shared" si="2"/>
        <v/>
      </c>
      <c r="AA15" s="49" t="str">
        <f t="shared" si="2"/>
        <v/>
      </c>
      <c r="AB15" s="49" t="str">
        <f t="shared" si="2"/>
        <v/>
      </c>
      <c r="AC15" s="49" t="str">
        <f t="shared" si="2"/>
        <v/>
      </c>
      <c r="AD15" s="49" t="str">
        <f t="shared" si="2"/>
        <v/>
      </c>
      <c r="AE15" s="49" t="str">
        <f t="shared" si="2"/>
        <v/>
      </c>
      <c r="AF15" s="49" t="str">
        <f t="shared" si="2"/>
        <v/>
      </c>
      <c r="AG15" s="49" t="str">
        <f t="shared" si="2"/>
        <v/>
      </c>
      <c r="AH15" s="44">
        <f>SUM(AH13:AH14)</f>
        <v>0</v>
      </c>
      <c r="AI15" s="45">
        <f>SUM(AI13:AI14)</f>
        <v>1</v>
      </c>
      <c r="AJ15" s="45">
        <f>SUM(AJ13:AJ14)</f>
        <v>0</v>
      </c>
      <c r="AK15" s="45">
        <f>SUM(AK13:AK14)</f>
        <v>0</v>
      </c>
      <c r="AL15" s="45">
        <f>SUM(AL13:AL14)</f>
        <v>2.5</v>
      </c>
      <c r="AM15" s="50">
        <f>Juin!AM15</f>
        <v>0</v>
      </c>
      <c r="AN15" s="51">
        <f>IF(A14="","",IF(A14&gt;NomMois,0,IF(A14&lt;$A$3,2.08,(NETWORKDAYS(A14,$A$2)/21.66667)*2.08)))</f>
        <v>2.08</v>
      </c>
      <c r="AO15" s="51">
        <f>IF( AN15="",Septembre!AO15,+AN15+Septembre!AO15)</f>
        <v>10.23999970461543</v>
      </c>
      <c r="AP15" s="50"/>
      <c r="AQ15" s="45">
        <f>+AM15-AI15</f>
        <v>-1</v>
      </c>
      <c r="AR15" s="45">
        <f>+AP15-AJ15</f>
        <v>0</v>
      </c>
      <c r="AS15" s="102">
        <f>+AO15+AQ15</f>
        <v>9.2399997046154301</v>
      </c>
    </row>
    <row r="16" spans="1:45" s="63" customFormat="1" ht="6.75" customHeight="1" x14ac:dyDescent="0.25">
      <c r="A16" s="60"/>
      <c r="B16" s="42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  <c r="N16" s="64"/>
      <c r="O16" s="64"/>
      <c r="P16" s="64"/>
      <c r="Q16" s="64"/>
      <c r="R16" s="64"/>
      <c r="S16" s="64"/>
      <c r="T16" s="64"/>
      <c r="U16" s="64"/>
      <c r="V16" s="64"/>
      <c r="W16" s="64"/>
      <c r="X16" s="64"/>
      <c r="Y16" s="64"/>
      <c r="Z16" s="64"/>
      <c r="AA16" s="64"/>
      <c r="AB16" s="64"/>
      <c r="AC16" s="64"/>
      <c r="AD16" s="64"/>
      <c r="AE16" s="64"/>
      <c r="AF16" s="64"/>
      <c r="AG16" s="64"/>
      <c r="AH16" s="65"/>
      <c r="AI16" s="65"/>
      <c r="AJ16" s="65"/>
      <c r="AK16" s="65"/>
      <c r="AL16" s="65"/>
      <c r="AM16" s="64"/>
      <c r="AN16" s="61"/>
      <c r="AO16" s="65"/>
      <c r="AP16" s="64"/>
      <c r="AQ16" s="65"/>
      <c r="AR16" s="65"/>
      <c r="AS16" s="65"/>
    </row>
    <row r="17" spans="1:45" s="63" customFormat="1" ht="12.95" customHeight="1" x14ac:dyDescent="0.25">
      <c r="A17" s="41"/>
      <c r="B17" s="42" t="s">
        <v>15</v>
      </c>
      <c r="C17" s="67"/>
      <c r="D17" s="67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4">
        <f>COUNTA(Octobre!$C17:$AG17)</f>
        <v>0</v>
      </c>
      <c r="AI17" s="45">
        <f>(COUNTIFS(Octobre!$C17:$AG17,("cp")))/2+Septembre!AI17</f>
        <v>5</v>
      </c>
      <c r="AJ17" s="45">
        <f>COUNTIFS(Octobre!$C17:$AG17,"RTT")/2+Septembre!AJ17</f>
        <v>0</v>
      </c>
      <c r="AK17" s="45">
        <f>COUNTIFS(Octobre!$C17:$AG17,"m")/2+Septembre!AK17</f>
        <v>0</v>
      </c>
      <c r="AL17" s="45">
        <f>COUNTIFS(Octobre!$C17:$AG17,"a")/2+Septembre!AL17</f>
        <v>0</v>
      </c>
      <c r="AM17" s="46"/>
      <c r="AN17" s="47"/>
      <c r="AO17" s="47"/>
      <c r="AP17" s="46"/>
      <c r="AQ17" s="47"/>
      <c r="AR17" s="47"/>
      <c r="AS17" s="47"/>
    </row>
    <row r="18" spans="1:45" s="63" customFormat="1" ht="12.95" customHeight="1" x14ac:dyDescent="0.25">
      <c r="A18" s="48">
        <v>38923</v>
      </c>
      <c r="B18" s="42" t="s">
        <v>16</v>
      </c>
      <c r="C18" s="67"/>
      <c r="D18" s="67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3"/>
      <c r="AC18" s="43"/>
      <c r="AD18" s="43"/>
      <c r="AE18" s="43"/>
      <c r="AF18" s="43"/>
      <c r="AG18" s="43"/>
      <c r="AH18" s="44">
        <f>COUNTA(Octobre!$C18:$AG18)</f>
        <v>0</v>
      </c>
      <c r="AI18" s="45">
        <f>(COUNTIFS(Octobre!$C18:$AG18,("cp")))/2+Septembre!AI18</f>
        <v>5</v>
      </c>
      <c r="AJ18" s="45">
        <f>COUNTIFS(Octobre!$C18:$AG18,"RTT")/2+Septembre!AJ18</f>
        <v>0</v>
      </c>
      <c r="AK18" s="45">
        <f>COUNTIFS(Octobre!$C18:$AG18,"m")/2+Septembre!AK18</f>
        <v>0</v>
      </c>
      <c r="AL18" s="45">
        <f>COUNTIFS(Octobre!$C18:$AG18,"a")/2+Septembre!AL18</f>
        <v>0</v>
      </c>
      <c r="AM18" s="46"/>
      <c r="AN18" s="47"/>
      <c r="AO18" s="47"/>
      <c r="AP18" s="46"/>
      <c r="AQ18" s="47"/>
      <c r="AR18" s="47"/>
      <c r="AS18" s="101"/>
    </row>
    <row r="19" spans="1:45" s="63" customFormat="1" ht="12.95" customHeight="1" x14ac:dyDescent="0.25">
      <c r="A19" s="41"/>
      <c r="B19" s="42"/>
      <c r="C19" s="49" t="str">
        <f t="shared" ref="C19:AG19" si="3">IF(C17&gt;0,C17,IF(C18&gt;0,C18,""))</f>
        <v/>
      </c>
      <c r="D19" s="49" t="str">
        <f t="shared" si="3"/>
        <v/>
      </c>
      <c r="E19" s="49" t="str">
        <f t="shared" si="3"/>
        <v/>
      </c>
      <c r="F19" s="49" t="str">
        <f t="shared" si="3"/>
        <v/>
      </c>
      <c r="G19" s="49" t="str">
        <f t="shared" si="3"/>
        <v/>
      </c>
      <c r="H19" s="49" t="str">
        <f t="shared" si="3"/>
        <v/>
      </c>
      <c r="I19" s="49" t="str">
        <f t="shared" si="3"/>
        <v/>
      </c>
      <c r="J19" s="49" t="str">
        <f t="shared" si="3"/>
        <v/>
      </c>
      <c r="K19" s="49" t="str">
        <f t="shared" si="3"/>
        <v/>
      </c>
      <c r="L19" s="49" t="str">
        <f t="shared" si="3"/>
        <v/>
      </c>
      <c r="M19" s="49" t="str">
        <f t="shared" si="3"/>
        <v/>
      </c>
      <c r="N19" s="49" t="str">
        <f t="shared" si="3"/>
        <v/>
      </c>
      <c r="O19" s="49" t="str">
        <f t="shared" si="3"/>
        <v/>
      </c>
      <c r="P19" s="49" t="str">
        <f t="shared" si="3"/>
        <v/>
      </c>
      <c r="Q19" s="49" t="str">
        <f t="shared" si="3"/>
        <v/>
      </c>
      <c r="R19" s="49" t="str">
        <f t="shared" si="3"/>
        <v/>
      </c>
      <c r="S19" s="49" t="str">
        <f t="shared" si="3"/>
        <v/>
      </c>
      <c r="T19" s="49" t="str">
        <f t="shared" si="3"/>
        <v/>
      </c>
      <c r="U19" s="49" t="str">
        <f t="shared" si="3"/>
        <v/>
      </c>
      <c r="V19" s="49" t="str">
        <f t="shared" si="3"/>
        <v/>
      </c>
      <c r="W19" s="49" t="str">
        <f t="shared" si="3"/>
        <v/>
      </c>
      <c r="X19" s="49" t="str">
        <f t="shared" si="3"/>
        <v/>
      </c>
      <c r="Y19" s="49" t="str">
        <f t="shared" si="3"/>
        <v/>
      </c>
      <c r="Z19" s="49" t="str">
        <f t="shared" si="3"/>
        <v/>
      </c>
      <c r="AA19" s="49" t="str">
        <f t="shared" si="3"/>
        <v/>
      </c>
      <c r="AB19" s="49" t="str">
        <f t="shared" si="3"/>
        <v/>
      </c>
      <c r="AC19" s="49" t="str">
        <f t="shared" si="3"/>
        <v/>
      </c>
      <c r="AD19" s="49" t="str">
        <f t="shared" si="3"/>
        <v/>
      </c>
      <c r="AE19" s="49" t="str">
        <f t="shared" si="3"/>
        <v/>
      </c>
      <c r="AF19" s="49" t="str">
        <f t="shared" si="3"/>
        <v/>
      </c>
      <c r="AG19" s="49" t="str">
        <f t="shared" si="3"/>
        <v/>
      </c>
      <c r="AH19" s="44">
        <f>SUM(AH17:AH18)</f>
        <v>0</v>
      </c>
      <c r="AI19" s="45">
        <f>SUM(AI17:AI18)</f>
        <v>10</v>
      </c>
      <c r="AJ19" s="45">
        <f>SUM(AJ17:AJ18)</f>
        <v>0</v>
      </c>
      <c r="AK19" s="45">
        <f>SUM(AK17:AK18)</f>
        <v>0</v>
      </c>
      <c r="AL19" s="45">
        <f>SUM(AL17:AL18)</f>
        <v>0</v>
      </c>
      <c r="AM19" s="50">
        <f>Juin!AM19</f>
        <v>24.54</v>
      </c>
      <c r="AN19" s="51">
        <f>IF(A18="","",IF(A18&gt;NomMois,0,IF(A18&lt;$A$3,2.08,(NETWORKDAYS(A18,$A$2)/21.66667)*2.08)))</f>
        <v>2.08</v>
      </c>
      <c r="AO19" s="51">
        <f>IF( AN19="",Septembre!AO19,+AN19+Septembre!AO19)</f>
        <v>10.4</v>
      </c>
      <c r="AP19" s="50"/>
      <c r="AQ19" s="45">
        <f>+AM19-AI19</f>
        <v>14.54</v>
      </c>
      <c r="AR19" s="45">
        <f>+AP19-AJ19</f>
        <v>0</v>
      </c>
      <c r="AS19" s="102">
        <f t="shared" ref="AS19" si="4">+AO19+AQ19</f>
        <v>24.939999999999998</v>
      </c>
    </row>
    <row r="20" spans="1:45" s="63" customFormat="1" ht="6.75" customHeight="1" x14ac:dyDescent="0.25">
      <c r="A20" s="60"/>
      <c r="B20" s="53"/>
      <c r="C20" s="61"/>
      <c r="D20" s="61"/>
      <c r="E20" s="61"/>
      <c r="F20" s="61"/>
      <c r="G20" s="61"/>
      <c r="H20" s="61"/>
      <c r="I20" s="61"/>
      <c r="J20" s="61"/>
      <c r="K20" s="61"/>
      <c r="L20" s="61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  <c r="AA20" s="61"/>
      <c r="AB20" s="61"/>
      <c r="AC20" s="61"/>
      <c r="AD20" s="61"/>
      <c r="AE20" s="61"/>
      <c r="AF20" s="61"/>
      <c r="AG20" s="61"/>
      <c r="AH20" s="61"/>
      <c r="AI20" s="61"/>
      <c r="AJ20" s="61"/>
      <c r="AK20" s="61"/>
      <c r="AL20" s="61"/>
      <c r="AM20" s="60"/>
      <c r="AN20" s="61"/>
      <c r="AO20" s="61"/>
      <c r="AP20" s="60"/>
      <c r="AQ20" s="61"/>
      <c r="AR20" s="61"/>
      <c r="AS20" s="65"/>
    </row>
    <row r="21" spans="1:45" s="63" customFormat="1" ht="12.95" customHeight="1" x14ac:dyDescent="0.25">
      <c r="A21" s="41"/>
      <c r="B21" s="42" t="s">
        <v>15</v>
      </c>
      <c r="C21" s="67"/>
      <c r="D21" s="67" t="s">
        <v>10</v>
      </c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43"/>
      <c r="AC21" s="43"/>
      <c r="AD21" s="43"/>
      <c r="AE21" s="43"/>
      <c r="AF21" s="43"/>
      <c r="AG21" s="43"/>
      <c r="AH21" s="44">
        <f>COUNTA(Octobre!$C21:$AG21)</f>
        <v>1</v>
      </c>
      <c r="AI21" s="45">
        <f>(COUNTIFS(Octobre!$C21:$AG21,("cp")))/2+Septembre!AI21</f>
        <v>1</v>
      </c>
      <c r="AJ21" s="45">
        <f>COUNTIFS(Octobre!$C21:$AG21,"RTT")/2+Septembre!AJ21</f>
        <v>0</v>
      </c>
      <c r="AK21" s="45">
        <f>COUNTIFS(Octobre!$C21:$AG21,"m")/2+Septembre!AK21</f>
        <v>0</v>
      </c>
      <c r="AL21" s="45">
        <f>COUNTIFS(Octobre!$C21:$AG21,"a")/2+Septembre!AL21</f>
        <v>0.5</v>
      </c>
      <c r="AM21" s="46"/>
      <c r="AN21" s="47"/>
      <c r="AO21" s="47"/>
      <c r="AP21" s="46"/>
      <c r="AQ21" s="47"/>
      <c r="AR21" s="47"/>
      <c r="AS21" s="47"/>
    </row>
    <row r="22" spans="1:45" s="63" customFormat="1" ht="12.95" customHeight="1" x14ac:dyDescent="0.25">
      <c r="A22" s="48">
        <v>41824</v>
      </c>
      <c r="B22" s="42" t="s">
        <v>16</v>
      </c>
      <c r="C22" s="67"/>
      <c r="D22" s="67" t="s">
        <v>10</v>
      </c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43"/>
      <c r="AC22" s="43"/>
      <c r="AD22" s="43"/>
      <c r="AE22" s="43"/>
      <c r="AF22" s="43"/>
      <c r="AG22" s="43"/>
      <c r="AH22" s="44">
        <f>COUNTA(Octobre!$C22:$AG22)</f>
        <v>1</v>
      </c>
      <c r="AI22" s="45">
        <f>(COUNTIFS(Octobre!$C22:$AG22,("cp")))/2+Septembre!AI22</f>
        <v>1</v>
      </c>
      <c r="AJ22" s="45">
        <f>COUNTIFS(Octobre!$C22:$AG22,"RTT")/2+Septembre!AJ22</f>
        <v>0</v>
      </c>
      <c r="AK22" s="45">
        <f>COUNTIFS(Octobre!$C22:$AG22,"m")/2+Septembre!AK22</f>
        <v>0</v>
      </c>
      <c r="AL22" s="45">
        <f>COUNTIFS(Octobre!$C22:$AG22,"a")/2+Septembre!AL22</f>
        <v>0.5</v>
      </c>
      <c r="AM22" s="46"/>
      <c r="AN22" s="47"/>
      <c r="AO22" s="47"/>
      <c r="AP22" s="46"/>
      <c r="AQ22" s="47"/>
      <c r="AR22" s="47"/>
      <c r="AS22" s="101"/>
    </row>
    <row r="23" spans="1:45" s="63" customFormat="1" ht="12.95" customHeight="1" x14ac:dyDescent="0.25">
      <c r="A23" s="41"/>
      <c r="B23" s="42"/>
      <c r="C23" s="49" t="str">
        <f t="shared" ref="C23:AG23" si="5">IF(C21&gt;0,C21,IF(C22&gt;0,C22,""))</f>
        <v/>
      </c>
      <c r="D23" s="49" t="str">
        <f t="shared" si="5"/>
        <v>A</v>
      </c>
      <c r="E23" s="49" t="str">
        <f t="shared" si="5"/>
        <v/>
      </c>
      <c r="F23" s="49" t="str">
        <f t="shared" si="5"/>
        <v/>
      </c>
      <c r="G23" s="49" t="str">
        <f t="shared" si="5"/>
        <v/>
      </c>
      <c r="H23" s="49" t="str">
        <f t="shared" si="5"/>
        <v/>
      </c>
      <c r="I23" s="49" t="str">
        <f t="shared" si="5"/>
        <v/>
      </c>
      <c r="J23" s="49" t="str">
        <f t="shared" si="5"/>
        <v/>
      </c>
      <c r="K23" s="49" t="str">
        <f t="shared" si="5"/>
        <v/>
      </c>
      <c r="L23" s="49" t="str">
        <f t="shared" si="5"/>
        <v/>
      </c>
      <c r="M23" s="49" t="str">
        <f t="shared" si="5"/>
        <v/>
      </c>
      <c r="N23" s="49" t="str">
        <f t="shared" si="5"/>
        <v/>
      </c>
      <c r="O23" s="49" t="str">
        <f t="shared" si="5"/>
        <v/>
      </c>
      <c r="P23" s="49" t="str">
        <f t="shared" si="5"/>
        <v/>
      </c>
      <c r="Q23" s="49" t="str">
        <f t="shared" si="5"/>
        <v/>
      </c>
      <c r="R23" s="49" t="str">
        <f t="shared" si="5"/>
        <v/>
      </c>
      <c r="S23" s="49" t="str">
        <f t="shared" si="5"/>
        <v/>
      </c>
      <c r="T23" s="49" t="str">
        <f t="shared" si="5"/>
        <v/>
      </c>
      <c r="U23" s="49" t="str">
        <f t="shared" si="5"/>
        <v/>
      </c>
      <c r="V23" s="49" t="str">
        <f t="shared" si="5"/>
        <v/>
      </c>
      <c r="W23" s="49" t="str">
        <f t="shared" si="5"/>
        <v/>
      </c>
      <c r="X23" s="49" t="str">
        <f t="shared" si="5"/>
        <v/>
      </c>
      <c r="Y23" s="49" t="str">
        <f t="shared" si="5"/>
        <v/>
      </c>
      <c r="Z23" s="49" t="str">
        <f t="shared" si="5"/>
        <v/>
      </c>
      <c r="AA23" s="49" t="str">
        <f t="shared" si="5"/>
        <v/>
      </c>
      <c r="AB23" s="49" t="str">
        <f t="shared" si="5"/>
        <v/>
      </c>
      <c r="AC23" s="49" t="str">
        <f t="shared" si="5"/>
        <v/>
      </c>
      <c r="AD23" s="49" t="str">
        <f t="shared" si="5"/>
        <v/>
      </c>
      <c r="AE23" s="49" t="str">
        <f t="shared" si="5"/>
        <v/>
      </c>
      <c r="AF23" s="49" t="str">
        <f t="shared" si="5"/>
        <v/>
      </c>
      <c r="AG23" s="49" t="str">
        <f t="shared" si="5"/>
        <v/>
      </c>
      <c r="AH23" s="44">
        <f>SUM(AH21:AH22)</f>
        <v>2</v>
      </c>
      <c r="AI23" s="45">
        <f>SUM(AI21:AI22)</f>
        <v>2</v>
      </c>
      <c r="AJ23" s="45">
        <f>SUM(AJ21:AJ22)</f>
        <v>0</v>
      </c>
      <c r="AK23" s="45">
        <f>SUM(AK21:AK22)</f>
        <v>0</v>
      </c>
      <c r="AL23" s="45">
        <f>SUM(AL21:AL22)</f>
        <v>1</v>
      </c>
      <c r="AM23" s="50">
        <f>Juin!AM23</f>
        <v>11.23</v>
      </c>
      <c r="AN23" s="51">
        <f>IF(A22="","",IF(A22&gt;NomMois,0,IF(A22&lt;$A$3,2.08,(NETWORKDAYS(A22,$A$2)/21.66667)*2.08)))</f>
        <v>2.08</v>
      </c>
      <c r="AO23" s="51">
        <f>IF( AN23="",Septembre!AO23,+AN23+Septembre!AO23)</f>
        <v>10.4</v>
      </c>
      <c r="AP23" s="50"/>
      <c r="AQ23" s="45">
        <f>+AM23-AI23</f>
        <v>9.23</v>
      </c>
      <c r="AR23" s="45">
        <f>+AP23-AJ23</f>
        <v>0</v>
      </c>
      <c r="AS23" s="102">
        <f t="shared" ref="AS23" si="6">+AO23+AQ23</f>
        <v>19.630000000000003</v>
      </c>
    </row>
    <row r="24" spans="1:45" s="63" customFormat="1" ht="6.75" customHeight="1" x14ac:dyDescent="0.25">
      <c r="A24" s="60"/>
      <c r="B24" s="53"/>
      <c r="C24" s="60"/>
      <c r="D24" s="60"/>
      <c r="E24" s="60"/>
      <c r="F24" s="60"/>
      <c r="G24" s="60"/>
      <c r="H24" s="60"/>
      <c r="I24" s="60"/>
      <c r="J24" s="60"/>
      <c r="K24" s="60"/>
      <c r="L24" s="60"/>
      <c r="M24" s="60"/>
      <c r="N24" s="60"/>
      <c r="O24" s="60"/>
      <c r="P24" s="60"/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60"/>
      <c r="AD24" s="60"/>
      <c r="AE24" s="60"/>
      <c r="AF24" s="60"/>
      <c r="AG24" s="60"/>
      <c r="AH24" s="61"/>
      <c r="AI24" s="61"/>
      <c r="AJ24" s="61"/>
      <c r="AK24" s="61"/>
      <c r="AL24" s="61"/>
      <c r="AM24" s="60"/>
      <c r="AN24" s="61"/>
      <c r="AO24" s="61"/>
      <c r="AP24" s="60"/>
      <c r="AQ24" s="61"/>
      <c r="AR24" s="61"/>
      <c r="AS24" s="65"/>
    </row>
    <row r="25" spans="1:45" s="63" customFormat="1" ht="12.95" customHeight="1" x14ac:dyDescent="0.25">
      <c r="A25" s="41"/>
      <c r="B25" s="42" t="s">
        <v>15</v>
      </c>
      <c r="C25" s="67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  <c r="AA25" s="43"/>
      <c r="AB25" s="43"/>
      <c r="AC25" s="43"/>
      <c r="AD25" s="43"/>
      <c r="AE25" s="43"/>
      <c r="AF25" s="43"/>
      <c r="AG25" s="43"/>
      <c r="AH25" s="44">
        <f>COUNTA(Octobre!$C25:$AG25)</f>
        <v>0</v>
      </c>
      <c r="AI25" s="45">
        <f>(COUNTIFS(Octobre!$C25:$AG25,("cp")))/2+Septembre!AI25</f>
        <v>3.5</v>
      </c>
      <c r="AJ25" s="45">
        <f>COUNTIFS(Octobre!$C25:$AG25,"RTT")/2+Septembre!AJ25</f>
        <v>0</v>
      </c>
      <c r="AK25" s="45">
        <f>COUNTIFS(Octobre!$C25:$AG25,"m")/2+Septembre!AK25</f>
        <v>0</v>
      </c>
      <c r="AL25" s="45">
        <f>COUNTIFS(Octobre!$C25:$AG25,"a")/2+Septembre!AL25</f>
        <v>0</v>
      </c>
      <c r="AM25" s="46"/>
      <c r="AN25" s="47"/>
      <c r="AO25" s="47"/>
      <c r="AP25" s="46"/>
      <c r="AQ25" s="47"/>
      <c r="AR25" s="47"/>
      <c r="AS25" s="47"/>
    </row>
    <row r="26" spans="1:45" s="63" customFormat="1" ht="12.95" customHeight="1" x14ac:dyDescent="0.25">
      <c r="A26" s="48">
        <v>38626</v>
      </c>
      <c r="B26" s="42" t="s">
        <v>16</v>
      </c>
      <c r="C26" s="67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43"/>
      <c r="AB26" s="43"/>
      <c r="AC26" s="43"/>
      <c r="AD26" s="43"/>
      <c r="AE26" s="43"/>
      <c r="AF26" s="43"/>
      <c r="AG26" s="43"/>
      <c r="AH26" s="44">
        <f>COUNTA(Octobre!$C26:$AG26)</f>
        <v>0</v>
      </c>
      <c r="AI26" s="45">
        <f>(COUNTIFS(Octobre!$C26:$AG26,("cp")))/2+Septembre!AI26</f>
        <v>3.5</v>
      </c>
      <c r="AJ26" s="45">
        <f>COUNTIFS(Octobre!$C26:$AG26,"RTT")/2+Septembre!AJ26</f>
        <v>0</v>
      </c>
      <c r="AK26" s="45">
        <f>COUNTIFS(Octobre!$C26:$AG26,"m")/2+Septembre!AK26</f>
        <v>0</v>
      </c>
      <c r="AL26" s="45">
        <f>COUNTIFS(Octobre!$C26:$AG26,"a")/2+Septembre!AL26</f>
        <v>0</v>
      </c>
      <c r="AM26" s="46"/>
      <c r="AN26" s="47"/>
      <c r="AO26" s="47"/>
      <c r="AP26" s="46"/>
      <c r="AQ26" s="47"/>
      <c r="AR26" s="47"/>
      <c r="AS26" s="101"/>
    </row>
    <row r="27" spans="1:45" s="63" customFormat="1" ht="12.95" customHeight="1" x14ac:dyDescent="0.25">
      <c r="A27" s="41"/>
      <c r="B27" s="42"/>
      <c r="C27" s="49" t="str">
        <f t="shared" ref="C27:AG27" si="7">IF(C25&gt;0,C25,IF(C26&gt;0,C26,""))</f>
        <v/>
      </c>
      <c r="D27" s="49" t="str">
        <f t="shared" si="7"/>
        <v/>
      </c>
      <c r="E27" s="49" t="str">
        <f t="shared" si="7"/>
        <v/>
      </c>
      <c r="F27" s="49" t="str">
        <f t="shared" si="7"/>
        <v/>
      </c>
      <c r="G27" s="49" t="str">
        <f t="shared" si="7"/>
        <v/>
      </c>
      <c r="H27" s="49" t="str">
        <f t="shared" si="7"/>
        <v/>
      </c>
      <c r="I27" s="49" t="str">
        <f t="shared" si="7"/>
        <v/>
      </c>
      <c r="J27" s="49" t="str">
        <f t="shared" si="7"/>
        <v/>
      </c>
      <c r="K27" s="49" t="str">
        <f t="shared" si="7"/>
        <v/>
      </c>
      <c r="L27" s="49" t="str">
        <f t="shared" si="7"/>
        <v/>
      </c>
      <c r="M27" s="49" t="str">
        <f t="shared" si="7"/>
        <v/>
      </c>
      <c r="N27" s="49" t="str">
        <f t="shared" si="7"/>
        <v/>
      </c>
      <c r="O27" s="49" t="str">
        <f t="shared" si="7"/>
        <v/>
      </c>
      <c r="P27" s="49" t="str">
        <f t="shared" si="7"/>
        <v/>
      </c>
      <c r="Q27" s="49" t="str">
        <f t="shared" si="7"/>
        <v/>
      </c>
      <c r="R27" s="49" t="str">
        <f t="shared" si="7"/>
        <v/>
      </c>
      <c r="S27" s="49" t="str">
        <f t="shared" si="7"/>
        <v/>
      </c>
      <c r="T27" s="49" t="str">
        <f t="shared" si="7"/>
        <v/>
      </c>
      <c r="U27" s="49" t="str">
        <f t="shared" si="7"/>
        <v/>
      </c>
      <c r="V27" s="49" t="str">
        <f t="shared" si="7"/>
        <v/>
      </c>
      <c r="W27" s="49" t="str">
        <f t="shared" si="7"/>
        <v/>
      </c>
      <c r="X27" s="49" t="str">
        <f t="shared" si="7"/>
        <v/>
      </c>
      <c r="Y27" s="49" t="str">
        <f t="shared" si="7"/>
        <v/>
      </c>
      <c r="Z27" s="49" t="str">
        <f t="shared" si="7"/>
        <v/>
      </c>
      <c r="AA27" s="49" t="str">
        <f t="shared" si="7"/>
        <v/>
      </c>
      <c r="AB27" s="49" t="str">
        <f t="shared" si="7"/>
        <v/>
      </c>
      <c r="AC27" s="49" t="str">
        <f t="shared" si="7"/>
        <v/>
      </c>
      <c r="AD27" s="49" t="str">
        <f t="shared" si="7"/>
        <v/>
      </c>
      <c r="AE27" s="49" t="str">
        <f t="shared" si="7"/>
        <v/>
      </c>
      <c r="AF27" s="49" t="str">
        <f t="shared" si="7"/>
        <v/>
      </c>
      <c r="AG27" s="49" t="str">
        <f t="shared" si="7"/>
        <v/>
      </c>
      <c r="AH27" s="44">
        <f>SUM(AH25:AH26)</f>
        <v>0</v>
      </c>
      <c r="AI27" s="45">
        <f>SUM(AI25:AI26)</f>
        <v>7</v>
      </c>
      <c r="AJ27" s="45">
        <f>SUM(AJ25:AJ26)</f>
        <v>0</v>
      </c>
      <c r="AK27" s="45">
        <f>SUM(AK25:AK26)</f>
        <v>0</v>
      </c>
      <c r="AL27" s="45">
        <f>SUM(AL25:AL26)</f>
        <v>0</v>
      </c>
      <c r="AM27" s="50">
        <f>Juin!AM27</f>
        <v>28.7</v>
      </c>
      <c r="AN27" s="51">
        <f>IF(A26="","",IF(A26&gt;NomMois,0,IF(A26&lt;$A$3,2.08,(NETWORKDAYS(A26,$A$2)/21.66667)*2.08)))</f>
        <v>2.08</v>
      </c>
      <c r="AO27" s="51">
        <f>IF( AN27="",Septembre!AO27,+AN27+Septembre!AO27)</f>
        <v>10.4</v>
      </c>
      <c r="AP27" s="50"/>
      <c r="AQ27" s="45">
        <f>+AM27-AI27</f>
        <v>21.7</v>
      </c>
      <c r="AR27" s="45">
        <f>+AP27-AJ27</f>
        <v>0</v>
      </c>
      <c r="AS27" s="102">
        <f t="shared" ref="AS27" si="8">+AO27+AQ27</f>
        <v>32.1</v>
      </c>
    </row>
    <row r="28" spans="1:45" s="63" customFormat="1" ht="6.75" customHeight="1" x14ac:dyDescent="0.25">
      <c r="A28" s="60"/>
      <c r="B28" s="53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1"/>
      <c r="AI28" s="61"/>
      <c r="AJ28" s="61"/>
      <c r="AK28" s="61"/>
      <c r="AL28" s="61"/>
      <c r="AM28" s="60"/>
      <c r="AN28" s="61"/>
      <c r="AO28" s="61"/>
      <c r="AP28" s="60"/>
      <c r="AQ28" s="61"/>
      <c r="AR28" s="61"/>
      <c r="AS28" s="65"/>
    </row>
    <row r="29" spans="1:45" s="63" customFormat="1" ht="12.95" customHeight="1" x14ac:dyDescent="0.25">
      <c r="A29" s="41"/>
      <c r="B29" s="42" t="s">
        <v>15</v>
      </c>
      <c r="C29" s="67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4">
        <f>COUNTA(Octobre!$C29:$AG29)</f>
        <v>0</v>
      </c>
      <c r="AI29" s="45">
        <f>(COUNTIFS(Octobre!$C29:$AG29,("cp")))/2+Septembre!AI29</f>
        <v>7.5</v>
      </c>
      <c r="AJ29" s="45">
        <f>COUNTIFS(Octobre!$C29:$AG29,"RTT")/2+Septembre!AJ29</f>
        <v>0</v>
      </c>
      <c r="AK29" s="45">
        <f>COUNTIFS(Octobre!$C29:$AG29,"m")/2+Septembre!AK29</f>
        <v>0</v>
      </c>
      <c r="AL29" s="45">
        <f>COUNTIFS(Octobre!$C29:$AG29,"a")/2+Septembre!AL29</f>
        <v>0</v>
      </c>
      <c r="AM29" s="46"/>
      <c r="AN29" s="47"/>
      <c r="AO29" s="47"/>
      <c r="AP29" s="46"/>
      <c r="AQ29" s="47"/>
      <c r="AR29" s="47"/>
      <c r="AS29" s="47"/>
    </row>
    <row r="30" spans="1:45" s="63" customFormat="1" ht="12.95" customHeight="1" x14ac:dyDescent="0.25">
      <c r="A30" s="48">
        <v>36892</v>
      </c>
      <c r="B30" s="42" t="s">
        <v>16</v>
      </c>
      <c r="C30" s="67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4">
        <f>COUNTA(Octobre!$C30:$AG30)</f>
        <v>0</v>
      </c>
      <c r="AI30" s="45">
        <f>(COUNTIFS(Octobre!$C30:$AG30,("cp")))/2+Septembre!AI30</f>
        <v>8</v>
      </c>
      <c r="AJ30" s="45">
        <f>COUNTIFS(Octobre!$C30:$AG30,"RTT")/2+Septembre!AJ30</f>
        <v>0</v>
      </c>
      <c r="AK30" s="45">
        <f>COUNTIFS(Octobre!$C30:$AG30,"m")/2+Septembre!AK30</f>
        <v>0</v>
      </c>
      <c r="AL30" s="45">
        <f>COUNTIFS(Octobre!$C30:$AG30,"a")/2+Septembre!AL30</f>
        <v>0</v>
      </c>
      <c r="AM30" s="46"/>
      <c r="AN30" s="47"/>
      <c r="AO30" s="47"/>
      <c r="AP30" s="46"/>
      <c r="AQ30" s="47"/>
      <c r="AR30" s="47"/>
      <c r="AS30" s="101"/>
    </row>
    <row r="31" spans="1:45" s="63" customFormat="1" ht="12.95" customHeight="1" x14ac:dyDescent="0.25">
      <c r="A31" s="41"/>
      <c r="B31" s="42"/>
      <c r="C31" s="49" t="str">
        <f t="shared" ref="C31:AG31" si="9">IF(C29&gt;0,C29,IF(C30&gt;0,C30,""))</f>
        <v/>
      </c>
      <c r="D31" s="49" t="str">
        <f t="shared" si="9"/>
        <v/>
      </c>
      <c r="E31" s="49" t="str">
        <f t="shared" si="9"/>
        <v/>
      </c>
      <c r="F31" s="49" t="str">
        <f t="shared" si="9"/>
        <v/>
      </c>
      <c r="G31" s="49" t="str">
        <f t="shared" si="9"/>
        <v/>
      </c>
      <c r="H31" s="49" t="str">
        <f t="shared" si="9"/>
        <v/>
      </c>
      <c r="I31" s="49" t="str">
        <f t="shared" si="9"/>
        <v/>
      </c>
      <c r="J31" s="49" t="str">
        <f t="shared" si="9"/>
        <v/>
      </c>
      <c r="K31" s="49" t="str">
        <f t="shared" si="9"/>
        <v/>
      </c>
      <c r="L31" s="49" t="str">
        <f t="shared" si="9"/>
        <v/>
      </c>
      <c r="M31" s="49" t="str">
        <f t="shared" si="9"/>
        <v/>
      </c>
      <c r="N31" s="49" t="str">
        <f t="shared" si="9"/>
        <v/>
      </c>
      <c r="O31" s="49" t="str">
        <f t="shared" si="9"/>
        <v/>
      </c>
      <c r="P31" s="49" t="str">
        <f t="shared" si="9"/>
        <v/>
      </c>
      <c r="Q31" s="49" t="str">
        <f t="shared" si="9"/>
        <v/>
      </c>
      <c r="R31" s="49" t="str">
        <f t="shared" si="9"/>
        <v/>
      </c>
      <c r="S31" s="49" t="str">
        <f t="shared" si="9"/>
        <v/>
      </c>
      <c r="T31" s="49" t="str">
        <f t="shared" si="9"/>
        <v/>
      </c>
      <c r="U31" s="49" t="str">
        <f t="shared" si="9"/>
        <v/>
      </c>
      <c r="V31" s="49" t="str">
        <f t="shared" si="9"/>
        <v/>
      </c>
      <c r="W31" s="49" t="str">
        <f t="shared" si="9"/>
        <v/>
      </c>
      <c r="X31" s="49" t="str">
        <f t="shared" si="9"/>
        <v/>
      </c>
      <c r="Y31" s="49" t="str">
        <f t="shared" si="9"/>
        <v/>
      </c>
      <c r="Z31" s="49" t="str">
        <f t="shared" si="9"/>
        <v/>
      </c>
      <c r="AA31" s="49" t="str">
        <f t="shared" si="9"/>
        <v/>
      </c>
      <c r="AB31" s="49" t="str">
        <f t="shared" si="9"/>
        <v/>
      </c>
      <c r="AC31" s="49" t="str">
        <f t="shared" si="9"/>
        <v/>
      </c>
      <c r="AD31" s="49" t="str">
        <f t="shared" si="9"/>
        <v/>
      </c>
      <c r="AE31" s="49" t="str">
        <f t="shared" si="9"/>
        <v/>
      </c>
      <c r="AF31" s="49" t="str">
        <f t="shared" si="9"/>
        <v/>
      </c>
      <c r="AG31" s="49" t="str">
        <f t="shared" si="9"/>
        <v/>
      </c>
      <c r="AH31" s="44">
        <f>SUM(AH29:AH30)</f>
        <v>0</v>
      </c>
      <c r="AI31" s="45">
        <f>SUM(AI29:AI30)</f>
        <v>15.5</v>
      </c>
      <c r="AJ31" s="45">
        <f>SUM(AJ29:AJ30)</f>
        <v>0</v>
      </c>
      <c r="AK31" s="45">
        <f>SUM(AK29:AK30)</f>
        <v>0</v>
      </c>
      <c r="AL31" s="45">
        <f>SUM(AL29:AL30)</f>
        <v>0</v>
      </c>
      <c r="AM31" s="50">
        <f>Juin!AM31</f>
        <v>30.37</v>
      </c>
      <c r="AN31" s="51">
        <f>IF(A30="","",IF(A30&gt;NomMois,0,IF(A30&lt;$A$3,2.08,(NETWORKDAYS(A30,$A$2)/21.66667)*2.08)))</f>
        <v>2.08</v>
      </c>
      <c r="AO31" s="51">
        <f>IF( AN31="",Septembre!AO31,+AN31+Septembre!AO31)</f>
        <v>10.4</v>
      </c>
      <c r="AP31" s="50"/>
      <c r="AQ31" s="45">
        <f>+AM31-AI31</f>
        <v>14.870000000000001</v>
      </c>
      <c r="AR31" s="45">
        <f>+AP31-AJ31</f>
        <v>0</v>
      </c>
      <c r="AS31" s="102">
        <f t="shared" ref="AS31:AS91" si="10">+AO31+AQ31</f>
        <v>25.270000000000003</v>
      </c>
    </row>
    <row r="32" spans="1:45" s="63" customFormat="1" ht="6.75" customHeight="1" x14ac:dyDescent="0.25">
      <c r="A32" s="60"/>
      <c r="B32" s="53"/>
      <c r="C32" s="60"/>
      <c r="D32" s="60"/>
      <c r="E32" s="60"/>
      <c r="F32" s="60"/>
      <c r="G32" s="60"/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1"/>
      <c r="AI32" s="61"/>
      <c r="AJ32" s="61"/>
      <c r="AK32" s="61"/>
      <c r="AL32" s="61"/>
      <c r="AM32" s="60"/>
      <c r="AN32" s="61" t="str">
        <f>IF(A31="","",IF(A31&gt;NomMois,0,IF(A31&lt;$A$3,2.08,(NETWORKDAYS(A31,$A$2)/21.66667)*2.08)))</f>
        <v/>
      </c>
      <c r="AO32" s="61">
        <f>IF( AN32="",0,+AN32+Septembre!AO32)</f>
        <v>0</v>
      </c>
      <c r="AP32" s="60"/>
      <c r="AQ32" s="69"/>
      <c r="AR32" s="69"/>
      <c r="AS32" s="65"/>
    </row>
    <row r="33" spans="1:45" s="63" customFormat="1" ht="12.95" customHeight="1" x14ac:dyDescent="0.25">
      <c r="A33" s="41"/>
      <c r="B33" s="42" t="s">
        <v>15</v>
      </c>
      <c r="C33" s="67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4">
        <f>COUNTA(Octobre!$C33:$AG33)</f>
        <v>0</v>
      </c>
      <c r="AI33" s="45">
        <f>(COUNTIFS(Octobre!$C33:$AG33,("cp")))/2+Septembre!AI33</f>
        <v>8</v>
      </c>
      <c r="AJ33" s="45">
        <f>COUNTIFS(Octobre!$C33:$AG33,"RTT")/2+Septembre!AJ33</f>
        <v>0</v>
      </c>
      <c r="AK33" s="45">
        <f>COUNTIFS(Octobre!$C33:$AG33,"m")/2+Septembre!AK33</f>
        <v>0</v>
      </c>
      <c r="AL33" s="45">
        <f>COUNTIFS(Octobre!$C33:$AG33,"a")/2+Septembre!AL33</f>
        <v>0</v>
      </c>
      <c r="AM33" s="46"/>
      <c r="AN33" s="47"/>
      <c r="AO33" s="47"/>
      <c r="AP33" s="46"/>
      <c r="AQ33" s="47"/>
      <c r="AR33" s="47"/>
      <c r="AS33" s="47"/>
    </row>
    <row r="34" spans="1:45" s="63" customFormat="1" ht="12.95" customHeight="1" x14ac:dyDescent="0.25">
      <c r="A34" s="48">
        <v>42110</v>
      </c>
      <c r="B34" s="42" t="s">
        <v>16</v>
      </c>
      <c r="C34" s="67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3"/>
      <c r="AE34" s="43"/>
      <c r="AF34" s="43"/>
      <c r="AG34" s="43"/>
      <c r="AH34" s="44">
        <f>COUNTA(Octobre!$C34:$AG34)</f>
        <v>0</v>
      </c>
      <c r="AI34" s="45">
        <f>(COUNTIFS(Octobre!$C34:$AG34,("cp")))/2+Septembre!AI34</f>
        <v>8</v>
      </c>
      <c r="AJ34" s="45">
        <f>COUNTIFS(Octobre!$C34:$AG34,"RTT")/2+Septembre!AJ34</f>
        <v>0</v>
      </c>
      <c r="AK34" s="45">
        <f>COUNTIFS(Octobre!$C34:$AG34,"m")/2+Septembre!AK34</f>
        <v>0</v>
      </c>
      <c r="AL34" s="45">
        <f>COUNTIFS(Octobre!$C34:$AG34,"a")/2+Septembre!AL34</f>
        <v>0</v>
      </c>
      <c r="AM34" s="46"/>
      <c r="AN34" s="47"/>
      <c r="AO34" s="47"/>
      <c r="AP34" s="46"/>
      <c r="AQ34" s="47"/>
      <c r="AR34" s="47"/>
      <c r="AS34" s="101"/>
    </row>
    <row r="35" spans="1:45" s="63" customFormat="1" ht="12.95" customHeight="1" x14ac:dyDescent="0.25">
      <c r="A35" s="41"/>
      <c r="B35" s="42"/>
      <c r="C35" s="49" t="str">
        <f t="shared" ref="C35:AG35" si="11">IF(C33&gt;0,C33,IF(C34&gt;0,C34,""))</f>
        <v/>
      </c>
      <c r="D35" s="49" t="str">
        <f t="shared" si="11"/>
        <v/>
      </c>
      <c r="E35" s="49" t="str">
        <f t="shared" si="11"/>
        <v/>
      </c>
      <c r="F35" s="49" t="str">
        <f t="shared" si="11"/>
        <v/>
      </c>
      <c r="G35" s="49" t="str">
        <f t="shared" si="11"/>
        <v/>
      </c>
      <c r="H35" s="49" t="str">
        <f t="shared" si="11"/>
        <v/>
      </c>
      <c r="I35" s="49" t="str">
        <f t="shared" si="11"/>
        <v/>
      </c>
      <c r="J35" s="49" t="str">
        <f t="shared" si="11"/>
        <v/>
      </c>
      <c r="K35" s="49" t="str">
        <f t="shared" si="11"/>
        <v/>
      </c>
      <c r="L35" s="49" t="str">
        <f t="shared" si="11"/>
        <v/>
      </c>
      <c r="M35" s="49" t="str">
        <f t="shared" si="11"/>
        <v/>
      </c>
      <c r="N35" s="49" t="str">
        <f t="shared" si="11"/>
        <v/>
      </c>
      <c r="O35" s="49" t="str">
        <f t="shared" si="11"/>
        <v/>
      </c>
      <c r="P35" s="49" t="str">
        <f t="shared" si="11"/>
        <v/>
      </c>
      <c r="Q35" s="49" t="str">
        <f t="shared" si="11"/>
        <v/>
      </c>
      <c r="R35" s="49" t="str">
        <f t="shared" si="11"/>
        <v/>
      </c>
      <c r="S35" s="49" t="str">
        <f t="shared" si="11"/>
        <v/>
      </c>
      <c r="T35" s="49" t="str">
        <f t="shared" si="11"/>
        <v/>
      </c>
      <c r="U35" s="49" t="str">
        <f t="shared" si="11"/>
        <v/>
      </c>
      <c r="V35" s="49" t="str">
        <f t="shared" si="11"/>
        <v/>
      </c>
      <c r="W35" s="49" t="str">
        <f t="shared" si="11"/>
        <v/>
      </c>
      <c r="X35" s="49" t="str">
        <f t="shared" si="11"/>
        <v/>
      </c>
      <c r="Y35" s="49" t="str">
        <f t="shared" si="11"/>
        <v/>
      </c>
      <c r="Z35" s="49" t="str">
        <f t="shared" si="11"/>
        <v/>
      </c>
      <c r="AA35" s="49" t="str">
        <f t="shared" si="11"/>
        <v/>
      </c>
      <c r="AB35" s="49" t="str">
        <f t="shared" si="11"/>
        <v/>
      </c>
      <c r="AC35" s="49" t="str">
        <f t="shared" si="11"/>
        <v/>
      </c>
      <c r="AD35" s="49" t="str">
        <f t="shared" si="11"/>
        <v/>
      </c>
      <c r="AE35" s="49" t="str">
        <f t="shared" si="11"/>
        <v/>
      </c>
      <c r="AF35" s="49" t="str">
        <f t="shared" si="11"/>
        <v/>
      </c>
      <c r="AG35" s="49" t="str">
        <f t="shared" si="11"/>
        <v/>
      </c>
      <c r="AH35" s="44">
        <f>SUM(AH33:AH34)</f>
        <v>0</v>
      </c>
      <c r="AI35" s="45">
        <f>SUM(AI33:AI34)</f>
        <v>16</v>
      </c>
      <c r="AJ35" s="45">
        <f>SUM(AJ33:AJ34)</f>
        <v>0</v>
      </c>
      <c r="AK35" s="45">
        <f>SUM(AK33:AK34)</f>
        <v>0</v>
      </c>
      <c r="AL35" s="45">
        <f>SUM(AL33:AL34)</f>
        <v>0</v>
      </c>
      <c r="AM35" s="50">
        <f>Juin!AM35</f>
        <v>14.56</v>
      </c>
      <c r="AN35" s="51">
        <f>IF(A34="","",IF(A34&gt;NomMois,0,IF(A34&lt;$A$3,2.08,(NETWORKDAYS(A34,$A$2)/21.66667)*2.08)))</f>
        <v>2.08</v>
      </c>
      <c r="AO35" s="51">
        <f>IF( AN35="",Septembre!AO35,+AN35+Septembre!AO35)</f>
        <v>10.4</v>
      </c>
      <c r="AP35" s="50"/>
      <c r="AQ35" s="45">
        <f>+AM35-AI35</f>
        <v>-1.4399999999999995</v>
      </c>
      <c r="AR35" s="45">
        <f>+AP35-AJ35</f>
        <v>0</v>
      </c>
      <c r="AS35" s="102">
        <f t="shared" si="10"/>
        <v>8.9600000000000009</v>
      </c>
    </row>
    <row r="36" spans="1:45" s="63" customFormat="1" ht="6.75" customHeight="1" x14ac:dyDescent="0.25">
      <c r="A36" s="60"/>
      <c r="B36" s="53"/>
      <c r="C36" s="60"/>
      <c r="D36" s="60"/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0"/>
      <c r="Z36" s="60"/>
      <c r="AA36" s="60"/>
      <c r="AB36" s="60"/>
      <c r="AC36" s="60"/>
      <c r="AD36" s="60"/>
      <c r="AE36" s="60"/>
      <c r="AF36" s="60"/>
      <c r="AG36" s="60"/>
      <c r="AH36" s="61"/>
      <c r="AI36" s="61"/>
      <c r="AJ36" s="61"/>
      <c r="AK36" s="61"/>
      <c r="AL36" s="61"/>
      <c r="AM36" s="60"/>
      <c r="AN36" s="61"/>
      <c r="AO36" s="61"/>
      <c r="AP36" s="60"/>
      <c r="AQ36" s="61"/>
      <c r="AR36" s="61"/>
      <c r="AS36" s="65"/>
    </row>
    <row r="37" spans="1:45" s="63" customFormat="1" ht="12.95" customHeight="1" x14ac:dyDescent="0.25">
      <c r="A37" s="41"/>
      <c r="B37" s="42" t="s">
        <v>15</v>
      </c>
      <c r="C37" s="67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  <c r="AB37" s="43"/>
      <c r="AC37" s="43"/>
      <c r="AD37" s="43"/>
      <c r="AE37" s="43"/>
      <c r="AF37" s="43"/>
      <c r="AG37" s="43"/>
      <c r="AH37" s="44">
        <f>COUNTA(Octobre!$C37:$AG37)</f>
        <v>0</v>
      </c>
      <c r="AI37" s="45">
        <f>(COUNTIFS(Octobre!$C37:$AG37,("cp")))/2+Septembre!AI37</f>
        <v>5.5</v>
      </c>
      <c r="AJ37" s="45">
        <f>COUNTIFS(Octobre!$C37:$AG37,"RTT")/2+Septembre!AJ37</f>
        <v>0</v>
      </c>
      <c r="AK37" s="45">
        <f>COUNTIFS(Octobre!$C37:$AG37,"m")/2+Septembre!AK37</f>
        <v>0</v>
      </c>
      <c r="AL37" s="45">
        <f>COUNTIFS(Octobre!$C37:$AG37,"a")/2+Septembre!AL37</f>
        <v>0</v>
      </c>
      <c r="AM37" s="46"/>
      <c r="AN37" s="47"/>
      <c r="AO37" s="47"/>
      <c r="AP37" s="46"/>
      <c r="AQ37" s="47"/>
      <c r="AR37" s="47"/>
      <c r="AS37" s="47"/>
    </row>
    <row r="38" spans="1:45" s="63" customFormat="1" ht="12.95" customHeight="1" x14ac:dyDescent="0.25">
      <c r="A38" s="48">
        <v>42373</v>
      </c>
      <c r="B38" s="42" t="s">
        <v>16</v>
      </c>
      <c r="C38" s="67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4">
        <f>COUNTA(Octobre!$C38:$AG38)</f>
        <v>0</v>
      </c>
      <c r="AI38" s="45">
        <f>(COUNTIFS(Octobre!$C38:$AG38,("cp")))/2+Septembre!AI38</f>
        <v>5.5</v>
      </c>
      <c r="AJ38" s="45">
        <f>COUNTIFS(Octobre!$C38:$AG38,"RTT")/2+Septembre!AJ38</f>
        <v>0</v>
      </c>
      <c r="AK38" s="45">
        <f>COUNTIFS(Octobre!$C38:$AG38,"m")/2+Septembre!AK38</f>
        <v>0</v>
      </c>
      <c r="AL38" s="45">
        <f>COUNTIFS(Octobre!$C38:$AG38,"a")/2+Septembre!AL38</f>
        <v>0</v>
      </c>
      <c r="AM38" s="46"/>
      <c r="AN38" s="47"/>
      <c r="AO38" s="47"/>
      <c r="AP38" s="46"/>
      <c r="AQ38" s="47"/>
      <c r="AR38" s="47"/>
      <c r="AS38" s="101"/>
    </row>
    <row r="39" spans="1:45" s="63" customFormat="1" ht="12.95" customHeight="1" x14ac:dyDescent="0.25">
      <c r="A39" s="41"/>
      <c r="B39" s="42"/>
      <c r="C39" s="49" t="str">
        <f t="shared" ref="C39:AG39" si="12">IF(C37&gt;0,C37,IF(C38&gt;0,C38,""))</f>
        <v/>
      </c>
      <c r="D39" s="49" t="str">
        <f t="shared" si="12"/>
        <v/>
      </c>
      <c r="E39" s="49" t="str">
        <f t="shared" si="12"/>
        <v/>
      </c>
      <c r="F39" s="49" t="str">
        <f t="shared" si="12"/>
        <v/>
      </c>
      <c r="G39" s="49" t="str">
        <f t="shared" si="12"/>
        <v/>
      </c>
      <c r="H39" s="49" t="str">
        <f t="shared" si="12"/>
        <v/>
      </c>
      <c r="I39" s="49" t="str">
        <f t="shared" si="12"/>
        <v/>
      </c>
      <c r="J39" s="49" t="str">
        <f t="shared" si="12"/>
        <v/>
      </c>
      <c r="K39" s="49" t="str">
        <f t="shared" si="12"/>
        <v/>
      </c>
      <c r="L39" s="49" t="str">
        <f t="shared" si="12"/>
        <v/>
      </c>
      <c r="M39" s="49" t="str">
        <f t="shared" si="12"/>
        <v/>
      </c>
      <c r="N39" s="49" t="str">
        <f t="shared" si="12"/>
        <v/>
      </c>
      <c r="O39" s="49" t="str">
        <f t="shared" si="12"/>
        <v/>
      </c>
      <c r="P39" s="49" t="str">
        <f t="shared" si="12"/>
        <v/>
      </c>
      <c r="Q39" s="49" t="str">
        <f t="shared" si="12"/>
        <v/>
      </c>
      <c r="R39" s="49" t="str">
        <f t="shared" si="12"/>
        <v/>
      </c>
      <c r="S39" s="49" t="str">
        <f t="shared" si="12"/>
        <v/>
      </c>
      <c r="T39" s="49" t="str">
        <f t="shared" si="12"/>
        <v/>
      </c>
      <c r="U39" s="49" t="str">
        <f t="shared" si="12"/>
        <v/>
      </c>
      <c r="V39" s="49" t="str">
        <f t="shared" si="12"/>
        <v/>
      </c>
      <c r="W39" s="49" t="str">
        <f t="shared" si="12"/>
        <v/>
      </c>
      <c r="X39" s="49" t="str">
        <f t="shared" si="12"/>
        <v/>
      </c>
      <c r="Y39" s="49" t="str">
        <f t="shared" si="12"/>
        <v/>
      </c>
      <c r="Z39" s="49" t="str">
        <f t="shared" si="12"/>
        <v/>
      </c>
      <c r="AA39" s="49" t="str">
        <f t="shared" si="12"/>
        <v/>
      </c>
      <c r="AB39" s="49" t="str">
        <f t="shared" si="12"/>
        <v/>
      </c>
      <c r="AC39" s="49" t="str">
        <f t="shared" si="12"/>
        <v/>
      </c>
      <c r="AD39" s="49" t="str">
        <f t="shared" si="12"/>
        <v/>
      </c>
      <c r="AE39" s="49" t="str">
        <f t="shared" si="12"/>
        <v/>
      </c>
      <c r="AF39" s="49" t="str">
        <f t="shared" si="12"/>
        <v/>
      </c>
      <c r="AG39" s="49" t="str">
        <f t="shared" si="12"/>
        <v/>
      </c>
      <c r="AH39" s="44">
        <f>SUM(AH37:AH38)</f>
        <v>0</v>
      </c>
      <c r="AI39" s="45">
        <f>SUM(AI37:AI38)</f>
        <v>11</v>
      </c>
      <c r="AJ39" s="45">
        <f>SUM(AJ37:AJ38)</f>
        <v>0</v>
      </c>
      <c r="AK39" s="45">
        <f>SUM(AK37:AK38)</f>
        <v>0</v>
      </c>
      <c r="AL39" s="45">
        <f>SUM(AL37:AL38)</f>
        <v>0</v>
      </c>
      <c r="AM39" s="50">
        <f>Juin!AM39</f>
        <v>14.14</v>
      </c>
      <c r="AN39" s="51">
        <f>IF(A38="","",IF(A38&gt;NomMois,0,IF(A38&lt;$A$3,2.08,(NETWORKDAYS(A38,$A$2)/21.66667)*2.08)))</f>
        <v>2.08</v>
      </c>
      <c r="AO39" s="51">
        <f>IF( AN39="",Septembre!AO39,+AN39+Septembre!AO39)</f>
        <v>10.4</v>
      </c>
      <c r="AP39" s="50"/>
      <c r="AQ39" s="45">
        <f>+AM39-AI39</f>
        <v>3.1400000000000006</v>
      </c>
      <c r="AR39" s="45">
        <f>+AP39-AJ39</f>
        <v>0</v>
      </c>
      <c r="AS39" s="102">
        <f t="shared" si="10"/>
        <v>13.540000000000001</v>
      </c>
    </row>
    <row r="40" spans="1:45" s="63" customFormat="1" ht="6.75" customHeight="1" x14ac:dyDescent="0.25">
      <c r="A40" s="60"/>
      <c r="B40" s="53"/>
      <c r="C40" s="60"/>
      <c r="D40" s="60"/>
      <c r="E40" s="60"/>
      <c r="F40" s="60"/>
      <c r="G40" s="60"/>
      <c r="H40" s="60"/>
      <c r="I40" s="60"/>
      <c r="J40" s="60"/>
      <c r="K40" s="60"/>
      <c r="L40" s="60"/>
      <c r="M40" s="60"/>
      <c r="N40" s="60"/>
      <c r="O40" s="60"/>
      <c r="P40" s="60"/>
      <c r="Q40" s="60"/>
      <c r="R40" s="60"/>
      <c r="S40" s="60"/>
      <c r="T40" s="60"/>
      <c r="U40" s="60"/>
      <c r="V40" s="60"/>
      <c r="W40" s="60"/>
      <c r="X40" s="60"/>
      <c r="Y40" s="60"/>
      <c r="Z40" s="60"/>
      <c r="AA40" s="60"/>
      <c r="AB40" s="60"/>
      <c r="AC40" s="60"/>
      <c r="AD40" s="60"/>
      <c r="AE40" s="60"/>
      <c r="AF40" s="60"/>
      <c r="AG40" s="60"/>
      <c r="AH40" s="61"/>
      <c r="AI40" s="61"/>
      <c r="AJ40" s="61"/>
      <c r="AK40" s="61"/>
      <c r="AL40" s="61"/>
      <c r="AM40" s="60"/>
      <c r="AN40" s="61"/>
      <c r="AO40" s="61"/>
      <c r="AP40" s="60"/>
      <c r="AQ40" s="61"/>
      <c r="AR40" s="61"/>
      <c r="AS40" s="65"/>
    </row>
    <row r="41" spans="1:45" s="63" customFormat="1" ht="12.95" customHeight="1" x14ac:dyDescent="0.25">
      <c r="A41" s="41"/>
      <c r="B41" s="42" t="s">
        <v>15</v>
      </c>
      <c r="C41" s="67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4">
        <f>COUNTA(Octobre!$C41:$AG41)</f>
        <v>0</v>
      </c>
      <c r="AI41" s="45">
        <f>(COUNTIFS(Octobre!$C41:$AG41,("cp")))/2+Septembre!AI41</f>
        <v>7.5</v>
      </c>
      <c r="AJ41" s="45">
        <f>COUNTIFS(Octobre!$C41:$AG41,"RTT")/2+Septembre!AJ41</f>
        <v>0</v>
      </c>
      <c r="AK41" s="45">
        <f>COUNTIFS(Octobre!$C41:$AG41,"m")/2+Septembre!AK41</f>
        <v>0</v>
      </c>
      <c r="AL41" s="45">
        <f>COUNTIFS(Octobre!$C41:$AG41,"a")/2+Septembre!AL41</f>
        <v>0</v>
      </c>
      <c r="AM41" s="46"/>
      <c r="AN41" s="47"/>
      <c r="AO41" s="47"/>
      <c r="AP41" s="46"/>
      <c r="AQ41" s="47"/>
      <c r="AR41" s="47"/>
      <c r="AS41" s="47"/>
    </row>
    <row r="42" spans="1:45" s="63" customFormat="1" ht="12.95" customHeight="1" x14ac:dyDescent="0.25">
      <c r="A42" s="48">
        <v>41821</v>
      </c>
      <c r="B42" s="42" t="s">
        <v>16</v>
      </c>
      <c r="C42" s="67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3"/>
      <c r="AE42" s="43"/>
      <c r="AF42" s="43"/>
      <c r="AG42" s="43"/>
      <c r="AH42" s="44">
        <f>COUNTA(Octobre!$C42:$AG42)</f>
        <v>0</v>
      </c>
      <c r="AI42" s="45">
        <f>(COUNTIFS(Octobre!$C42:$AG42,("cp")))/2+Septembre!AI42</f>
        <v>7.5</v>
      </c>
      <c r="AJ42" s="45">
        <f>COUNTIFS(Octobre!$C42:$AG42,"RTT")/2+Septembre!AJ42</f>
        <v>0</v>
      </c>
      <c r="AK42" s="45">
        <f>COUNTIFS(Octobre!$C42:$AG42,"m")/2+Septembre!AK42</f>
        <v>0</v>
      </c>
      <c r="AL42" s="45">
        <f>COUNTIFS(Octobre!$C42:$AG42,"a")/2+Septembre!AL42</f>
        <v>0</v>
      </c>
      <c r="AM42" s="46"/>
      <c r="AN42" s="47"/>
      <c r="AO42" s="47"/>
      <c r="AP42" s="46"/>
      <c r="AQ42" s="47"/>
      <c r="AR42" s="47"/>
      <c r="AS42" s="101"/>
    </row>
    <row r="43" spans="1:45" s="63" customFormat="1" ht="12.95" customHeight="1" x14ac:dyDescent="0.25">
      <c r="A43" s="41"/>
      <c r="B43" s="42"/>
      <c r="C43" s="49" t="str">
        <f t="shared" ref="C43:AG43" si="13">IF(C41&gt;0,C41,IF(C42&gt;0,C42,""))</f>
        <v/>
      </c>
      <c r="D43" s="49" t="str">
        <f t="shared" si="13"/>
        <v/>
      </c>
      <c r="E43" s="49" t="str">
        <f t="shared" si="13"/>
        <v/>
      </c>
      <c r="F43" s="49" t="str">
        <f t="shared" si="13"/>
        <v/>
      </c>
      <c r="G43" s="49" t="str">
        <f t="shared" si="13"/>
        <v/>
      </c>
      <c r="H43" s="49" t="str">
        <f t="shared" si="13"/>
        <v/>
      </c>
      <c r="I43" s="49" t="str">
        <f t="shared" si="13"/>
        <v/>
      </c>
      <c r="J43" s="49" t="str">
        <f t="shared" si="13"/>
        <v/>
      </c>
      <c r="K43" s="49" t="str">
        <f t="shared" si="13"/>
        <v/>
      </c>
      <c r="L43" s="49" t="str">
        <f t="shared" si="13"/>
        <v/>
      </c>
      <c r="M43" s="49" t="str">
        <f t="shared" si="13"/>
        <v/>
      </c>
      <c r="N43" s="49" t="str">
        <f t="shared" si="13"/>
        <v/>
      </c>
      <c r="O43" s="49" t="str">
        <f t="shared" si="13"/>
        <v/>
      </c>
      <c r="P43" s="49" t="str">
        <f t="shared" si="13"/>
        <v/>
      </c>
      <c r="Q43" s="49" t="str">
        <f t="shared" si="13"/>
        <v/>
      </c>
      <c r="R43" s="49" t="str">
        <f t="shared" si="13"/>
        <v/>
      </c>
      <c r="S43" s="49" t="str">
        <f t="shared" si="13"/>
        <v/>
      </c>
      <c r="T43" s="49" t="str">
        <f t="shared" si="13"/>
        <v/>
      </c>
      <c r="U43" s="49" t="str">
        <f t="shared" si="13"/>
        <v/>
      </c>
      <c r="V43" s="49" t="str">
        <f t="shared" si="13"/>
        <v/>
      </c>
      <c r="W43" s="49" t="str">
        <f t="shared" si="13"/>
        <v/>
      </c>
      <c r="X43" s="49" t="str">
        <f t="shared" si="13"/>
        <v/>
      </c>
      <c r="Y43" s="49" t="str">
        <f t="shared" si="13"/>
        <v/>
      </c>
      <c r="Z43" s="49" t="str">
        <f t="shared" si="13"/>
        <v/>
      </c>
      <c r="AA43" s="49" t="str">
        <f t="shared" si="13"/>
        <v/>
      </c>
      <c r="AB43" s="49" t="str">
        <f t="shared" si="13"/>
        <v/>
      </c>
      <c r="AC43" s="49" t="str">
        <f t="shared" si="13"/>
        <v/>
      </c>
      <c r="AD43" s="49" t="str">
        <f t="shared" si="13"/>
        <v/>
      </c>
      <c r="AE43" s="49" t="str">
        <f t="shared" si="13"/>
        <v/>
      </c>
      <c r="AF43" s="49" t="str">
        <f t="shared" si="13"/>
        <v/>
      </c>
      <c r="AG43" s="49" t="str">
        <f t="shared" si="13"/>
        <v/>
      </c>
      <c r="AH43" s="44">
        <f>SUM(AH41:AH42)</f>
        <v>0</v>
      </c>
      <c r="AI43" s="45">
        <f>SUM(AI41:AI42)</f>
        <v>15</v>
      </c>
      <c r="AJ43" s="45">
        <f>SUM(AJ41:AJ42)</f>
        <v>0</v>
      </c>
      <c r="AK43" s="45">
        <f>SUM(AK41:AK42)</f>
        <v>0</v>
      </c>
      <c r="AL43" s="45">
        <f>SUM(AL41:AL42)</f>
        <v>0</v>
      </c>
      <c r="AM43" s="50">
        <f>Juin!AM43</f>
        <v>20.38</v>
      </c>
      <c r="AN43" s="51">
        <f>IF(A42="","",IF(A42&gt;NomMois,0,IF(A42&lt;$A$3,2.08,(NETWORKDAYS(A42,$A$2)/21.66667)*2.08)))</f>
        <v>2.08</v>
      </c>
      <c r="AO43" s="51">
        <f>IF( AN43="",Septembre!AO43,+AN43+Septembre!AO43)</f>
        <v>10.4</v>
      </c>
      <c r="AP43" s="50"/>
      <c r="AQ43" s="45">
        <f>+AM43-AI43</f>
        <v>5.379999999999999</v>
      </c>
      <c r="AR43" s="45">
        <f>+AP43-AJ43</f>
        <v>0</v>
      </c>
      <c r="AS43" s="102">
        <f t="shared" si="10"/>
        <v>15.78</v>
      </c>
    </row>
    <row r="44" spans="1:45" s="63" customFormat="1" ht="6.75" customHeight="1" x14ac:dyDescent="0.25">
      <c r="A44" s="60"/>
      <c r="B44" s="53"/>
      <c r="C44" s="60"/>
      <c r="D44" s="60"/>
      <c r="E44" s="60"/>
      <c r="F44" s="60"/>
      <c r="G44" s="60"/>
      <c r="H44" s="60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61"/>
      <c r="AI44" s="61"/>
      <c r="AJ44" s="61"/>
      <c r="AK44" s="61"/>
      <c r="AL44" s="61"/>
      <c r="AM44" s="60"/>
      <c r="AN44" s="61"/>
      <c r="AO44" s="61"/>
      <c r="AP44" s="60"/>
      <c r="AQ44" s="69"/>
      <c r="AR44" s="69"/>
      <c r="AS44" s="65"/>
    </row>
    <row r="45" spans="1:45" s="63" customFormat="1" ht="12.95" customHeight="1" x14ac:dyDescent="0.25">
      <c r="A45" s="41"/>
      <c r="B45" s="42" t="s">
        <v>15</v>
      </c>
      <c r="C45" s="67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4">
        <f>COUNTA(Octobre!$C45:$AG45)</f>
        <v>0</v>
      </c>
      <c r="AI45" s="45">
        <f>(COUNTIFS(Octobre!$C45:$AG45,("cp")))/2+Septembre!AI45</f>
        <v>0</v>
      </c>
      <c r="AJ45" s="45">
        <f>COUNTIFS(Octobre!$C45:$AG45,"RTT")/2+Septembre!AJ45</f>
        <v>0</v>
      </c>
      <c r="AK45" s="45">
        <f>COUNTIFS(Octobre!$C45:$AG45,"m")/2+Septembre!AK45</f>
        <v>0</v>
      </c>
      <c r="AL45" s="45">
        <f>COUNTIFS(Octobre!$C45:$AG45,"a")/2+Septembre!AL45</f>
        <v>0</v>
      </c>
      <c r="AM45" s="46"/>
      <c r="AN45" s="47"/>
      <c r="AO45" s="47"/>
      <c r="AP45" s="46"/>
      <c r="AQ45" s="47"/>
      <c r="AR45" s="47"/>
      <c r="AS45" s="47"/>
    </row>
    <row r="46" spans="1:45" s="63" customFormat="1" ht="12.95" customHeight="1" x14ac:dyDescent="0.25">
      <c r="A46" s="48">
        <v>40575</v>
      </c>
      <c r="B46" s="42" t="s">
        <v>16</v>
      </c>
      <c r="C46" s="67"/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3"/>
      <c r="AC46" s="43"/>
      <c r="AD46" s="43"/>
      <c r="AE46" s="43"/>
      <c r="AF46" s="43"/>
      <c r="AG46" s="43"/>
      <c r="AH46" s="44">
        <f>COUNTA(Octobre!$C46:$AG46)</f>
        <v>0</v>
      </c>
      <c r="AI46" s="45">
        <f>(COUNTIFS(Octobre!$C46:$AG46,("cp")))/2+Septembre!AI46</f>
        <v>0.5</v>
      </c>
      <c r="AJ46" s="45">
        <f>COUNTIFS(Octobre!$C46:$AG46,"RTT")/2+Septembre!AJ46</f>
        <v>0</v>
      </c>
      <c r="AK46" s="45">
        <f>COUNTIFS(Octobre!$C46:$AG46,"m")/2+Septembre!AK46</f>
        <v>0</v>
      </c>
      <c r="AL46" s="45">
        <f>COUNTIFS(Octobre!$C46:$AG46,"a")/2+Septembre!AL46</f>
        <v>0</v>
      </c>
      <c r="AM46" s="46"/>
      <c r="AN46" s="47"/>
      <c r="AO46" s="47"/>
      <c r="AP46" s="46"/>
      <c r="AQ46" s="47"/>
      <c r="AR46" s="47"/>
      <c r="AS46" s="101"/>
    </row>
    <row r="47" spans="1:45" s="63" customFormat="1" ht="12.95" customHeight="1" x14ac:dyDescent="0.25">
      <c r="A47" s="41"/>
      <c r="B47" s="42"/>
      <c r="C47" s="49" t="str">
        <f t="shared" ref="C47:AG47" si="14">IF(C45&gt;0,C45,IF(C46&gt;0,C46,""))</f>
        <v/>
      </c>
      <c r="D47" s="49" t="str">
        <f t="shared" si="14"/>
        <v/>
      </c>
      <c r="E47" s="49" t="str">
        <f t="shared" si="14"/>
        <v/>
      </c>
      <c r="F47" s="49" t="str">
        <f t="shared" si="14"/>
        <v/>
      </c>
      <c r="G47" s="49" t="str">
        <f t="shared" si="14"/>
        <v/>
      </c>
      <c r="H47" s="49" t="str">
        <f t="shared" si="14"/>
        <v/>
      </c>
      <c r="I47" s="49" t="str">
        <f t="shared" si="14"/>
        <v/>
      </c>
      <c r="J47" s="49" t="str">
        <f t="shared" si="14"/>
        <v/>
      </c>
      <c r="K47" s="49" t="str">
        <f t="shared" si="14"/>
        <v/>
      </c>
      <c r="L47" s="49" t="str">
        <f t="shared" si="14"/>
        <v/>
      </c>
      <c r="M47" s="49" t="str">
        <f t="shared" si="14"/>
        <v/>
      </c>
      <c r="N47" s="49" t="str">
        <f t="shared" si="14"/>
        <v/>
      </c>
      <c r="O47" s="49" t="str">
        <f t="shared" si="14"/>
        <v/>
      </c>
      <c r="P47" s="49" t="str">
        <f t="shared" si="14"/>
        <v/>
      </c>
      <c r="Q47" s="49" t="str">
        <f t="shared" si="14"/>
        <v/>
      </c>
      <c r="R47" s="49" t="str">
        <f t="shared" si="14"/>
        <v/>
      </c>
      <c r="S47" s="49" t="str">
        <f t="shared" si="14"/>
        <v/>
      </c>
      <c r="T47" s="49" t="str">
        <f t="shared" si="14"/>
        <v/>
      </c>
      <c r="U47" s="49" t="str">
        <f t="shared" si="14"/>
        <v/>
      </c>
      <c r="V47" s="49" t="str">
        <f t="shared" si="14"/>
        <v/>
      </c>
      <c r="W47" s="49" t="str">
        <f t="shared" si="14"/>
        <v/>
      </c>
      <c r="X47" s="49" t="str">
        <f t="shared" si="14"/>
        <v/>
      </c>
      <c r="Y47" s="49" t="str">
        <f t="shared" si="14"/>
        <v/>
      </c>
      <c r="Z47" s="49" t="str">
        <f t="shared" si="14"/>
        <v/>
      </c>
      <c r="AA47" s="49" t="str">
        <f t="shared" si="14"/>
        <v/>
      </c>
      <c r="AB47" s="49" t="str">
        <f t="shared" si="14"/>
        <v/>
      </c>
      <c r="AC47" s="49" t="str">
        <f t="shared" si="14"/>
        <v/>
      </c>
      <c r="AD47" s="49" t="str">
        <f t="shared" si="14"/>
        <v/>
      </c>
      <c r="AE47" s="49" t="str">
        <f t="shared" si="14"/>
        <v/>
      </c>
      <c r="AF47" s="49" t="str">
        <f t="shared" si="14"/>
        <v/>
      </c>
      <c r="AG47" s="49" t="str">
        <f t="shared" si="14"/>
        <v/>
      </c>
      <c r="AH47" s="44">
        <f>SUM(AH45:AH46)</f>
        <v>0</v>
      </c>
      <c r="AI47" s="45">
        <f>SUM(AI45:AI46)</f>
        <v>0.5</v>
      </c>
      <c r="AJ47" s="45">
        <f>SUM(AJ45:AJ46)</f>
        <v>0</v>
      </c>
      <c r="AK47" s="45">
        <f>SUM(AK45:AK46)</f>
        <v>0</v>
      </c>
      <c r="AL47" s="45">
        <f>SUM(AL45:AL46)</f>
        <v>0</v>
      </c>
      <c r="AM47" s="50">
        <f>Juin!AM47</f>
        <v>24.96</v>
      </c>
      <c r="AN47" s="51">
        <f>IF(A46="","",IF(A46&gt;NomMois,0,IF(A46&lt;$A$3,2.08,(NETWORKDAYS(A46,$A$2)/21.66667)*2.08)))</f>
        <v>2.08</v>
      </c>
      <c r="AO47" s="51">
        <f>IF( AN47="",Septembre!AO47,+AN47+Septembre!AO47)</f>
        <v>10.4</v>
      </c>
      <c r="AP47" s="50"/>
      <c r="AQ47" s="45">
        <f>+AM47-AI47</f>
        <v>24.46</v>
      </c>
      <c r="AR47" s="45">
        <f>+AP47-AJ47</f>
        <v>0</v>
      </c>
      <c r="AS47" s="102">
        <f t="shared" si="10"/>
        <v>34.86</v>
      </c>
    </row>
    <row r="48" spans="1:45" s="63" customFormat="1" ht="6.75" customHeight="1" x14ac:dyDescent="0.25">
      <c r="A48" s="60"/>
      <c r="B48" s="53"/>
      <c r="C48" s="60"/>
      <c r="D48" s="60"/>
      <c r="E48" s="60"/>
      <c r="F48" s="60"/>
      <c r="G48" s="60"/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60"/>
      <c r="Z48" s="60"/>
      <c r="AA48" s="60"/>
      <c r="AB48" s="60"/>
      <c r="AC48" s="60"/>
      <c r="AD48" s="60"/>
      <c r="AE48" s="60"/>
      <c r="AF48" s="60"/>
      <c r="AG48" s="60"/>
      <c r="AH48" s="61"/>
      <c r="AI48" s="61"/>
      <c r="AJ48" s="61"/>
      <c r="AK48" s="61"/>
      <c r="AL48" s="61"/>
      <c r="AM48" s="60"/>
      <c r="AN48" s="61"/>
      <c r="AO48" s="61"/>
      <c r="AP48" s="60"/>
      <c r="AQ48" s="69"/>
      <c r="AR48" s="69"/>
      <c r="AS48" s="65"/>
    </row>
    <row r="49" spans="1:45" s="63" customFormat="1" ht="12.95" customHeight="1" x14ac:dyDescent="0.25">
      <c r="A49" s="41"/>
      <c r="B49" s="42" t="s">
        <v>15</v>
      </c>
      <c r="C49" s="67"/>
      <c r="D49" s="43" t="s">
        <v>7</v>
      </c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  <c r="AA49" s="43"/>
      <c r="AB49" s="43"/>
      <c r="AC49" s="43"/>
      <c r="AD49" s="43"/>
      <c r="AE49" s="43"/>
      <c r="AF49" s="43"/>
      <c r="AG49" s="43"/>
      <c r="AH49" s="44">
        <f>COUNTA(Octobre!$C49:$AG49)</f>
        <v>1</v>
      </c>
      <c r="AI49" s="45">
        <f>(COUNTIFS(Octobre!$C49:$AG49,("cp")))/2+Septembre!AI49</f>
        <v>1</v>
      </c>
      <c r="AJ49" s="45">
        <f>COUNTIFS(Octobre!$C49:$AG49,"RTT")/2+Septembre!AJ49</f>
        <v>0</v>
      </c>
      <c r="AK49" s="45">
        <f>COUNTIFS(Octobre!$C49:$AG49,"m")/2+Septembre!AK49</f>
        <v>0</v>
      </c>
      <c r="AL49" s="45">
        <f>COUNTIFS(Octobre!$C49:$AG49,"a")/2+Septembre!AL49</f>
        <v>0</v>
      </c>
      <c r="AM49" s="46"/>
      <c r="AN49" s="47"/>
      <c r="AO49" s="47"/>
      <c r="AP49" s="46"/>
      <c r="AQ49" s="47"/>
      <c r="AR49" s="47"/>
      <c r="AS49" s="47"/>
    </row>
    <row r="50" spans="1:45" s="63" customFormat="1" ht="12.95" customHeight="1" x14ac:dyDescent="0.25">
      <c r="A50" s="48">
        <v>42793</v>
      </c>
      <c r="B50" s="42" t="s">
        <v>16</v>
      </c>
      <c r="C50" s="67"/>
      <c r="D50" s="43" t="s">
        <v>7</v>
      </c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  <c r="AA50" s="43"/>
      <c r="AB50" s="43"/>
      <c r="AC50" s="43"/>
      <c r="AD50" s="43"/>
      <c r="AE50" s="43"/>
      <c r="AF50" s="43"/>
      <c r="AG50" s="43"/>
      <c r="AH50" s="44">
        <f>COUNTA(Octobre!$C50:$AG50)</f>
        <v>1</v>
      </c>
      <c r="AI50" s="45">
        <f>(COUNTIFS(Octobre!$C50:$AG50,("cp")))/2+Septembre!AI50</f>
        <v>1</v>
      </c>
      <c r="AJ50" s="45">
        <f>COUNTIFS(Octobre!$C50:$AG50,"RTT")/2+Septembre!AJ50</f>
        <v>0</v>
      </c>
      <c r="AK50" s="45">
        <f>COUNTIFS(Octobre!$C50:$AG50,"m")/2+Septembre!AK50</f>
        <v>0</v>
      </c>
      <c r="AL50" s="45">
        <f>COUNTIFS(Octobre!$C50:$AG50,"a")/2+Septembre!AL50</f>
        <v>0</v>
      </c>
      <c r="AM50" s="46"/>
      <c r="AN50" s="47"/>
      <c r="AO50" s="47"/>
      <c r="AP50" s="46"/>
      <c r="AQ50" s="47"/>
      <c r="AR50" s="47"/>
      <c r="AS50" s="101"/>
    </row>
    <row r="51" spans="1:45" s="63" customFormat="1" ht="12.95" customHeight="1" x14ac:dyDescent="0.25">
      <c r="A51" s="41"/>
      <c r="B51" s="42"/>
      <c r="C51" s="49" t="str">
        <f t="shared" ref="C51:AG51" si="15">IF(C49&gt;0,C49,IF(C50&gt;0,C50,""))</f>
        <v/>
      </c>
      <c r="D51" s="49" t="str">
        <f t="shared" si="15"/>
        <v>CP</v>
      </c>
      <c r="E51" s="49" t="str">
        <f t="shared" si="15"/>
        <v/>
      </c>
      <c r="F51" s="49" t="str">
        <f t="shared" si="15"/>
        <v/>
      </c>
      <c r="G51" s="49" t="str">
        <f t="shared" si="15"/>
        <v/>
      </c>
      <c r="H51" s="49" t="str">
        <f t="shared" si="15"/>
        <v/>
      </c>
      <c r="I51" s="49" t="str">
        <f t="shared" si="15"/>
        <v/>
      </c>
      <c r="J51" s="49" t="str">
        <f t="shared" si="15"/>
        <v/>
      </c>
      <c r="K51" s="49" t="str">
        <f t="shared" si="15"/>
        <v/>
      </c>
      <c r="L51" s="49" t="str">
        <f t="shared" si="15"/>
        <v/>
      </c>
      <c r="M51" s="49" t="str">
        <f t="shared" si="15"/>
        <v/>
      </c>
      <c r="N51" s="49" t="str">
        <f t="shared" si="15"/>
        <v/>
      </c>
      <c r="O51" s="49" t="str">
        <f t="shared" si="15"/>
        <v/>
      </c>
      <c r="P51" s="49" t="str">
        <f t="shared" si="15"/>
        <v/>
      </c>
      <c r="Q51" s="49" t="str">
        <f t="shared" si="15"/>
        <v/>
      </c>
      <c r="R51" s="49" t="str">
        <f t="shared" si="15"/>
        <v/>
      </c>
      <c r="S51" s="49" t="str">
        <f t="shared" si="15"/>
        <v/>
      </c>
      <c r="T51" s="49" t="str">
        <f t="shared" si="15"/>
        <v/>
      </c>
      <c r="U51" s="49" t="str">
        <f t="shared" si="15"/>
        <v/>
      </c>
      <c r="V51" s="49" t="str">
        <f t="shared" si="15"/>
        <v/>
      </c>
      <c r="W51" s="49" t="str">
        <f t="shared" si="15"/>
        <v/>
      </c>
      <c r="X51" s="49" t="str">
        <f t="shared" si="15"/>
        <v/>
      </c>
      <c r="Y51" s="49" t="str">
        <f t="shared" si="15"/>
        <v/>
      </c>
      <c r="Z51" s="49" t="str">
        <f t="shared" si="15"/>
        <v/>
      </c>
      <c r="AA51" s="49" t="str">
        <f t="shared" si="15"/>
        <v/>
      </c>
      <c r="AB51" s="49" t="str">
        <f t="shared" si="15"/>
        <v/>
      </c>
      <c r="AC51" s="49" t="str">
        <f t="shared" si="15"/>
        <v/>
      </c>
      <c r="AD51" s="49" t="str">
        <f t="shared" si="15"/>
        <v/>
      </c>
      <c r="AE51" s="49" t="str">
        <f t="shared" si="15"/>
        <v/>
      </c>
      <c r="AF51" s="49" t="str">
        <f t="shared" si="15"/>
        <v/>
      </c>
      <c r="AG51" s="49" t="str">
        <f t="shared" si="15"/>
        <v/>
      </c>
      <c r="AH51" s="44">
        <f>SUM(AH49:AH50)</f>
        <v>2</v>
      </c>
      <c r="AI51" s="45">
        <f>SUM(AI49:AI50)</f>
        <v>2</v>
      </c>
      <c r="AJ51" s="45">
        <f>SUM(AJ49:AJ50)</f>
        <v>0</v>
      </c>
      <c r="AK51" s="45">
        <f>SUM(AK49:AK50)</f>
        <v>0</v>
      </c>
      <c r="AL51" s="45">
        <f>SUM(AL49:AL50)</f>
        <v>0</v>
      </c>
      <c r="AM51" s="50">
        <f>Juin!AM51</f>
        <v>6.41</v>
      </c>
      <c r="AN51" s="51">
        <f>IF(A50="","",IF(A50&gt;NomMois,0,IF(A50&lt;$A$3,2.08,(NETWORKDAYS(A50,$A$2)/21.66667)*2.08)))</f>
        <v>2.08</v>
      </c>
      <c r="AO51" s="51">
        <f>IF( AN51="",Septembre!AO51,+AN51+Septembre!AO51)</f>
        <v>10.4</v>
      </c>
      <c r="AP51" s="50"/>
      <c r="AQ51" s="45">
        <f>+AM51-AI51</f>
        <v>4.41</v>
      </c>
      <c r="AR51" s="45">
        <f>+AP51-AJ51</f>
        <v>0</v>
      </c>
      <c r="AS51" s="102">
        <f t="shared" si="10"/>
        <v>14.81</v>
      </c>
    </row>
    <row r="52" spans="1:45" s="63" customFormat="1" ht="6.75" customHeight="1" x14ac:dyDescent="0.25">
      <c r="A52" s="60"/>
      <c r="B52" s="53"/>
      <c r="C52" s="60"/>
      <c r="D52" s="60"/>
      <c r="E52" s="60"/>
      <c r="F52" s="60"/>
      <c r="G52" s="60"/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0"/>
      <c r="W52" s="60"/>
      <c r="X52" s="60"/>
      <c r="Y52" s="60"/>
      <c r="Z52" s="60"/>
      <c r="AA52" s="60"/>
      <c r="AB52" s="60"/>
      <c r="AC52" s="60"/>
      <c r="AD52" s="60"/>
      <c r="AE52" s="60"/>
      <c r="AF52" s="60"/>
      <c r="AG52" s="60"/>
      <c r="AH52" s="61"/>
      <c r="AI52" s="61"/>
      <c r="AJ52" s="61"/>
      <c r="AK52" s="61"/>
      <c r="AL52" s="61"/>
      <c r="AM52" s="60"/>
      <c r="AN52" s="61"/>
      <c r="AO52" s="61"/>
      <c r="AP52" s="60"/>
      <c r="AQ52" s="69"/>
      <c r="AR52" s="69"/>
      <c r="AS52" s="65"/>
    </row>
    <row r="53" spans="1:45" s="63" customFormat="1" ht="12.95" customHeight="1" x14ac:dyDescent="0.25">
      <c r="A53" s="41"/>
      <c r="B53" s="42" t="s">
        <v>15</v>
      </c>
      <c r="C53" s="67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  <c r="AA53" s="43"/>
      <c r="AB53" s="43"/>
      <c r="AC53" s="43"/>
      <c r="AD53" s="43"/>
      <c r="AE53" s="43"/>
      <c r="AF53" s="43"/>
      <c r="AG53" s="43"/>
      <c r="AH53" s="44">
        <f>COUNTA(Octobre!$C53:$AG53)</f>
        <v>0</v>
      </c>
      <c r="AI53" s="45">
        <f>(COUNTIFS(Octobre!$C53:$AG53,("cp")))/2+Septembre!AI53</f>
        <v>9</v>
      </c>
      <c r="AJ53" s="45">
        <f>COUNTIFS(Octobre!$C53:$AG53,"RTT")/2+Septembre!AJ53</f>
        <v>0</v>
      </c>
      <c r="AK53" s="45">
        <f>COUNTIFS(Octobre!$C53:$AG53,"m")/2+Septembre!AK53</f>
        <v>0</v>
      </c>
      <c r="AL53" s="45">
        <f>COUNTIFS(Octobre!$C53:$AG53,"a")/2+Septembre!AL53</f>
        <v>0</v>
      </c>
      <c r="AM53" s="46"/>
      <c r="AN53" s="47"/>
      <c r="AO53" s="47"/>
      <c r="AP53" s="46"/>
      <c r="AQ53" s="47"/>
      <c r="AR53" s="47"/>
      <c r="AS53" s="47"/>
    </row>
    <row r="54" spans="1:45" s="63" customFormat="1" ht="12.95" customHeight="1" x14ac:dyDescent="0.25">
      <c r="A54" s="48">
        <v>42660</v>
      </c>
      <c r="B54" s="42" t="s">
        <v>16</v>
      </c>
      <c r="C54" s="67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  <c r="AA54" s="43"/>
      <c r="AB54" s="43"/>
      <c r="AC54" s="43"/>
      <c r="AD54" s="43"/>
      <c r="AE54" s="43"/>
      <c r="AF54" s="43"/>
      <c r="AG54" s="43"/>
      <c r="AH54" s="44">
        <f>COUNTA(Octobre!$C54:$AG54)</f>
        <v>0</v>
      </c>
      <c r="AI54" s="45">
        <f>(COUNTIFS(Octobre!$C54:$AG54,("cp")))/2+Septembre!AI54</f>
        <v>9</v>
      </c>
      <c r="AJ54" s="45">
        <f>COUNTIFS(Octobre!$C54:$AG54,"RTT")/2+Septembre!AJ54</f>
        <v>0</v>
      </c>
      <c r="AK54" s="45">
        <f>COUNTIFS(Octobre!$C54:$AG54,"m")/2+Septembre!AK54</f>
        <v>0</v>
      </c>
      <c r="AL54" s="45">
        <f>COUNTIFS(Octobre!$C54:$AG54,"a")/2+Septembre!AL54</f>
        <v>0</v>
      </c>
      <c r="AM54" s="46"/>
      <c r="AN54" s="47"/>
      <c r="AO54" s="47"/>
      <c r="AP54" s="46"/>
      <c r="AQ54" s="47"/>
      <c r="AR54" s="47"/>
      <c r="AS54" s="101"/>
    </row>
    <row r="55" spans="1:45" s="63" customFormat="1" ht="12.95" customHeight="1" x14ac:dyDescent="0.25">
      <c r="A55" s="41"/>
      <c r="B55" s="42"/>
      <c r="C55" s="49" t="str">
        <f t="shared" ref="C55:AG55" si="16">IF(C53&gt;0,C53,IF(C54&gt;0,C54,""))</f>
        <v/>
      </c>
      <c r="D55" s="49" t="str">
        <f t="shared" si="16"/>
        <v/>
      </c>
      <c r="E55" s="49" t="str">
        <f t="shared" si="16"/>
        <v/>
      </c>
      <c r="F55" s="49" t="str">
        <f t="shared" si="16"/>
        <v/>
      </c>
      <c r="G55" s="49" t="str">
        <f t="shared" si="16"/>
        <v/>
      </c>
      <c r="H55" s="49" t="str">
        <f t="shared" si="16"/>
        <v/>
      </c>
      <c r="I55" s="49" t="str">
        <f t="shared" si="16"/>
        <v/>
      </c>
      <c r="J55" s="49" t="str">
        <f t="shared" si="16"/>
        <v/>
      </c>
      <c r="K55" s="49" t="str">
        <f t="shared" si="16"/>
        <v/>
      </c>
      <c r="L55" s="49" t="str">
        <f t="shared" si="16"/>
        <v/>
      </c>
      <c r="M55" s="49" t="str">
        <f t="shared" si="16"/>
        <v/>
      </c>
      <c r="N55" s="49" t="str">
        <f t="shared" si="16"/>
        <v/>
      </c>
      <c r="O55" s="49" t="str">
        <f t="shared" si="16"/>
        <v/>
      </c>
      <c r="P55" s="49" t="str">
        <f t="shared" si="16"/>
        <v/>
      </c>
      <c r="Q55" s="49" t="str">
        <f t="shared" si="16"/>
        <v/>
      </c>
      <c r="R55" s="49" t="str">
        <f t="shared" si="16"/>
        <v/>
      </c>
      <c r="S55" s="49" t="str">
        <f t="shared" si="16"/>
        <v/>
      </c>
      <c r="T55" s="49" t="str">
        <f t="shared" si="16"/>
        <v/>
      </c>
      <c r="U55" s="49" t="str">
        <f t="shared" si="16"/>
        <v/>
      </c>
      <c r="V55" s="49" t="str">
        <f t="shared" si="16"/>
        <v/>
      </c>
      <c r="W55" s="49" t="str">
        <f t="shared" si="16"/>
        <v/>
      </c>
      <c r="X55" s="49" t="str">
        <f t="shared" si="16"/>
        <v/>
      </c>
      <c r="Y55" s="49" t="str">
        <f t="shared" si="16"/>
        <v/>
      </c>
      <c r="Z55" s="49" t="str">
        <f t="shared" si="16"/>
        <v/>
      </c>
      <c r="AA55" s="49" t="str">
        <f t="shared" si="16"/>
        <v/>
      </c>
      <c r="AB55" s="49" t="str">
        <f t="shared" si="16"/>
        <v/>
      </c>
      <c r="AC55" s="49" t="str">
        <f t="shared" si="16"/>
        <v/>
      </c>
      <c r="AD55" s="49" t="str">
        <f t="shared" si="16"/>
        <v/>
      </c>
      <c r="AE55" s="49" t="str">
        <f t="shared" si="16"/>
        <v/>
      </c>
      <c r="AF55" s="49" t="str">
        <f t="shared" si="16"/>
        <v/>
      </c>
      <c r="AG55" s="49" t="str">
        <f t="shared" si="16"/>
        <v/>
      </c>
      <c r="AH55" s="44">
        <f>SUM(AH53:AH54)</f>
        <v>0</v>
      </c>
      <c r="AI55" s="45">
        <f>SUM(AI53:AI54)</f>
        <v>18</v>
      </c>
      <c r="AJ55" s="45">
        <f>SUM(AJ53:AJ54)</f>
        <v>0</v>
      </c>
      <c r="AK55" s="45">
        <f>SUM(AK53:AK54)</f>
        <v>0</v>
      </c>
      <c r="AL55" s="45">
        <f>SUM(AL53:AL54)</f>
        <v>0</v>
      </c>
      <c r="AM55" s="50">
        <f>Juin!AM55</f>
        <v>15.68</v>
      </c>
      <c r="AN55" s="51">
        <f>IF(A54="","",IF(A54&gt;NomMois,0,IF(A54&lt;$A$3,2.08,(NETWORKDAYS(A54,$A$2)/21.66667)*2.08)))</f>
        <v>2.08</v>
      </c>
      <c r="AO55" s="51">
        <f>IF( AN55="",Septembre!AO55,+AN55+Septembre!AO55)</f>
        <v>10.4</v>
      </c>
      <c r="AP55" s="50"/>
      <c r="AQ55" s="45">
        <f>+AM55-AI55</f>
        <v>-2.3200000000000003</v>
      </c>
      <c r="AR55" s="45">
        <f>+AP55-AJ55</f>
        <v>0</v>
      </c>
      <c r="AS55" s="102">
        <f t="shared" si="10"/>
        <v>8.08</v>
      </c>
    </row>
    <row r="56" spans="1:45" s="63" customFormat="1" ht="6.75" customHeight="1" x14ac:dyDescent="0.25">
      <c r="A56" s="60"/>
      <c r="B56" s="53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60"/>
      <c r="X56" s="60"/>
      <c r="Y56" s="60"/>
      <c r="Z56" s="60"/>
      <c r="AA56" s="60"/>
      <c r="AB56" s="60"/>
      <c r="AC56" s="60"/>
      <c r="AD56" s="60"/>
      <c r="AE56" s="60"/>
      <c r="AF56" s="60"/>
      <c r="AG56" s="60"/>
      <c r="AH56" s="61"/>
      <c r="AI56" s="61"/>
      <c r="AJ56" s="61"/>
      <c r="AK56" s="61"/>
      <c r="AL56" s="61"/>
      <c r="AM56" s="60"/>
      <c r="AN56" s="61"/>
      <c r="AO56" s="61"/>
      <c r="AP56" s="60"/>
      <c r="AQ56" s="69"/>
      <c r="AR56" s="69"/>
      <c r="AS56" s="65"/>
    </row>
    <row r="57" spans="1:45" s="63" customFormat="1" ht="12.95" customHeight="1" x14ac:dyDescent="0.25">
      <c r="A57" s="41"/>
      <c r="B57" s="42" t="s">
        <v>15</v>
      </c>
      <c r="C57" s="67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3"/>
      <c r="AB57" s="43"/>
      <c r="AC57" s="43"/>
      <c r="AD57" s="43"/>
      <c r="AE57" s="43"/>
      <c r="AF57" s="43"/>
      <c r="AG57" s="43"/>
      <c r="AH57" s="44">
        <f>COUNTA(Octobre!$C57:$AG57)</f>
        <v>0</v>
      </c>
      <c r="AI57" s="45">
        <f>(COUNTIFS(Octobre!$C57:$AG57,("cp")))/2+Septembre!AI57</f>
        <v>0</v>
      </c>
      <c r="AJ57" s="45">
        <f>COUNTIFS(Octobre!$C57:$AG57,"RTT")/2+Septembre!AJ57</f>
        <v>0</v>
      </c>
      <c r="AK57" s="45">
        <f>COUNTIFS(Octobre!$C57:$AG57,"m")/2+Septembre!AK57</f>
        <v>0</v>
      </c>
      <c r="AL57" s="45">
        <f>COUNTIFS(Octobre!$C57:$AG57,"a")/2+Septembre!AL57</f>
        <v>0</v>
      </c>
      <c r="AM57" s="46"/>
      <c r="AN57" s="47"/>
      <c r="AO57" s="47"/>
      <c r="AP57" s="46"/>
      <c r="AQ57" s="47"/>
      <c r="AR57" s="47"/>
      <c r="AS57" s="47"/>
    </row>
    <row r="58" spans="1:45" s="63" customFormat="1" ht="12.95" customHeight="1" x14ac:dyDescent="0.25">
      <c r="A58" s="48">
        <v>42975</v>
      </c>
      <c r="B58" s="42" t="s">
        <v>16</v>
      </c>
      <c r="C58" s="67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3"/>
      <c r="AB58" s="43"/>
      <c r="AC58" s="43"/>
      <c r="AD58" s="43"/>
      <c r="AE58" s="43"/>
      <c r="AF58" s="43"/>
      <c r="AG58" s="43"/>
      <c r="AH58" s="44">
        <f>COUNTA(Octobre!$C58:$AG58)</f>
        <v>0</v>
      </c>
      <c r="AI58" s="45">
        <f>(COUNTIFS(Octobre!$C58:$AG58,("cp")))/2+Septembre!AI58</f>
        <v>0</v>
      </c>
      <c r="AJ58" s="45">
        <f>COUNTIFS(Octobre!$C58:$AG58,"RTT")/2+Septembre!AJ58</f>
        <v>0</v>
      </c>
      <c r="AK58" s="45">
        <f>COUNTIFS(Octobre!$C58:$AG58,"m")/2+Septembre!AK58</f>
        <v>0</v>
      </c>
      <c r="AL58" s="45">
        <f>COUNTIFS(Octobre!$C58:$AG58,"a")/2+Septembre!AL58</f>
        <v>0</v>
      </c>
      <c r="AM58" s="46"/>
      <c r="AN58" s="47"/>
      <c r="AO58" s="47"/>
      <c r="AP58" s="46"/>
      <c r="AQ58" s="47"/>
      <c r="AR58" s="47"/>
      <c r="AS58" s="101"/>
    </row>
    <row r="59" spans="1:45" s="63" customFormat="1" ht="12.95" customHeight="1" x14ac:dyDescent="0.25">
      <c r="A59" s="41"/>
      <c r="B59" s="42"/>
      <c r="C59" s="49" t="str">
        <f t="shared" ref="C59:AG59" si="17">IF(C57&gt;0,C57,IF(C58&gt;0,C58,""))</f>
        <v/>
      </c>
      <c r="D59" s="49" t="str">
        <f t="shared" si="17"/>
        <v/>
      </c>
      <c r="E59" s="49" t="str">
        <f t="shared" si="17"/>
        <v/>
      </c>
      <c r="F59" s="49" t="str">
        <f t="shared" si="17"/>
        <v/>
      </c>
      <c r="G59" s="49" t="str">
        <f t="shared" si="17"/>
        <v/>
      </c>
      <c r="H59" s="49" t="str">
        <f t="shared" si="17"/>
        <v/>
      </c>
      <c r="I59" s="49" t="str">
        <f t="shared" si="17"/>
        <v/>
      </c>
      <c r="J59" s="49" t="str">
        <f t="shared" si="17"/>
        <v/>
      </c>
      <c r="K59" s="49" t="str">
        <f t="shared" si="17"/>
        <v/>
      </c>
      <c r="L59" s="49" t="str">
        <f t="shared" si="17"/>
        <v/>
      </c>
      <c r="M59" s="49" t="str">
        <f t="shared" si="17"/>
        <v/>
      </c>
      <c r="N59" s="49" t="str">
        <f t="shared" si="17"/>
        <v/>
      </c>
      <c r="O59" s="49" t="str">
        <f t="shared" si="17"/>
        <v/>
      </c>
      <c r="P59" s="49" t="str">
        <f t="shared" si="17"/>
        <v/>
      </c>
      <c r="Q59" s="49" t="str">
        <f t="shared" si="17"/>
        <v/>
      </c>
      <c r="R59" s="49" t="str">
        <f t="shared" si="17"/>
        <v/>
      </c>
      <c r="S59" s="49" t="str">
        <f t="shared" si="17"/>
        <v/>
      </c>
      <c r="T59" s="49" t="str">
        <f t="shared" si="17"/>
        <v/>
      </c>
      <c r="U59" s="49" t="str">
        <f t="shared" si="17"/>
        <v/>
      </c>
      <c r="V59" s="49" t="str">
        <f t="shared" si="17"/>
        <v/>
      </c>
      <c r="W59" s="49" t="str">
        <f t="shared" si="17"/>
        <v/>
      </c>
      <c r="X59" s="49" t="str">
        <f t="shared" si="17"/>
        <v/>
      </c>
      <c r="Y59" s="49" t="str">
        <f t="shared" si="17"/>
        <v/>
      </c>
      <c r="Z59" s="49" t="str">
        <f t="shared" si="17"/>
        <v/>
      </c>
      <c r="AA59" s="49" t="str">
        <f t="shared" si="17"/>
        <v/>
      </c>
      <c r="AB59" s="49" t="str">
        <f t="shared" si="17"/>
        <v/>
      </c>
      <c r="AC59" s="49" t="str">
        <f t="shared" si="17"/>
        <v/>
      </c>
      <c r="AD59" s="49" t="str">
        <f t="shared" si="17"/>
        <v/>
      </c>
      <c r="AE59" s="49" t="str">
        <f t="shared" si="17"/>
        <v/>
      </c>
      <c r="AF59" s="49" t="str">
        <f t="shared" si="17"/>
        <v/>
      </c>
      <c r="AG59" s="49" t="str">
        <f t="shared" si="17"/>
        <v/>
      </c>
      <c r="AH59" s="44">
        <f>SUM(AH57:AH58)</f>
        <v>0</v>
      </c>
      <c r="AI59" s="45">
        <f>SUM(AI57:AI58)</f>
        <v>0</v>
      </c>
      <c r="AJ59" s="45">
        <f>SUM(AJ57:AJ58)</f>
        <v>0</v>
      </c>
      <c r="AK59" s="45">
        <f>SUM(AK57:AK58)</f>
        <v>0</v>
      </c>
      <c r="AL59" s="45">
        <f>SUM(AL57:AL58)</f>
        <v>0</v>
      </c>
      <c r="AM59" s="50">
        <v>0</v>
      </c>
      <c r="AN59" s="51">
        <f>IF(A58="","",IF(A58&gt;NomMois,0,IF(A58&lt;$A$3,2.08,(NETWORKDAYS(A58,$A$2)/21.66667)*2.08)))</f>
        <v>2.08</v>
      </c>
      <c r="AO59" s="51">
        <f>IF( AN59="",Septembre!AO59,+AN59+Septembre!AO59)</f>
        <v>4.5439999409230865</v>
      </c>
      <c r="AP59" s="50"/>
      <c r="AQ59" s="45">
        <f>+AM59-AI59</f>
        <v>0</v>
      </c>
      <c r="AR59" s="45">
        <f>+AP59-AJ59</f>
        <v>0</v>
      </c>
      <c r="AS59" s="102">
        <f t="shared" si="10"/>
        <v>4.5439999409230865</v>
      </c>
    </row>
    <row r="60" spans="1:45" s="63" customFormat="1" ht="6.75" customHeight="1" x14ac:dyDescent="0.25">
      <c r="A60" s="60"/>
      <c r="B60" s="42"/>
      <c r="C60" s="64"/>
      <c r="D60" s="64"/>
      <c r="E60" s="64"/>
      <c r="F60" s="64"/>
      <c r="G60" s="64"/>
      <c r="H60" s="64"/>
      <c r="I60" s="64"/>
      <c r="J60" s="64"/>
      <c r="K60" s="64"/>
      <c r="L60" s="64"/>
      <c r="M60" s="64"/>
      <c r="N60" s="64"/>
      <c r="O60" s="64"/>
      <c r="P60" s="64"/>
      <c r="Q60" s="64"/>
      <c r="R60" s="64"/>
      <c r="S60" s="64"/>
      <c r="T60" s="64"/>
      <c r="U60" s="64"/>
      <c r="V60" s="64"/>
      <c r="W60" s="64"/>
      <c r="X60" s="64"/>
      <c r="Y60" s="64"/>
      <c r="Z60" s="64"/>
      <c r="AA60" s="64"/>
      <c r="AB60" s="64"/>
      <c r="AC60" s="64"/>
      <c r="AD60" s="64"/>
      <c r="AE60" s="64"/>
      <c r="AF60" s="64"/>
      <c r="AG60" s="64"/>
      <c r="AH60" s="65"/>
      <c r="AI60" s="65"/>
      <c r="AJ60" s="65"/>
      <c r="AK60" s="65"/>
      <c r="AL60" s="65"/>
      <c r="AM60" s="64"/>
      <c r="AN60" s="65"/>
      <c r="AO60" s="65"/>
      <c r="AP60" s="64"/>
      <c r="AQ60" s="69"/>
      <c r="AR60" s="69"/>
      <c r="AS60" s="65"/>
    </row>
    <row r="61" spans="1:45" s="63" customFormat="1" ht="12.95" customHeight="1" x14ac:dyDescent="0.25">
      <c r="A61" s="41"/>
      <c r="B61" s="42" t="s">
        <v>15</v>
      </c>
      <c r="C61" s="67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 t="s">
        <v>7</v>
      </c>
      <c r="O61" s="43" t="s">
        <v>7</v>
      </c>
      <c r="P61" s="43"/>
      <c r="Q61" s="43"/>
      <c r="R61" s="43" t="s">
        <v>7</v>
      </c>
      <c r="S61" s="43" t="s">
        <v>7</v>
      </c>
      <c r="T61" s="43" t="s">
        <v>7</v>
      </c>
      <c r="U61" s="43" t="s">
        <v>7</v>
      </c>
      <c r="V61" s="43" t="s">
        <v>7</v>
      </c>
      <c r="W61" s="43"/>
      <c r="X61" s="43"/>
      <c r="Y61" s="43" t="s">
        <v>7</v>
      </c>
      <c r="Z61" s="43" t="s">
        <v>7</v>
      </c>
      <c r="AA61" s="43" t="s">
        <v>7</v>
      </c>
      <c r="AB61" s="43" t="s">
        <v>7</v>
      </c>
      <c r="AC61" s="43" t="s">
        <v>7</v>
      </c>
      <c r="AD61" s="43"/>
      <c r="AE61" s="43"/>
      <c r="AF61" s="43"/>
      <c r="AG61" s="43"/>
      <c r="AH61" s="44">
        <f>COUNTA(Octobre!$C61:$AG61)</f>
        <v>12</v>
      </c>
      <c r="AI61" s="45">
        <f>(COUNTIFS(Octobre!$C61:$AG61,("cp")))/2+Septembre!AI61</f>
        <v>10</v>
      </c>
      <c r="AJ61" s="45">
        <f>COUNTIFS(Octobre!$C61:$AG61,"RTT")/2+Septembre!AJ61</f>
        <v>0</v>
      </c>
      <c r="AK61" s="45">
        <f>COUNTIFS(Octobre!$C61:$AG61,"m")/2+Septembre!AK61</f>
        <v>0</v>
      </c>
      <c r="AL61" s="45">
        <f>COUNTIFS(Octobre!$C61:$AG61,"a")/2+Septembre!AL61</f>
        <v>0</v>
      </c>
      <c r="AM61" s="46"/>
      <c r="AN61" s="47"/>
      <c r="AO61" s="47"/>
      <c r="AP61" s="46"/>
      <c r="AQ61" s="47"/>
      <c r="AR61" s="47"/>
      <c r="AS61" s="47"/>
    </row>
    <row r="62" spans="1:45" s="63" customFormat="1" ht="12.95" customHeight="1" x14ac:dyDescent="0.25">
      <c r="A62" s="48">
        <v>42646</v>
      </c>
      <c r="B62" s="42" t="s">
        <v>16</v>
      </c>
      <c r="C62" s="67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 t="s">
        <v>7</v>
      </c>
      <c r="O62" s="43" t="s">
        <v>7</v>
      </c>
      <c r="P62" s="43"/>
      <c r="Q62" s="43"/>
      <c r="R62" s="43" t="s">
        <v>7</v>
      </c>
      <c r="S62" s="43" t="s">
        <v>7</v>
      </c>
      <c r="T62" s="43" t="s">
        <v>7</v>
      </c>
      <c r="U62" s="43" t="s">
        <v>7</v>
      </c>
      <c r="V62" s="43" t="s">
        <v>7</v>
      </c>
      <c r="W62" s="43"/>
      <c r="X62" s="43"/>
      <c r="Y62" s="43" t="s">
        <v>7</v>
      </c>
      <c r="Z62" s="43" t="s">
        <v>7</v>
      </c>
      <c r="AA62" s="43" t="s">
        <v>7</v>
      </c>
      <c r="AB62" s="43" t="s">
        <v>7</v>
      </c>
      <c r="AC62" s="43" t="s">
        <v>7</v>
      </c>
      <c r="AD62" s="43"/>
      <c r="AE62" s="43"/>
      <c r="AF62" s="43"/>
      <c r="AG62" s="43"/>
      <c r="AH62" s="44">
        <f>COUNTA(Octobre!$C62:$AG62)</f>
        <v>12</v>
      </c>
      <c r="AI62" s="45">
        <f>(COUNTIFS(Octobre!$C62:$AG62,("cp")))/2+Septembre!AI62</f>
        <v>10</v>
      </c>
      <c r="AJ62" s="45">
        <f>COUNTIFS(Octobre!$C62:$AG62,"RTT")/2+Septembre!AJ62</f>
        <v>0</v>
      </c>
      <c r="AK62" s="45">
        <f>COUNTIFS(Octobre!$C62:$AG62,"m")/2+Septembre!AK62</f>
        <v>0</v>
      </c>
      <c r="AL62" s="45">
        <f>COUNTIFS(Octobre!$C62:$AG62,"a")/2+Septembre!AL62</f>
        <v>0</v>
      </c>
      <c r="AM62" s="46"/>
      <c r="AN62" s="47"/>
      <c r="AO62" s="47"/>
      <c r="AP62" s="46"/>
      <c r="AQ62" s="47"/>
      <c r="AR62" s="47"/>
      <c r="AS62" s="101"/>
    </row>
    <row r="63" spans="1:45" s="63" customFormat="1" ht="12.95" customHeight="1" x14ac:dyDescent="0.25">
      <c r="A63" s="41"/>
      <c r="B63" s="42"/>
      <c r="C63" s="49" t="str">
        <f t="shared" ref="C63:AG63" si="18">IF(C61&gt;0,C61,IF(C62&gt;0,C62,""))</f>
        <v/>
      </c>
      <c r="D63" s="49" t="str">
        <f t="shared" si="18"/>
        <v/>
      </c>
      <c r="E63" s="49" t="str">
        <f t="shared" si="18"/>
        <v/>
      </c>
      <c r="F63" s="49" t="str">
        <f t="shared" si="18"/>
        <v/>
      </c>
      <c r="G63" s="49" t="str">
        <f t="shared" si="18"/>
        <v/>
      </c>
      <c r="H63" s="49" t="str">
        <f t="shared" si="18"/>
        <v/>
      </c>
      <c r="I63" s="49" t="str">
        <f t="shared" si="18"/>
        <v/>
      </c>
      <c r="J63" s="49" t="str">
        <f t="shared" si="18"/>
        <v/>
      </c>
      <c r="K63" s="49" t="str">
        <f t="shared" si="18"/>
        <v/>
      </c>
      <c r="L63" s="49" t="str">
        <f t="shared" si="18"/>
        <v/>
      </c>
      <c r="M63" s="49" t="str">
        <f t="shared" si="18"/>
        <v/>
      </c>
      <c r="N63" s="49" t="str">
        <f t="shared" si="18"/>
        <v>CP</v>
      </c>
      <c r="O63" s="49" t="str">
        <f t="shared" si="18"/>
        <v>CP</v>
      </c>
      <c r="P63" s="49" t="str">
        <f t="shared" si="18"/>
        <v/>
      </c>
      <c r="Q63" s="49" t="str">
        <f t="shared" si="18"/>
        <v/>
      </c>
      <c r="R63" s="49" t="str">
        <f t="shared" si="18"/>
        <v>CP</v>
      </c>
      <c r="S63" s="49" t="str">
        <f t="shared" si="18"/>
        <v>CP</v>
      </c>
      <c r="T63" s="49" t="str">
        <f t="shared" si="18"/>
        <v>CP</v>
      </c>
      <c r="U63" s="49" t="str">
        <f t="shared" si="18"/>
        <v>CP</v>
      </c>
      <c r="V63" s="49" t="str">
        <f t="shared" si="18"/>
        <v>CP</v>
      </c>
      <c r="W63" s="49" t="str">
        <f t="shared" si="18"/>
        <v/>
      </c>
      <c r="X63" s="49" t="str">
        <f t="shared" si="18"/>
        <v/>
      </c>
      <c r="Y63" s="49" t="str">
        <f t="shared" si="18"/>
        <v>CP</v>
      </c>
      <c r="Z63" s="49" t="str">
        <f t="shared" si="18"/>
        <v>CP</v>
      </c>
      <c r="AA63" s="49" t="str">
        <f t="shared" si="18"/>
        <v>CP</v>
      </c>
      <c r="AB63" s="49" t="str">
        <f t="shared" si="18"/>
        <v>CP</v>
      </c>
      <c r="AC63" s="49" t="str">
        <f t="shared" si="18"/>
        <v>CP</v>
      </c>
      <c r="AD63" s="49" t="str">
        <f t="shared" si="18"/>
        <v/>
      </c>
      <c r="AE63" s="49" t="str">
        <f t="shared" si="18"/>
        <v/>
      </c>
      <c r="AF63" s="49" t="str">
        <f t="shared" si="18"/>
        <v/>
      </c>
      <c r="AG63" s="49" t="str">
        <f t="shared" si="18"/>
        <v/>
      </c>
      <c r="AH63" s="44">
        <f>SUM(AH61:AH62)</f>
        <v>24</v>
      </c>
      <c r="AI63" s="45">
        <f>SUM(AI61:AI62)</f>
        <v>20</v>
      </c>
      <c r="AJ63" s="45">
        <f>SUM(AJ61:AJ62)</f>
        <v>0</v>
      </c>
      <c r="AK63" s="45">
        <f>SUM(AK61:AK62)</f>
        <v>0</v>
      </c>
      <c r="AL63" s="45">
        <f>SUM(AL61:AL62)</f>
        <v>0</v>
      </c>
      <c r="AM63" s="50">
        <f>Juin!AM63</f>
        <v>16.64</v>
      </c>
      <c r="AN63" s="51">
        <f>IF(A62="","",IF(A62&gt;NomMois,0,IF(A62&lt;$A$3,2.08,(NETWORKDAYS(A62,$A$2)/21.66667)*2.08)))</f>
        <v>2.08</v>
      </c>
      <c r="AO63" s="51">
        <f>IF( AN63="",Septembre!AO63,+AN63+Septembre!AO63)</f>
        <v>10.4</v>
      </c>
      <c r="AP63" s="50"/>
      <c r="AQ63" s="45">
        <f>+AM63-AI63</f>
        <v>-3.3599999999999994</v>
      </c>
      <c r="AR63" s="45">
        <f>+AP63-AJ63</f>
        <v>0</v>
      </c>
      <c r="AS63" s="102">
        <f t="shared" si="10"/>
        <v>7.0400000000000009</v>
      </c>
    </row>
    <row r="64" spans="1:45" s="63" customFormat="1" ht="6.75" customHeight="1" x14ac:dyDescent="0.25">
      <c r="A64" s="60"/>
      <c r="B64" s="53"/>
      <c r="C64" s="60"/>
      <c r="D64" s="60"/>
      <c r="E64" s="60"/>
      <c r="F64" s="60"/>
      <c r="G64" s="60"/>
      <c r="H64" s="60"/>
      <c r="I64" s="60"/>
      <c r="J64" s="60"/>
      <c r="K64" s="60"/>
      <c r="L64" s="60"/>
      <c r="M64" s="60"/>
      <c r="N64" s="60"/>
      <c r="O64" s="60"/>
      <c r="P64" s="60"/>
      <c r="Q64" s="60"/>
      <c r="R64" s="60"/>
      <c r="S64" s="60"/>
      <c r="T64" s="60"/>
      <c r="U64" s="60"/>
      <c r="V64" s="60"/>
      <c r="W64" s="60"/>
      <c r="X64" s="60"/>
      <c r="Y64" s="60"/>
      <c r="Z64" s="60"/>
      <c r="AA64" s="60"/>
      <c r="AB64" s="60"/>
      <c r="AC64" s="60"/>
      <c r="AD64" s="60"/>
      <c r="AE64" s="60"/>
      <c r="AF64" s="60"/>
      <c r="AG64" s="60"/>
      <c r="AH64" s="61">
        <v>0</v>
      </c>
      <c r="AI64" s="61">
        <v>0</v>
      </c>
      <c r="AJ64" s="61">
        <v>0</v>
      </c>
      <c r="AK64" s="61">
        <v>0</v>
      </c>
      <c r="AL64" s="61">
        <v>0</v>
      </c>
      <c r="AM64" s="60"/>
      <c r="AN64" s="61"/>
      <c r="AO64" s="61"/>
      <c r="AP64" s="60"/>
      <c r="AQ64" s="69"/>
      <c r="AR64" s="69"/>
      <c r="AS64" s="65"/>
    </row>
    <row r="65" spans="1:45" s="63" customFormat="1" ht="12.95" customHeight="1" x14ac:dyDescent="0.25">
      <c r="A65" s="41"/>
      <c r="B65" s="42" t="s">
        <v>15</v>
      </c>
      <c r="C65" s="67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  <c r="W65" s="43"/>
      <c r="X65" s="43"/>
      <c r="Y65" s="43"/>
      <c r="Z65" s="43"/>
      <c r="AA65" s="43"/>
      <c r="AB65" s="43"/>
      <c r="AC65" s="43"/>
      <c r="AD65" s="43"/>
      <c r="AE65" s="43"/>
      <c r="AF65" s="43"/>
      <c r="AG65" s="43"/>
      <c r="AH65" s="44">
        <f>COUNTA(Octobre!$C65:$AG65)</f>
        <v>0</v>
      </c>
      <c r="AI65" s="45">
        <f>(COUNTIFS(Octobre!$C65:$AG65,("cp")))/2+Septembre!AI65</f>
        <v>8</v>
      </c>
      <c r="AJ65" s="45">
        <f>COUNTIFS(Octobre!$C65:$AG65,"RTT")/2+Septembre!AJ65</f>
        <v>0</v>
      </c>
      <c r="AK65" s="45">
        <f>COUNTIFS(Octobre!$C65:$AG65,"m")/2+Septembre!AK65</f>
        <v>0</v>
      </c>
      <c r="AL65" s="45">
        <f>COUNTIFS(Octobre!$C65:$AG65,"a")/2+Septembre!AL65</f>
        <v>0</v>
      </c>
      <c r="AM65" s="46"/>
      <c r="AN65" s="47"/>
      <c r="AO65" s="47"/>
      <c r="AP65" s="46"/>
      <c r="AQ65" s="47"/>
      <c r="AR65" s="47"/>
      <c r="AS65" s="47"/>
    </row>
    <row r="66" spans="1:45" s="63" customFormat="1" ht="12.95" customHeight="1" x14ac:dyDescent="0.25">
      <c r="A66" s="48">
        <v>42410</v>
      </c>
      <c r="B66" s="42" t="s">
        <v>16</v>
      </c>
      <c r="C66" s="67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3"/>
      <c r="T66" s="43"/>
      <c r="U66" s="43"/>
      <c r="V66" s="43"/>
      <c r="W66" s="43"/>
      <c r="X66" s="43"/>
      <c r="Y66" s="43"/>
      <c r="Z66" s="43"/>
      <c r="AA66" s="43"/>
      <c r="AB66" s="43"/>
      <c r="AC66" s="43"/>
      <c r="AD66" s="43"/>
      <c r="AE66" s="43"/>
      <c r="AF66" s="43"/>
      <c r="AG66" s="43"/>
      <c r="AH66" s="44">
        <f>COUNTA(Octobre!$C66:$AG66)</f>
        <v>0</v>
      </c>
      <c r="AI66" s="45">
        <f>(COUNTIFS(Octobre!$C66:$AG66,("cp")))/2+Septembre!AI66</f>
        <v>8</v>
      </c>
      <c r="AJ66" s="45">
        <f>COUNTIFS(Octobre!$C66:$AG66,"RTT")/2+Septembre!AJ66</f>
        <v>0</v>
      </c>
      <c r="AK66" s="45">
        <f>COUNTIFS(Octobre!$C66:$AG66,"m")/2+Septembre!AK66</f>
        <v>0</v>
      </c>
      <c r="AL66" s="45">
        <f>COUNTIFS(Octobre!$C66:$AG66,"a")/2+Septembre!AL66</f>
        <v>0</v>
      </c>
      <c r="AM66" s="46"/>
      <c r="AN66" s="47"/>
      <c r="AO66" s="47"/>
      <c r="AP66" s="46"/>
      <c r="AQ66" s="47"/>
      <c r="AR66" s="47"/>
      <c r="AS66" s="101"/>
    </row>
    <row r="67" spans="1:45" s="63" customFormat="1" ht="12.95" customHeight="1" x14ac:dyDescent="0.25">
      <c r="A67" s="41"/>
      <c r="B67" s="42"/>
      <c r="C67" s="49" t="str">
        <f t="shared" ref="C67:AG67" si="19">IF(C65&gt;0,C65,IF(C66&gt;0,C66,""))</f>
        <v/>
      </c>
      <c r="D67" s="49" t="str">
        <f t="shared" si="19"/>
        <v/>
      </c>
      <c r="E67" s="49" t="str">
        <f t="shared" si="19"/>
        <v/>
      </c>
      <c r="F67" s="49" t="str">
        <f t="shared" si="19"/>
        <v/>
      </c>
      <c r="G67" s="49" t="str">
        <f t="shared" si="19"/>
        <v/>
      </c>
      <c r="H67" s="49" t="str">
        <f t="shared" si="19"/>
        <v/>
      </c>
      <c r="I67" s="49" t="str">
        <f t="shared" si="19"/>
        <v/>
      </c>
      <c r="J67" s="49" t="str">
        <f t="shared" si="19"/>
        <v/>
      </c>
      <c r="K67" s="49" t="str">
        <f t="shared" si="19"/>
        <v/>
      </c>
      <c r="L67" s="49" t="str">
        <f t="shared" si="19"/>
        <v/>
      </c>
      <c r="M67" s="49" t="str">
        <f t="shared" si="19"/>
        <v/>
      </c>
      <c r="N67" s="49" t="str">
        <f t="shared" si="19"/>
        <v/>
      </c>
      <c r="O67" s="49" t="str">
        <f t="shared" si="19"/>
        <v/>
      </c>
      <c r="P67" s="49" t="str">
        <f t="shared" si="19"/>
        <v/>
      </c>
      <c r="Q67" s="49" t="str">
        <f t="shared" si="19"/>
        <v/>
      </c>
      <c r="R67" s="49" t="str">
        <f t="shared" si="19"/>
        <v/>
      </c>
      <c r="S67" s="49" t="str">
        <f t="shared" si="19"/>
        <v/>
      </c>
      <c r="T67" s="49" t="str">
        <f t="shared" si="19"/>
        <v/>
      </c>
      <c r="U67" s="49" t="str">
        <f t="shared" si="19"/>
        <v/>
      </c>
      <c r="V67" s="49" t="str">
        <f t="shared" si="19"/>
        <v/>
      </c>
      <c r="W67" s="49" t="str">
        <f t="shared" si="19"/>
        <v/>
      </c>
      <c r="X67" s="49" t="str">
        <f t="shared" si="19"/>
        <v/>
      </c>
      <c r="Y67" s="49" t="str">
        <f t="shared" si="19"/>
        <v/>
      </c>
      <c r="Z67" s="49" t="str">
        <f t="shared" si="19"/>
        <v/>
      </c>
      <c r="AA67" s="49" t="str">
        <f t="shared" si="19"/>
        <v/>
      </c>
      <c r="AB67" s="49" t="str">
        <f t="shared" si="19"/>
        <v/>
      </c>
      <c r="AC67" s="49" t="str">
        <f t="shared" si="19"/>
        <v/>
      </c>
      <c r="AD67" s="49" t="str">
        <f t="shared" si="19"/>
        <v/>
      </c>
      <c r="AE67" s="49" t="str">
        <f t="shared" si="19"/>
        <v/>
      </c>
      <c r="AF67" s="49" t="str">
        <f t="shared" si="19"/>
        <v/>
      </c>
      <c r="AG67" s="49" t="str">
        <f t="shared" si="19"/>
        <v/>
      </c>
      <c r="AH67" s="44">
        <f>SUM(AH65:AH66)</f>
        <v>0</v>
      </c>
      <c r="AI67" s="45">
        <f>SUM(AI65:AI66)</f>
        <v>16</v>
      </c>
      <c r="AJ67" s="45">
        <f>SUM(AJ65:AJ66)</f>
        <v>0</v>
      </c>
      <c r="AK67" s="45">
        <f>SUM(AK65:AK66)</f>
        <v>0</v>
      </c>
      <c r="AL67" s="45">
        <f>SUM(AL65:AL66)</f>
        <v>0</v>
      </c>
      <c r="AM67" s="50">
        <f>Juin!AM67</f>
        <v>22.46</v>
      </c>
      <c r="AN67" s="51">
        <f>IF(A66="","",IF(A66&gt;NomMois,0,IF(A66&lt;$A$3,2.08,(NETWORKDAYS(A66,$A$2)/21.66667)*2.08)))</f>
        <v>2.08</v>
      </c>
      <c r="AO67" s="51">
        <f>IF( AN67="",Septembre!AO67,+AN67+Septembre!AO67)</f>
        <v>10.4</v>
      </c>
      <c r="AP67" s="50"/>
      <c r="AQ67" s="45">
        <f>+AM67-AI67</f>
        <v>6.4600000000000009</v>
      </c>
      <c r="AR67" s="45">
        <f>+AP67-AJ67</f>
        <v>0</v>
      </c>
      <c r="AS67" s="102">
        <f t="shared" si="10"/>
        <v>16.86</v>
      </c>
    </row>
    <row r="68" spans="1:45" s="63" customFormat="1" ht="6.75" customHeight="1" x14ac:dyDescent="0.25">
      <c r="A68" s="64"/>
      <c r="B68" s="42"/>
      <c r="C68" s="64"/>
      <c r="D68" s="64"/>
      <c r="E68" s="64"/>
      <c r="F68" s="64"/>
      <c r="G68" s="64"/>
      <c r="H68" s="64"/>
      <c r="I68" s="64"/>
      <c r="J68" s="64"/>
      <c r="K68" s="64"/>
      <c r="L68" s="64"/>
      <c r="M68" s="64"/>
      <c r="N68" s="64"/>
      <c r="O68" s="64"/>
      <c r="P68" s="64"/>
      <c r="Q68" s="64"/>
      <c r="R68" s="64"/>
      <c r="S68" s="64"/>
      <c r="T68" s="64"/>
      <c r="U68" s="64"/>
      <c r="V68" s="64"/>
      <c r="W68" s="64"/>
      <c r="X68" s="64"/>
      <c r="Y68" s="64"/>
      <c r="Z68" s="64"/>
      <c r="AA68" s="64"/>
      <c r="AB68" s="64"/>
      <c r="AC68" s="64"/>
      <c r="AD68" s="64"/>
      <c r="AE68" s="64"/>
      <c r="AF68" s="64"/>
      <c r="AG68" s="64"/>
      <c r="AH68" s="65"/>
      <c r="AI68" s="65"/>
      <c r="AJ68" s="65"/>
      <c r="AK68" s="65"/>
      <c r="AL68" s="65"/>
      <c r="AM68" s="64"/>
      <c r="AN68" s="65"/>
      <c r="AO68" s="65"/>
      <c r="AP68" s="64"/>
      <c r="AQ68" s="69"/>
      <c r="AR68" s="69"/>
      <c r="AS68" s="65"/>
    </row>
    <row r="69" spans="1:45" s="63" customFormat="1" ht="12.95" customHeight="1" x14ac:dyDescent="0.25">
      <c r="A69" s="41"/>
      <c r="B69" s="42" t="s">
        <v>15</v>
      </c>
      <c r="C69" s="67"/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43"/>
      <c r="AA69" s="43"/>
      <c r="AB69" s="43"/>
      <c r="AC69" s="43"/>
      <c r="AD69" s="43"/>
      <c r="AE69" s="43"/>
      <c r="AF69" s="43"/>
      <c r="AG69" s="43"/>
      <c r="AH69" s="44">
        <f>COUNTA(Octobre!$C69:$AG69)</f>
        <v>0</v>
      </c>
      <c r="AI69" s="45">
        <f>(COUNTIFS(Octobre!$C69:$AG69,("cp")))/2+Septembre!AI69</f>
        <v>10</v>
      </c>
      <c r="AJ69" s="45">
        <f>COUNTIFS(Octobre!$C69:$AG69,"RTT")/2+Septembre!AJ69</f>
        <v>0</v>
      </c>
      <c r="AK69" s="45">
        <f>COUNTIFS(Octobre!$C69:$AG69,"m")/2+Septembre!AK69</f>
        <v>0</v>
      </c>
      <c r="AL69" s="45">
        <f>COUNTIFS(Octobre!$C69:$AG69,"a")/2+Septembre!AL69</f>
        <v>1</v>
      </c>
      <c r="AM69" s="46"/>
      <c r="AN69" s="47"/>
      <c r="AO69" s="47"/>
      <c r="AP69" s="46"/>
      <c r="AQ69" s="47"/>
      <c r="AR69" s="47"/>
      <c r="AS69" s="47"/>
    </row>
    <row r="70" spans="1:45" s="63" customFormat="1" ht="12.95" customHeight="1" x14ac:dyDescent="0.25">
      <c r="A70" s="48">
        <v>41701</v>
      </c>
      <c r="B70" s="42" t="s">
        <v>16</v>
      </c>
      <c r="C70" s="67"/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  <c r="S70" s="43"/>
      <c r="T70" s="43"/>
      <c r="U70" s="43"/>
      <c r="V70" s="43"/>
      <c r="W70" s="43"/>
      <c r="X70" s="43"/>
      <c r="Y70" s="43"/>
      <c r="Z70" s="43"/>
      <c r="AA70" s="43"/>
      <c r="AB70" s="43"/>
      <c r="AC70" s="43"/>
      <c r="AD70" s="43"/>
      <c r="AE70" s="43"/>
      <c r="AF70" s="43"/>
      <c r="AG70" s="43"/>
      <c r="AH70" s="44">
        <f>COUNTA(Octobre!$C70:$AG70)</f>
        <v>0</v>
      </c>
      <c r="AI70" s="45">
        <f>(COUNTIFS(Octobre!$C70:$AG70,("cp")))/2+Septembre!AI70</f>
        <v>10</v>
      </c>
      <c r="AJ70" s="45">
        <f>COUNTIFS(Octobre!$C70:$AG70,"RTT")/2+Septembre!AJ70</f>
        <v>0</v>
      </c>
      <c r="AK70" s="45">
        <f>COUNTIFS(Octobre!$C70:$AG70,"m")/2+Septembre!AK70</f>
        <v>0</v>
      </c>
      <c r="AL70" s="45">
        <f>COUNTIFS(Octobre!$C70:$AG70,"a")/2+Septembre!AL70</f>
        <v>1</v>
      </c>
      <c r="AM70" s="46"/>
      <c r="AN70" s="47"/>
      <c r="AO70" s="47"/>
      <c r="AP70" s="46"/>
      <c r="AQ70" s="47"/>
      <c r="AR70" s="47"/>
      <c r="AS70" s="101"/>
    </row>
    <row r="71" spans="1:45" s="63" customFormat="1" ht="12.95" customHeight="1" x14ac:dyDescent="0.25">
      <c r="A71" s="41"/>
      <c r="B71" s="42"/>
      <c r="C71" s="49" t="str">
        <f t="shared" ref="C71:AG71" si="20">IF(C69&gt;0,C69,IF(C70&gt;0,C70,""))</f>
        <v/>
      </c>
      <c r="D71" s="49" t="str">
        <f t="shared" si="20"/>
        <v/>
      </c>
      <c r="E71" s="49" t="str">
        <f t="shared" si="20"/>
        <v/>
      </c>
      <c r="F71" s="49" t="str">
        <f t="shared" si="20"/>
        <v/>
      </c>
      <c r="G71" s="49" t="str">
        <f t="shared" si="20"/>
        <v/>
      </c>
      <c r="H71" s="49" t="str">
        <f t="shared" si="20"/>
        <v/>
      </c>
      <c r="I71" s="49" t="str">
        <f t="shared" si="20"/>
        <v/>
      </c>
      <c r="J71" s="49" t="str">
        <f t="shared" si="20"/>
        <v/>
      </c>
      <c r="K71" s="49" t="str">
        <f t="shared" si="20"/>
        <v/>
      </c>
      <c r="L71" s="49" t="str">
        <f t="shared" si="20"/>
        <v/>
      </c>
      <c r="M71" s="49" t="str">
        <f t="shared" si="20"/>
        <v/>
      </c>
      <c r="N71" s="49" t="str">
        <f t="shared" si="20"/>
        <v/>
      </c>
      <c r="O71" s="49" t="str">
        <f t="shared" si="20"/>
        <v/>
      </c>
      <c r="P71" s="49" t="str">
        <f t="shared" si="20"/>
        <v/>
      </c>
      <c r="Q71" s="49" t="str">
        <f t="shared" si="20"/>
        <v/>
      </c>
      <c r="R71" s="49" t="str">
        <f t="shared" si="20"/>
        <v/>
      </c>
      <c r="S71" s="49" t="str">
        <f t="shared" si="20"/>
        <v/>
      </c>
      <c r="T71" s="49" t="str">
        <f t="shared" si="20"/>
        <v/>
      </c>
      <c r="U71" s="49" t="str">
        <f t="shared" si="20"/>
        <v/>
      </c>
      <c r="V71" s="49" t="str">
        <f t="shared" si="20"/>
        <v/>
      </c>
      <c r="W71" s="49" t="str">
        <f t="shared" si="20"/>
        <v/>
      </c>
      <c r="X71" s="49" t="str">
        <f t="shared" si="20"/>
        <v/>
      </c>
      <c r="Y71" s="49" t="str">
        <f t="shared" si="20"/>
        <v/>
      </c>
      <c r="Z71" s="49" t="str">
        <f t="shared" si="20"/>
        <v/>
      </c>
      <c r="AA71" s="49" t="str">
        <f t="shared" si="20"/>
        <v/>
      </c>
      <c r="AB71" s="49" t="str">
        <f t="shared" si="20"/>
        <v/>
      </c>
      <c r="AC71" s="49" t="str">
        <f t="shared" si="20"/>
        <v/>
      </c>
      <c r="AD71" s="49" t="str">
        <f t="shared" si="20"/>
        <v/>
      </c>
      <c r="AE71" s="49" t="str">
        <f t="shared" si="20"/>
        <v/>
      </c>
      <c r="AF71" s="49" t="str">
        <f t="shared" si="20"/>
        <v/>
      </c>
      <c r="AG71" s="49" t="str">
        <f t="shared" si="20"/>
        <v/>
      </c>
      <c r="AH71" s="44">
        <f>SUM(AH69:AH70)</f>
        <v>0</v>
      </c>
      <c r="AI71" s="45">
        <f>SUM(AI69:AI70)</f>
        <v>20</v>
      </c>
      <c r="AJ71" s="45">
        <f>SUM(AJ69:AJ70)</f>
        <v>0</v>
      </c>
      <c r="AK71" s="45">
        <f>SUM(AK69:AK70)</f>
        <v>0</v>
      </c>
      <c r="AL71" s="45">
        <f>SUM(AL69:AL70)</f>
        <v>2</v>
      </c>
      <c r="AM71" s="50">
        <f>Juin!AM71</f>
        <v>45.34</v>
      </c>
      <c r="AN71" s="51">
        <f>IF(A70="","",IF(A70&gt;NomMois,0,IF(A70&lt;$A$3,2.08,(NETWORKDAYS(A70,$A$2)/21.66667)*2.08)))</f>
        <v>2.08</v>
      </c>
      <c r="AO71" s="51">
        <f>IF( AN71="",Septembre!AO71,+AN71+Septembre!AO71)</f>
        <v>10.4</v>
      </c>
      <c r="AP71" s="50"/>
      <c r="AQ71" s="45">
        <f>+AM71-AI71</f>
        <v>25.340000000000003</v>
      </c>
      <c r="AR71" s="45">
        <f>+AP71-AJ71</f>
        <v>0</v>
      </c>
      <c r="AS71" s="102">
        <f t="shared" si="10"/>
        <v>35.74</v>
      </c>
    </row>
    <row r="72" spans="1:45" s="63" customFormat="1" ht="6.75" customHeight="1" x14ac:dyDescent="0.25">
      <c r="A72" s="60"/>
      <c r="B72" s="53"/>
      <c r="C72" s="60"/>
      <c r="D72" s="60"/>
      <c r="E72" s="60"/>
      <c r="F72" s="60"/>
      <c r="G72" s="60"/>
      <c r="H72" s="60"/>
      <c r="I72" s="60"/>
      <c r="J72" s="60"/>
      <c r="K72" s="60"/>
      <c r="L72" s="60"/>
      <c r="M72" s="60"/>
      <c r="N72" s="60"/>
      <c r="O72" s="60"/>
      <c r="P72" s="60"/>
      <c r="Q72" s="60"/>
      <c r="R72" s="60"/>
      <c r="S72" s="60"/>
      <c r="T72" s="60"/>
      <c r="U72" s="60"/>
      <c r="V72" s="60"/>
      <c r="W72" s="60"/>
      <c r="X72" s="60"/>
      <c r="Y72" s="60"/>
      <c r="Z72" s="60"/>
      <c r="AA72" s="60"/>
      <c r="AB72" s="60"/>
      <c r="AC72" s="60"/>
      <c r="AD72" s="60"/>
      <c r="AE72" s="60"/>
      <c r="AF72" s="60"/>
      <c r="AG72" s="60"/>
      <c r="AH72" s="61"/>
      <c r="AI72" s="61"/>
      <c r="AJ72" s="61"/>
      <c r="AK72" s="61"/>
      <c r="AL72" s="61"/>
      <c r="AM72" s="60"/>
      <c r="AN72" s="61"/>
      <c r="AO72" s="61"/>
      <c r="AP72" s="60"/>
      <c r="AQ72" s="69"/>
      <c r="AR72" s="69"/>
      <c r="AS72" s="65"/>
    </row>
    <row r="73" spans="1:45" s="63" customFormat="1" ht="12.95" customHeight="1" x14ac:dyDescent="0.25">
      <c r="A73" s="41"/>
      <c r="B73" s="42" t="s">
        <v>15</v>
      </c>
      <c r="C73" s="67"/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43"/>
      <c r="AH73" s="44">
        <f>COUNTA(Octobre!$C73:$AG73)</f>
        <v>0</v>
      </c>
      <c r="AI73" s="45">
        <f>(COUNTIFS(Octobre!$C73:$AG73,("cp")))/2+Septembre!AI73</f>
        <v>0</v>
      </c>
      <c r="AJ73" s="45">
        <f>COUNTIFS(Octobre!$C73:$AG73,"RTT")/2+Septembre!AJ73</f>
        <v>0</v>
      </c>
      <c r="AK73" s="45">
        <f>COUNTIFS(Octobre!$C73:$AG73,"m")/2+Septembre!AK73</f>
        <v>0</v>
      </c>
      <c r="AL73" s="45">
        <f>COUNTIFS(Octobre!$C73:$AG73,"a")/2+Septembre!AL73</f>
        <v>0</v>
      </c>
      <c r="AM73" s="46"/>
      <c r="AN73" s="47"/>
      <c r="AO73" s="47"/>
      <c r="AP73" s="46"/>
      <c r="AQ73" s="47"/>
      <c r="AR73" s="47"/>
      <c r="AS73" s="47"/>
    </row>
    <row r="74" spans="1:45" s="63" customFormat="1" ht="12.95" customHeight="1" x14ac:dyDescent="0.25">
      <c r="A74" s="48">
        <v>42979</v>
      </c>
      <c r="B74" s="42" t="s">
        <v>16</v>
      </c>
      <c r="C74" s="67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43"/>
      <c r="AH74" s="44">
        <f>COUNTA(Octobre!$C74:$AG74)</f>
        <v>0</v>
      </c>
      <c r="AI74" s="45">
        <f>(COUNTIFS(Octobre!$C74:$AG74,("cp")))/2+Septembre!AI74</f>
        <v>0</v>
      </c>
      <c r="AJ74" s="45">
        <f>COUNTIFS(Octobre!$C74:$AG74,"RTT")/2+Septembre!AJ74</f>
        <v>0</v>
      </c>
      <c r="AK74" s="45">
        <f>COUNTIFS(Octobre!$C74:$AG74,"m")/2+Septembre!AK74</f>
        <v>0</v>
      </c>
      <c r="AL74" s="45">
        <f>COUNTIFS(Octobre!$C74:$AG74,"a")/2+Septembre!AL74</f>
        <v>0</v>
      </c>
      <c r="AM74" s="46"/>
      <c r="AN74" s="47"/>
      <c r="AO74" s="47"/>
      <c r="AP74" s="46"/>
      <c r="AQ74" s="47"/>
      <c r="AR74" s="47"/>
      <c r="AS74" s="101"/>
    </row>
    <row r="75" spans="1:45" s="63" customFormat="1" ht="12.95" customHeight="1" x14ac:dyDescent="0.25">
      <c r="A75" s="41"/>
      <c r="B75" s="42"/>
      <c r="C75" s="49" t="str">
        <f t="shared" ref="C75:AG75" si="21">IF(C73&gt;0,C73,IF(C74&gt;0,C74,""))</f>
        <v/>
      </c>
      <c r="D75" s="49" t="str">
        <f t="shared" si="21"/>
        <v/>
      </c>
      <c r="E75" s="49" t="str">
        <f t="shared" si="21"/>
        <v/>
      </c>
      <c r="F75" s="49" t="str">
        <f t="shared" si="21"/>
        <v/>
      </c>
      <c r="G75" s="49" t="str">
        <f t="shared" si="21"/>
        <v/>
      </c>
      <c r="H75" s="49" t="str">
        <f t="shared" si="21"/>
        <v/>
      </c>
      <c r="I75" s="49" t="str">
        <f t="shared" si="21"/>
        <v/>
      </c>
      <c r="J75" s="49" t="str">
        <f t="shared" si="21"/>
        <v/>
      </c>
      <c r="K75" s="49" t="str">
        <f t="shared" si="21"/>
        <v/>
      </c>
      <c r="L75" s="49" t="str">
        <f t="shared" si="21"/>
        <v/>
      </c>
      <c r="M75" s="49" t="str">
        <f t="shared" si="21"/>
        <v/>
      </c>
      <c r="N75" s="49" t="str">
        <f t="shared" si="21"/>
        <v/>
      </c>
      <c r="O75" s="49" t="str">
        <f t="shared" si="21"/>
        <v/>
      </c>
      <c r="P75" s="49" t="str">
        <f t="shared" si="21"/>
        <v/>
      </c>
      <c r="Q75" s="49" t="str">
        <f t="shared" si="21"/>
        <v/>
      </c>
      <c r="R75" s="49" t="str">
        <f t="shared" si="21"/>
        <v/>
      </c>
      <c r="S75" s="49" t="str">
        <f t="shared" si="21"/>
        <v/>
      </c>
      <c r="T75" s="49" t="str">
        <f t="shared" si="21"/>
        <v/>
      </c>
      <c r="U75" s="49" t="str">
        <f t="shared" si="21"/>
        <v/>
      </c>
      <c r="V75" s="49" t="str">
        <f t="shared" si="21"/>
        <v/>
      </c>
      <c r="W75" s="49" t="str">
        <f t="shared" si="21"/>
        <v/>
      </c>
      <c r="X75" s="49" t="str">
        <f t="shared" si="21"/>
        <v/>
      </c>
      <c r="Y75" s="49" t="str">
        <f t="shared" si="21"/>
        <v/>
      </c>
      <c r="Z75" s="49" t="str">
        <f t="shared" si="21"/>
        <v/>
      </c>
      <c r="AA75" s="49" t="str">
        <f t="shared" si="21"/>
        <v/>
      </c>
      <c r="AB75" s="49" t="str">
        <f t="shared" si="21"/>
        <v/>
      </c>
      <c r="AC75" s="49" t="str">
        <f t="shared" si="21"/>
        <v/>
      </c>
      <c r="AD75" s="49" t="str">
        <f t="shared" si="21"/>
        <v/>
      </c>
      <c r="AE75" s="49" t="str">
        <f t="shared" si="21"/>
        <v/>
      </c>
      <c r="AF75" s="49" t="str">
        <f t="shared" si="21"/>
        <v/>
      </c>
      <c r="AG75" s="49" t="str">
        <f t="shared" si="21"/>
        <v/>
      </c>
      <c r="AH75" s="44">
        <f>SUM(AH73:AH74)</f>
        <v>0</v>
      </c>
      <c r="AI75" s="45">
        <f>SUM(AI73:AI74)</f>
        <v>0</v>
      </c>
      <c r="AJ75" s="45">
        <f>SUM(AJ73:AJ74)</f>
        <v>0</v>
      </c>
      <c r="AK75" s="45">
        <f>SUM(AK73:AK74)</f>
        <v>0</v>
      </c>
      <c r="AL75" s="45">
        <f>SUM(AL73:AL74)</f>
        <v>0</v>
      </c>
      <c r="AM75" s="50">
        <f>Juin!AM75</f>
        <v>0</v>
      </c>
      <c r="AN75" s="51">
        <f>IF(A74="","",IF(A74&gt;NomMois,0,IF(A74&lt;$A$3,2.08,(NETWORKDAYS(A74,$A$2)/21.66667)*2.08)))</f>
        <v>2.08</v>
      </c>
      <c r="AO75" s="51">
        <f>IF( AN75="",Septembre!AO75,+AN75+Septembre!AO75)</f>
        <v>4.0959996898462023</v>
      </c>
      <c r="AP75" s="50"/>
      <c r="AQ75" s="45">
        <f>+AM75-AI75</f>
        <v>0</v>
      </c>
      <c r="AR75" s="45">
        <f>+AP75-AJ75</f>
        <v>0</v>
      </c>
      <c r="AS75" s="102">
        <f t="shared" si="10"/>
        <v>4.0959996898462023</v>
      </c>
    </row>
    <row r="76" spans="1:45" s="63" customFormat="1" ht="6.75" customHeight="1" x14ac:dyDescent="0.25">
      <c r="A76" s="64"/>
      <c r="B76" s="42"/>
      <c r="C76" s="64"/>
      <c r="D76" s="64"/>
      <c r="E76" s="64"/>
      <c r="F76" s="64"/>
      <c r="G76" s="64"/>
      <c r="H76" s="64"/>
      <c r="I76" s="64"/>
      <c r="J76" s="64"/>
      <c r="K76" s="64"/>
      <c r="L76" s="64"/>
      <c r="M76" s="64"/>
      <c r="N76" s="64"/>
      <c r="O76" s="64"/>
      <c r="P76" s="64"/>
      <c r="Q76" s="64"/>
      <c r="R76" s="64"/>
      <c r="S76" s="64"/>
      <c r="T76" s="64"/>
      <c r="U76" s="64"/>
      <c r="V76" s="64"/>
      <c r="W76" s="64"/>
      <c r="X76" s="64"/>
      <c r="Y76" s="64"/>
      <c r="Z76" s="64"/>
      <c r="AA76" s="64"/>
      <c r="AB76" s="64"/>
      <c r="AC76" s="64"/>
      <c r="AD76" s="64"/>
      <c r="AE76" s="64"/>
      <c r="AF76" s="64"/>
      <c r="AG76" s="64"/>
      <c r="AH76" s="65"/>
      <c r="AI76" s="65"/>
      <c r="AJ76" s="65"/>
      <c r="AK76" s="65"/>
      <c r="AL76" s="65"/>
      <c r="AM76" s="64"/>
      <c r="AN76" s="65"/>
      <c r="AO76" s="65"/>
      <c r="AP76" s="64"/>
      <c r="AQ76" s="69"/>
      <c r="AR76" s="69"/>
      <c r="AS76" s="65"/>
    </row>
    <row r="77" spans="1:45" s="63" customFormat="1" ht="12.95" customHeight="1" x14ac:dyDescent="0.25">
      <c r="A77" s="41"/>
      <c r="B77" s="42" t="s">
        <v>15</v>
      </c>
      <c r="C77" s="67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43"/>
      <c r="AH77" s="44">
        <f>COUNTA(Octobre!$C77:$AG77)</f>
        <v>0</v>
      </c>
      <c r="AI77" s="45">
        <f>(COUNTIFS(Octobre!$C77:$AG77,("cp")))/2+Septembre!AI77</f>
        <v>0</v>
      </c>
      <c r="AJ77" s="45">
        <f>COUNTIFS(Octobre!$C77:$AG77,"RTT")/2+Septembre!AJ77</f>
        <v>0</v>
      </c>
      <c r="AK77" s="45">
        <f>COUNTIFS(Octobre!$C77:$AG77,"m")/2+Septembre!AK77</f>
        <v>0</v>
      </c>
      <c r="AL77" s="45">
        <f>COUNTIFS(Octobre!$C77:$AG77,"a")/2+Septembre!AL77</f>
        <v>0</v>
      </c>
      <c r="AM77" s="46"/>
      <c r="AN77" s="47"/>
      <c r="AO77" s="47"/>
      <c r="AP77" s="46"/>
      <c r="AQ77" s="47"/>
      <c r="AR77" s="47"/>
      <c r="AS77" s="47"/>
    </row>
    <row r="78" spans="1:45" s="63" customFormat="1" ht="12.95" customHeight="1" x14ac:dyDescent="0.25">
      <c r="A78" s="48">
        <v>43059</v>
      </c>
      <c r="B78" s="42" t="s">
        <v>16</v>
      </c>
      <c r="C78" s="67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  <c r="AA78" s="43"/>
      <c r="AB78" s="43"/>
      <c r="AC78" s="43"/>
      <c r="AD78" s="43"/>
      <c r="AE78" s="43"/>
      <c r="AF78" s="43"/>
      <c r="AG78" s="43"/>
      <c r="AH78" s="44">
        <f>COUNTA(Octobre!$C78:$AG78)</f>
        <v>0</v>
      </c>
      <c r="AI78" s="45">
        <f>(COUNTIFS(Octobre!$C78:$AG78,("cp")))/2+Septembre!AI78</f>
        <v>0</v>
      </c>
      <c r="AJ78" s="45">
        <f>COUNTIFS(Octobre!$C78:$AG78,"RTT")/2+Septembre!AJ78</f>
        <v>0</v>
      </c>
      <c r="AK78" s="45">
        <f>COUNTIFS(Octobre!$C78:$AG78,"m")/2+Septembre!AK78</f>
        <v>0</v>
      </c>
      <c r="AL78" s="45">
        <f>COUNTIFS(Octobre!$C78:$AG78,"a")/2+Septembre!AL78</f>
        <v>0</v>
      </c>
      <c r="AM78" s="46"/>
      <c r="AN78" s="47"/>
      <c r="AO78" s="47"/>
      <c r="AP78" s="46"/>
      <c r="AQ78" s="47"/>
      <c r="AR78" s="47"/>
      <c r="AS78" s="101"/>
    </row>
    <row r="79" spans="1:45" s="63" customFormat="1" ht="12.95" customHeight="1" x14ac:dyDescent="0.25">
      <c r="A79" s="41"/>
      <c r="B79" s="42"/>
      <c r="C79" s="49" t="str">
        <f t="shared" ref="C79:AG79" si="22">IF(C77&gt;0,C77,IF(C78&gt;0,C78,""))</f>
        <v/>
      </c>
      <c r="D79" s="49" t="str">
        <f t="shared" si="22"/>
        <v/>
      </c>
      <c r="E79" s="49" t="str">
        <f t="shared" si="22"/>
        <v/>
      </c>
      <c r="F79" s="49" t="str">
        <f t="shared" si="22"/>
        <v/>
      </c>
      <c r="G79" s="49" t="str">
        <f t="shared" si="22"/>
        <v/>
      </c>
      <c r="H79" s="49" t="str">
        <f t="shared" si="22"/>
        <v/>
      </c>
      <c r="I79" s="49" t="str">
        <f t="shared" si="22"/>
        <v/>
      </c>
      <c r="J79" s="49" t="str">
        <f t="shared" si="22"/>
        <v/>
      </c>
      <c r="K79" s="49" t="str">
        <f t="shared" si="22"/>
        <v/>
      </c>
      <c r="L79" s="49" t="str">
        <f t="shared" si="22"/>
        <v/>
      </c>
      <c r="M79" s="49" t="str">
        <f t="shared" si="22"/>
        <v/>
      </c>
      <c r="N79" s="49" t="str">
        <f t="shared" si="22"/>
        <v/>
      </c>
      <c r="O79" s="49" t="str">
        <f t="shared" si="22"/>
        <v/>
      </c>
      <c r="P79" s="49" t="str">
        <f t="shared" si="22"/>
        <v/>
      </c>
      <c r="Q79" s="49" t="str">
        <f t="shared" si="22"/>
        <v/>
      </c>
      <c r="R79" s="49" t="str">
        <f t="shared" si="22"/>
        <v/>
      </c>
      <c r="S79" s="49" t="str">
        <f t="shared" si="22"/>
        <v/>
      </c>
      <c r="T79" s="49" t="str">
        <f t="shared" si="22"/>
        <v/>
      </c>
      <c r="U79" s="49" t="str">
        <f t="shared" si="22"/>
        <v/>
      </c>
      <c r="V79" s="49" t="str">
        <f t="shared" si="22"/>
        <v/>
      </c>
      <c r="W79" s="49" t="str">
        <f t="shared" si="22"/>
        <v/>
      </c>
      <c r="X79" s="49" t="str">
        <f t="shared" si="22"/>
        <v/>
      </c>
      <c r="Y79" s="49" t="str">
        <f t="shared" si="22"/>
        <v/>
      </c>
      <c r="Z79" s="49" t="str">
        <f t="shared" si="22"/>
        <v/>
      </c>
      <c r="AA79" s="49" t="str">
        <f t="shared" si="22"/>
        <v/>
      </c>
      <c r="AB79" s="49" t="str">
        <f t="shared" si="22"/>
        <v/>
      </c>
      <c r="AC79" s="49" t="str">
        <f t="shared" si="22"/>
        <v/>
      </c>
      <c r="AD79" s="49" t="str">
        <f t="shared" si="22"/>
        <v/>
      </c>
      <c r="AE79" s="49" t="str">
        <f t="shared" si="22"/>
        <v/>
      </c>
      <c r="AF79" s="49" t="str">
        <f t="shared" si="22"/>
        <v/>
      </c>
      <c r="AG79" s="49" t="str">
        <f t="shared" si="22"/>
        <v/>
      </c>
      <c r="AH79" s="44">
        <f>SUM(AH77:AH78)</f>
        <v>0</v>
      </c>
      <c r="AI79" s="45">
        <f>SUM(AI77:AI78)</f>
        <v>0</v>
      </c>
      <c r="AJ79" s="45">
        <f>SUM(AJ77:AJ78)</f>
        <v>0</v>
      </c>
      <c r="AK79" s="45">
        <f>SUM(AK77:AK78)</f>
        <v>0</v>
      </c>
      <c r="AL79" s="45">
        <f>SUM(AL77:AL78)</f>
        <v>0</v>
      </c>
      <c r="AM79" s="50">
        <f>Juin!AM79</f>
        <v>0</v>
      </c>
      <c r="AN79" s="51">
        <f>IF(A78="","",IF(A78&gt;NomMois,0,IF(A78&lt;$A$3,2.08,(NETWORKDAYS(A78,$A$2)/21.66667)*2.08)))</f>
        <v>0</v>
      </c>
      <c r="AO79" s="51">
        <f>IF( AN79="",Septembre!AO79,+AN79+Septembre!AO79)</f>
        <v>0</v>
      </c>
      <c r="AP79" s="50"/>
      <c r="AQ79" s="45">
        <f>+AM79-AI79</f>
        <v>0</v>
      </c>
      <c r="AR79" s="45">
        <f>+AP79-AJ79</f>
        <v>0</v>
      </c>
      <c r="AS79" s="102">
        <f t="shared" si="10"/>
        <v>0</v>
      </c>
    </row>
    <row r="80" spans="1:45" s="63" customFormat="1" ht="6.75" customHeight="1" x14ac:dyDescent="0.25">
      <c r="A80" s="64"/>
      <c r="B80" s="42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  <c r="X80" s="64"/>
      <c r="Y80" s="64"/>
      <c r="Z80" s="64"/>
      <c r="AA80" s="64"/>
      <c r="AB80" s="64"/>
      <c r="AC80" s="64"/>
      <c r="AD80" s="64"/>
      <c r="AE80" s="64"/>
      <c r="AF80" s="64"/>
      <c r="AG80" s="64"/>
      <c r="AH80" s="65"/>
      <c r="AI80" s="65"/>
      <c r="AJ80" s="65"/>
      <c r="AK80" s="65"/>
      <c r="AL80" s="65"/>
      <c r="AM80" s="64"/>
      <c r="AN80" s="65"/>
      <c r="AO80" s="65"/>
      <c r="AP80" s="64"/>
      <c r="AQ80" s="69"/>
      <c r="AR80" s="69"/>
      <c r="AS80" s="65"/>
    </row>
    <row r="81" spans="1:45" s="63" customFormat="1" ht="12.95" customHeight="1" x14ac:dyDescent="0.25">
      <c r="A81" s="41"/>
      <c r="B81" s="42" t="s">
        <v>15</v>
      </c>
      <c r="C81" s="67"/>
      <c r="D81" s="43"/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  <c r="AA81" s="43"/>
      <c r="AB81" s="43"/>
      <c r="AC81" s="43"/>
      <c r="AD81" s="43"/>
      <c r="AE81" s="43"/>
      <c r="AF81" s="43"/>
      <c r="AG81" s="43"/>
      <c r="AH81" s="44">
        <f>COUNTA(Octobre!$C81:$AG81)</f>
        <v>0</v>
      </c>
      <c r="AI81" s="45">
        <f>(COUNTIFS(Octobre!$C81:$AG81,("cp")))/2+Septembre!AI81</f>
        <v>2.5</v>
      </c>
      <c r="AJ81" s="45">
        <f>COUNTIFS(Octobre!$C81:$AG81,"RTT")/2+Septembre!AJ81</f>
        <v>0</v>
      </c>
      <c r="AK81" s="45">
        <f>COUNTIFS(Octobre!$C81:$AG81,"m")/2+Septembre!AK81</f>
        <v>0</v>
      </c>
      <c r="AL81" s="45">
        <f>COUNTIFS(Octobre!$C81:$AG81,"a")/2+Septembre!AL81</f>
        <v>0</v>
      </c>
      <c r="AM81" s="46"/>
      <c r="AN81" s="47"/>
      <c r="AO81" s="47"/>
      <c r="AP81" s="46"/>
      <c r="AQ81" s="47"/>
      <c r="AR81" s="47"/>
      <c r="AS81" s="47"/>
    </row>
    <row r="82" spans="1:45" s="63" customFormat="1" ht="12.95" customHeight="1" x14ac:dyDescent="0.25">
      <c r="A82" s="48">
        <v>42506</v>
      </c>
      <c r="B82" s="42" t="s">
        <v>16</v>
      </c>
      <c r="C82" s="67"/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  <c r="S82" s="43"/>
      <c r="T82" s="43"/>
      <c r="U82" s="43"/>
      <c r="V82" s="43"/>
      <c r="W82" s="43"/>
      <c r="X82" s="43"/>
      <c r="Y82" s="43"/>
      <c r="Z82" s="43"/>
      <c r="AA82" s="43"/>
      <c r="AB82" s="43"/>
      <c r="AC82" s="43"/>
      <c r="AD82" s="43"/>
      <c r="AE82" s="43"/>
      <c r="AF82" s="43"/>
      <c r="AG82" s="43"/>
      <c r="AH82" s="44">
        <f>COUNTA(Octobre!$C82:$AG82)</f>
        <v>0</v>
      </c>
      <c r="AI82" s="45">
        <f>(COUNTIFS(Octobre!$C82:$AG82,("cp")))/2+Septembre!AI82</f>
        <v>2.5</v>
      </c>
      <c r="AJ82" s="45">
        <f>COUNTIFS(Octobre!$C82:$AG82,"RTT")/2+Septembre!AJ82</f>
        <v>0</v>
      </c>
      <c r="AK82" s="45">
        <f>COUNTIFS(Octobre!$C82:$AG82,"m")/2+Septembre!AK82</f>
        <v>0</v>
      </c>
      <c r="AL82" s="45">
        <f>COUNTIFS(Octobre!$C82:$AG82,"a")/2+Septembre!AL82</f>
        <v>0</v>
      </c>
      <c r="AM82" s="46"/>
      <c r="AN82" s="47"/>
      <c r="AO82" s="47"/>
      <c r="AP82" s="46"/>
      <c r="AQ82" s="47"/>
      <c r="AR82" s="47"/>
      <c r="AS82" s="101"/>
    </row>
    <row r="83" spans="1:45" s="63" customFormat="1" ht="12.95" customHeight="1" x14ac:dyDescent="0.25">
      <c r="A83" s="41"/>
      <c r="B83" s="42"/>
      <c r="C83" s="49" t="str">
        <f t="shared" ref="C83:AG83" si="23">IF(C81&gt;0,C81,IF(C82&gt;0,C82,""))</f>
        <v/>
      </c>
      <c r="D83" s="49" t="str">
        <f t="shared" si="23"/>
        <v/>
      </c>
      <c r="E83" s="49" t="str">
        <f t="shared" si="23"/>
        <v/>
      </c>
      <c r="F83" s="49" t="str">
        <f t="shared" si="23"/>
        <v/>
      </c>
      <c r="G83" s="49" t="str">
        <f t="shared" si="23"/>
        <v/>
      </c>
      <c r="H83" s="49" t="str">
        <f t="shared" si="23"/>
        <v/>
      </c>
      <c r="I83" s="49" t="str">
        <f t="shared" si="23"/>
        <v/>
      </c>
      <c r="J83" s="49" t="str">
        <f t="shared" si="23"/>
        <v/>
      </c>
      <c r="K83" s="49" t="str">
        <f t="shared" si="23"/>
        <v/>
      </c>
      <c r="L83" s="49" t="str">
        <f t="shared" si="23"/>
        <v/>
      </c>
      <c r="M83" s="49" t="str">
        <f t="shared" si="23"/>
        <v/>
      </c>
      <c r="N83" s="49" t="str">
        <f t="shared" si="23"/>
        <v/>
      </c>
      <c r="O83" s="49" t="str">
        <f t="shared" si="23"/>
        <v/>
      </c>
      <c r="P83" s="49" t="str">
        <f t="shared" si="23"/>
        <v/>
      </c>
      <c r="Q83" s="49" t="str">
        <f t="shared" si="23"/>
        <v/>
      </c>
      <c r="R83" s="49" t="str">
        <f t="shared" si="23"/>
        <v/>
      </c>
      <c r="S83" s="49" t="str">
        <f t="shared" si="23"/>
        <v/>
      </c>
      <c r="T83" s="49" t="str">
        <f t="shared" si="23"/>
        <v/>
      </c>
      <c r="U83" s="49" t="str">
        <f t="shared" si="23"/>
        <v/>
      </c>
      <c r="V83" s="49" t="str">
        <f t="shared" si="23"/>
        <v/>
      </c>
      <c r="W83" s="49" t="str">
        <f t="shared" si="23"/>
        <v/>
      </c>
      <c r="X83" s="49" t="str">
        <f t="shared" si="23"/>
        <v/>
      </c>
      <c r="Y83" s="49" t="str">
        <f t="shared" si="23"/>
        <v/>
      </c>
      <c r="Z83" s="49" t="str">
        <f t="shared" si="23"/>
        <v/>
      </c>
      <c r="AA83" s="49" t="str">
        <f t="shared" si="23"/>
        <v/>
      </c>
      <c r="AB83" s="49" t="str">
        <f t="shared" si="23"/>
        <v/>
      </c>
      <c r="AC83" s="49" t="str">
        <f t="shared" si="23"/>
        <v/>
      </c>
      <c r="AD83" s="49" t="str">
        <f t="shared" si="23"/>
        <v/>
      </c>
      <c r="AE83" s="49" t="str">
        <f t="shared" si="23"/>
        <v/>
      </c>
      <c r="AF83" s="49" t="str">
        <f t="shared" si="23"/>
        <v/>
      </c>
      <c r="AG83" s="49" t="str">
        <f t="shared" si="23"/>
        <v/>
      </c>
      <c r="AH83" s="44">
        <f>SUM(AH81:AH82)</f>
        <v>0</v>
      </c>
      <c r="AI83" s="45">
        <f>SUM(AI81:AI82)</f>
        <v>5</v>
      </c>
      <c r="AJ83" s="45">
        <f>SUM(AJ81:AJ82)</f>
        <v>0</v>
      </c>
      <c r="AK83" s="45">
        <f>SUM(AK81:AK82)</f>
        <v>0</v>
      </c>
      <c r="AL83" s="45">
        <f>SUM(AL81:AL82)</f>
        <v>0</v>
      </c>
      <c r="AM83" s="50">
        <f>Juin!AM83</f>
        <v>-9.98</v>
      </c>
      <c r="AN83" s="51">
        <f>IF(A82="","",IF(A82&gt;NomMois,0,IF(A82&lt;$A$3,2.08,(NETWORKDAYS(A82,$A$2)/21.66667)*2.08)))</f>
        <v>2.08</v>
      </c>
      <c r="AO83" s="51">
        <f>IF( AN83="",Septembre!AO83,+AN83+Septembre!AO83)</f>
        <v>10.4</v>
      </c>
      <c r="AP83" s="50"/>
      <c r="AQ83" s="45">
        <f>+AM83-AI83</f>
        <v>-14.98</v>
      </c>
      <c r="AR83" s="45">
        <f>+AP83-AJ83</f>
        <v>0</v>
      </c>
      <c r="AS83" s="102">
        <f t="shared" si="10"/>
        <v>-4.58</v>
      </c>
    </row>
    <row r="84" spans="1:45" s="63" customFormat="1" ht="6.75" customHeight="1" x14ac:dyDescent="0.25">
      <c r="A84" s="64"/>
      <c r="B84" s="42"/>
      <c r="C84" s="64"/>
      <c r="D84" s="64"/>
      <c r="E84" s="64"/>
      <c r="F84" s="64"/>
      <c r="G84" s="64"/>
      <c r="H84" s="64"/>
      <c r="I84" s="64"/>
      <c r="J84" s="64"/>
      <c r="K84" s="64"/>
      <c r="L84" s="64"/>
      <c r="M84" s="64"/>
      <c r="N84" s="64"/>
      <c r="O84" s="64"/>
      <c r="P84" s="64"/>
      <c r="Q84" s="64"/>
      <c r="R84" s="64"/>
      <c r="S84" s="64"/>
      <c r="T84" s="64"/>
      <c r="U84" s="64"/>
      <c r="V84" s="64"/>
      <c r="W84" s="64"/>
      <c r="X84" s="64"/>
      <c r="Y84" s="64"/>
      <c r="Z84" s="64"/>
      <c r="AA84" s="64"/>
      <c r="AB84" s="64"/>
      <c r="AC84" s="64"/>
      <c r="AD84" s="64"/>
      <c r="AE84" s="64"/>
      <c r="AF84" s="64"/>
      <c r="AG84" s="64"/>
      <c r="AH84" s="65"/>
      <c r="AI84" s="65"/>
      <c r="AJ84" s="65"/>
      <c r="AK84" s="65"/>
      <c r="AL84" s="65"/>
      <c r="AM84" s="64"/>
      <c r="AN84" s="65"/>
      <c r="AO84" s="65"/>
      <c r="AP84" s="64"/>
      <c r="AQ84" s="69"/>
      <c r="AR84" s="69"/>
      <c r="AS84" s="65"/>
    </row>
    <row r="85" spans="1:45" s="63" customFormat="1" ht="12.95" customHeight="1" x14ac:dyDescent="0.25">
      <c r="A85" s="41"/>
      <c r="B85" s="42" t="s">
        <v>15</v>
      </c>
      <c r="C85" s="67"/>
      <c r="D85" s="43"/>
      <c r="E85" s="43"/>
      <c r="F85" s="43"/>
      <c r="G85" s="43"/>
      <c r="H85" s="43"/>
      <c r="I85" s="43"/>
      <c r="J85" s="43"/>
      <c r="K85" s="43"/>
      <c r="L85" s="43"/>
      <c r="M85" s="43"/>
      <c r="N85" s="43"/>
      <c r="O85" s="43"/>
      <c r="P85" s="43"/>
      <c r="Q85" s="43"/>
      <c r="R85" s="43"/>
      <c r="S85" s="43"/>
      <c r="T85" s="43"/>
      <c r="U85" s="43"/>
      <c r="V85" s="43"/>
      <c r="W85" s="43"/>
      <c r="X85" s="43"/>
      <c r="Y85" s="43"/>
      <c r="Z85" s="43"/>
      <c r="AA85" s="43"/>
      <c r="AB85" s="43"/>
      <c r="AC85" s="43"/>
      <c r="AD85" s="43"/>
      <c r="AE85" s="43"/>
      <c r="AF85" s="43"/>
      <c r="AG85" s="43"/>
      <c r="AH85" s="44">
        <f>COUNTA(Octobre!$C85:$AG85)</f>
        <v>0</v>
      </c>
      <c r="AI85" s="45">
        <f>(COUNTIFS(Octobre!$C85:$AG85,("cp")))/2+Septembre!AI85</f>
        <v>10.5</v>
      </c>
      <c r="AJ85" s="45">
        <f>COUNTIFS(Octobre!$C85:$AG85,"RTT")/2+Septembre!AJ85</f>
        <v>0</v>
      </c>
      <c r="AK85" s="45">
        <f>COUNTIFS(Octobre!$C85:$AG85,"m")/2+Septembre!AK85</f>
        <v>0</v>
      </c>
      <c r="AL85" s="45">
        <f>COUNTIFS(Octobre!$C85:$AG85,"a")/2+Septembre!AL85</f>
        <v>0</v>
      </c>
      <c r="AM85" s="46"/>
      <c r="AN85" s="47"/>
      <c r="AO85" s="47"/>
      <c r="AP85" s="46"/>
      <c r="AQ85" s="47"/>
      <c r="AR85" s="47"/>
      <c r="AS85" s="47"/>
    </row>
    <row r="86" spans="1:45" s="63" customFormat="1" ht="12.95" customHeight="1" x14ac:dyDescent="0.25">
      <c r="A86" s="48">
        <v>42303</v>
      </c>
      <c r="B86" s="42" t="s">
        <v>16</v>
      </c>
      <c r="C86" s="67"/>
      <c r="D86" s="43"/>
      <c r="E86" s="43"/>
      <c r="F86" s="43"/>
      <c r="G86" s="43"/>
      <c r="H86" s="43"/>
      <c r="I86" s="43"/>
      <c r="J86" s="43"/>
      <c r="K86" s="43"/>
      <c r="L86" s="43"/>
      <c r="M86" s="43"/>
      <c r="N86" s="43"/>
      <c r="O86" s="43"/>
      <c r="P86" s="43"/>
      <c r="Q86" s="43"/>
      <c r="R86" s="43"/>
      <c r="S86" s="43"/>
      <c r="T86" s="43"/>
      <c r="U86" s="43"/>
      <c r="V86" s="43"/>
      <c r="W86" s="43"/>
      <c r="X86" s="43"/>
      <c r="Y86" s="43"/>
      <c r="Z86" s="43"/>
      <c r="AA86" s="43"/>
      <c r="AB86" s="43"/>
      <c r="AC86" s="43"/>
      <c r="AD86" s="43"/>
      <c r="AE86" s="43"/>
      <c r="AF86" s="43"/>
      <c r="AG86" s="43"/>
      <c r="AH86" s="44">
        <f>COUNTA(Octobre!$C86:$AG86)</f>
        <v>0</v>
      </c>
      <c r="AI86" s="45">
        <f>(COUNTIFS(Octobre!$C86:$AG86,("cp")))/2+Septembre!AI86</f>
        <v>10.5</v>
      </c>
      <c r="AJ86" s="45">
        <f>COUNTIFS(Octobre!$C86:$AG86,"RTT")/2+Septembre!AJ86</f>
        <v>0</v>
      </c>
      <c r="AK86" s="45">
        <f>COUNTIFS(Octobre!$C86:$AG86,"m")/2+Septembre!AK86</f>
        <v>0</v>
      </c>
      <c r="AL86" s="45">
        <f>COUNTIFS(Octobre!$C86:$AG86,"a")/2+Septembre!AL86</f>
        <v>0</v>
      </c>
      <c r="AM86" s="46"/>
      <c r="AN86" s="47"/>
      <c r="AO86" s="47"/>
      <c r="AP86" s="46"/>
      <c r="AQ86" s="47"/>
      <c r="AR86" s="47"/>
      <c r="AS86" s="101"/>
    </row>
    <row r="87" spans="1:45" s="63" customFormat="1" ht="12.95" customHeight="1" x14ac:dyDescent="0.25">
      <c r="A87" s="41"/>
      <c r="B87" s="42"/>
      <c r="C87" s="49" t="str">
        <f t="shared" ref="C87:AG87" si="24">IF(C85&gt;0,C85,IF(C86&gt;0,C86,""))</f>
        <v/>
      </c>
      <c r="D87" s="49" t="str">
        <f t="shared" si="24"/>
        <v/>
      </c>
      <c r="E87" s="49" t="str">
        <f t="shared" si="24"/>
        <v/>
      </c>
      <c r="F87" s="49" t="str">
        <f t="shared" si="24"/>
        <v/>
      </c>
      <c r="G87" s="49" t="str">
        <f t="shared" si="24"/>
        <v/>
      </c>
      <c r="H87" s="49" t="str">
        <f t="shared" si="24"/>
        <v/>
      </c>
      <c r="I87" s="49" t="str">
        <f t="shared" si="24"/>
        <v/>
      </c>
      <c r="J87" s="49" t="str">
        <f t="shared" si="24"/>
        <v/>
      </c>
      <c r="K87" s="49" t="str">
        <f t="shared" si="24"/>
        <v/>
      </c>
      <c r="L87" s="49" t="str">
        <f t="shared" si="24"/>
        <v/>
      </c>
      <c r="M87" s="49" t="str">
        <f t="shared" si="24"/>
        <v/>
      </c>
      <c r="N87" s="49" t="str">
        <f t="shared" si="24"/>
        <v/>
      </c>
      <c r="O87" s="49" t="str">
        <f t="shared" si="24"/>
        <v/>
      </c>
      <c r="P87" s="49" t="str">
        <f t="shared" si="24"/>
        <v/>
      </c>
      <c r="Q87" s="49" t="str">
        <f t="shared" si="24"/>
        <v/>
      </c>
      <c r="R87" s="49" t="str">
        <f t="shared" si="24"/>
        <v/>
      </c>
      <c r="S87" s="49" t="str">
        <f t="shared" si="24"/>
        <v/>
      </c>
      <c r="T87" s="49" t="str">
        <f t="shared" si="24"/>
        <v/>
      </c>
      <c r="U87" s="49" t="str">
        <f t="shared" si="24"/>
        <v/>
      </c>
      <c r="V87" s="49" t="str">
        <f t="shared" si="24"/>
        <v/>
      </c>
      <c r="W87" s="49" t="str">
        <f t="shared" si="24"/>
        <v/>
      </c>
      <c r="X87" s="49" t="str">
        <f t="shared" si="24"/>
        <v/>
      </c>
      <c r="Y87" s="49" t="str">
        <f t="shared" si="24"/>
        <v/>
      </c>
      <c r="Z87" s="49" t="str">
        <f t="shared" si="24"/>
        <v/>
      </c>
      <c r="AA87" s="49" t="str">
        <f t="shared" si="24"/>
        <v/>
      </c>
      <c r="AB87" s="49" t="str">
        <f t="shared" si="24"/>
        <v/>
      </c>
      <c r="AC87" s="49" t="str">
        <f t="shared" si="24"/>
        <v/>
      </c>
      <c r="AD87" s="49" t="str">
        <f t="shared" si="24"/>
        <v/>
      </c>
      <c r="AE87" s="49" t="str">
        <f t="shared" si="24"/>
        <v/>
      </c>
      <c r="AF87" s="49" t="str">
        <f t="shared" si="24"/>
        <v/>
      </c>
      <c r="AG87" s="49" t="str">
        <f t="shared" si="24"/>
        <v/>
      </c>
      <c r="AH87" s="44">
        <f>SUM(AH85:AH86)</f>
        <v>0</v>
      </c>
      <c r="AI87" s="45">
        <f>SUM(AI85:AI86)</f>
        <v>21</v>
      </c>
      <c r="AJ87" s="45">
        <f>SUM(AJ85:AJ86)</f>
        <v>0</v>
      </c>
      <c r="AK87" s="45">
        <f>SUM(AK85:AK86)</f>
        <v>0</v>
      </c>
      <c r="AL87" s="45">
        <f>SUM(AL85:AL86)</f>
        <v>0</v>
      </c>
      <c r="AM87" s="50">
        <f>Juin!AM87</f>
        <v>12.02</v>
      </c>
      <c r="AN87" s="51">
        <f>IF(A86="","",IF(A86&gt;NomMois,0,IF(A86&lt;$A$3,2.5,(NETWORKDAYS(A86,$A$2)/21.66667)*2.5)))</f>
        <v>2.5</v>
      </c>
      <c r="AO87" s="51">
        <f>IF( AN87="",Septembre!AO87,+AN87+Septembre!AO87)</f>
        <v>12.5</v>
      </c>
      <c r="AP87" s="50"/>
      <c r="AQ87" s="45">
        <f>+AM87-AI87</f>
        <v>-8.98</v>
      </c>
      <c r="AR87" s="45">
        <f>+AP87-AJ87</f>
        <v>0</v>
      </c>
      <c r="AS87" s="102">
        <f t="shared" si="10"/>
        <v>3.5199999999999996</v>
      </c>
    </row>
    <row r="88" spans="1:45" s="63" customFormat="1" ht="6.75" customHeight="1" x14ac:dyDescent="0.25">
      <c r="A88" s="64"/>
      <c r="B88" s="42"/>
      <c r="C88" s="64"/>
      <c r="D88" s="64"/>
      <c r="E88" s="64"/>
      <c r="F88" s="64"/>
      <c r="G88" s="64"/>
      <c r="H88" s="64"/>
      <c r="I88" s="64"/>
      <c r="J88" s="64"/>
      <c r="K88" s="64"/>
      <c r="L88" s="64"/>
      <c r="M88" s="64"/>
      <c r="N88" s="64"/>
      <c r="O88" s="64"/>
      <c r="P88" s="64"/>
      <c r="Q88" s="64"/>
      <c r="R88" s="64"/>
      <c r="S88" s="64"/>
      <c r="T88" s="64"/>
      <c r="U88" s="64"/>
      <c r="V88" s="64"/>
      <c r="W88" s="64"/>
      <c r="X88" s="64"/>
      <c r="Y88" s="64"/>
      <c r="Z88" s="64"/>
      <c r="AA88" s="64"/>
      <c r="AB88" s="64"/>
      <c r="AC88" s="64"/>
      <c r="AD88" s="64"/>
      <c r="AE88" s="64"/>
      <c r="AF88" s="64"/>
      <c r="AG88" s="64"/>
      <c r="AH88" s="65"/>
      <c r="AI88" s="65"/>
      <c r="AJ88" s="65"/>
      <c r="AK88" s="65"/>
      <c r="AL88" s="65"/>
      <c r="AM88" s="64"/>
      <c r="AN88" s="65"/>
      <c r="AO88" s="65"/>
      <c r="AP88" s="64"/>
      <c r="AQ88" s="69"/>
      <c r="AR88" s="69"/>
      <c r="AS88" s="65"/>
    </row>
    <row r="89" spans="1:45" s="63" customFormat="1" ht="12.95" customHeight="1" x14ac:dyDescent="0.25">
      <c r="A89" s="41"/>
      <c r="B89" s="42" t="s">
        <v>15</v>
      </c>
      <c r="C89" s="67"/>
      <c r="D89" s="43"/>
      <c r="E89" s="43"/>
      <c r="F89" s="43"/>
      <c r="G89" s="43"/>
      <c r="H89" s="43"/>
      <c r="I89" s="43"/>
      <c r="J89" s="43"/>
      <c r="K89" s="43"/>
      <c r="L89" s="43"/>
      <c r="M89" s="43"/>
      <c r="N89" s="43"/>
      <c r="O89" s="43"/>
      <c r="P89" s="43"/>
      <c r="Q89" s="43"/>
      <c r="R89" s="43"/>
      <c r="S89" s="43"/>
      <c r="T89" s="43"/>
      <c r="U89" s="43"/>
      <c r="V89" s="43"/>
      <c r="W89" s="43"/>
      <c r="X89" s="43"/>
      <c r="Y89" s="43"/>
      <c r="Z89" s="43"/>
      <c r="AA89" s="43"/>
      <c r="AB89" s="43"/>
      <c r="AC89" s="43"/>
      <c r="AD89" s="43"/>
      <c r="AE89" s="43"/>
      <c r="AF89" s="43"/>
      <c r="AG89" s="43"/>
      <c r="AH89" s="44">
        <f>COUNTA(Octobre!$C89:$AG89)</f>
        <v>0</v>
      </c>
      <c r="AI89" s="45">
        <f>(COUNTIFS(Octobre!$C89:$AG89,("cp")))/2+Septembre!AI89</f>
        <v>11.5</v>
      </c>
      <c r="AJ89" s="45">
        <f>COUNTIFS(Octobre!$C89:$AG89,"RTT")/2+Septembre!AJ89</f>
        <v>0</v>
      </c>
      <c r="AK89" s="45">
        <f>COUNTIFS(Octobre!$C89:$AG89,"m")/2+Septembre!AK89</f>
        <v>0</v>
      </c>
      <c r="AL89" s="45">
        <f>COUNTIFS(Octobre!$C89:$AG89,"a")/2+Septembre!AL89</f>
        <v>0</v>
      </c>
      <c r="AM89" s="46"/>
      <c r="AN89" s="47"/>
      <c r="AO89" s="47"/>
      <c r="AP89" s="46"/>
      <c r="AQ89" s="47"/>
      <c r="AR89" s="47"/>
      <c r="AS89" s="47"/>
    </row>
    <row r="90" spans="1:45" s="63" customFormat="1" ht="12.95" customHeight="1" x14ac:dyDescent="0.25">
      <c r="A90" s="48">
        <v>42303</v>
      </c>
      <c r="B90" s="42" t="s">
        <v>16</v>
      </c>
      <c r="C90" s="67"/>
      <c r="D90" s="43"/>
      <c r="E90" s="43"/>
      <c r="F90" s="43"/>
      <c r="G90" s="43"/>
      <c r="H90" s="43"/>
      <c r="I90" s="43"/>
      <c r="J90" s="43"/>
      <c r="K90" s="43"/>
      <c r="L90" s="43"/>
      <c r="M90" s="43"/>
      <c r="N90" s="43"/>
      <c r="O90" s="43"/>
      <c r="P90" s="43"/>
      <c r="Q90" s="43"/>
      <c r="R90" s="43"/>
      <c r="S90" s="43"/>
      <c r="T90" s="43"/>
      <c r="U90" s="43"/>
      <c r="V90" s="43"/>
      <c r="W90" s="43"/>
      <c r="X90" s="43"/>
      <c r="Y90" s="43"/>
      <c r="Z90" s="43"/>
      <c r="AA90" s="43"/>
      <c r="AB90" s="43"/>
      <c r="AC90" s="43"/>
      <c r="AD90" s="43"/>
      <c r="AE90" s="43"/>
      <c r="AF90" s="43"/>
      <c r="AG90" s="43"/>
      <c r="AH90" s="44">
        <f>COUNTA(Octobre!$C90:$AG90)</f>
        <v>0</v>
      </c>
      <c r="AI90" s="45">
        <f>(COUNTIFS(Octobre!$C90:$AG90,("cp")))/2+Septembre!AI90</f>
        <v>11.5</v>
      </c>
      <c r="AJ90" s="45">
        <f>COUNTIFS(Octobre!$C90:$AG90,"RTT")/2+Septembre!AJ90</f>
        <v>0</v>
      </c>
      <c r="AK90" s="45">
        <f>COUNTIFS(Octobre!$C90:$AG90,"m")/2+Septembre!AK90</f>
        <v>0</v>
      </c>
      <c r="AL90" s="45">
        <f>COUNTIFS(Octobre!$C90:$AG90,"a")/2+Septembre!AL90</f>
        <v>0</v>
      </c>
      <c r="AM90" s="46"/>
      <c r="AN90" s="47"/>
      <c r="AO90" s="47"/>
      <c r="AP90" s="46"/>
      <c r="AQ90" s="47"/>
      <c r="AR90" s="47"/>
      <c r="AS90" s="101"/>
    </row>
    <row r="91" spans="1:45" s="63" customFormat="1" ht="12.95" customHeight="1" x14ac:dyDescent="0.25">
      <c r="A91" s="41"/>
      <c r="B91" s="42"/>
      <c r="C91" s="49" t="str">
        <f t="shared" ref="C91:AG91" si="25">IF(C89&gt;0,C89,IF(C90&gt;0,C90,""))</f>
        <v/>
      </c>
      <c r="D91" s="49" t="str">
        <f t="shared" si="25"/>
        <v/>
      </c>
      <c r="E91" s="49" t="str">
        <f t="shared" si="25"/>
        <v/>
      </c>
      <c r="F91" s="49" t="str">
        <f t="shared" si="25"/>
        <v/>
      </c>
      <c r="G91" s="49" t="str">
        <f t="shared" si="25"/>
        <v/>
      </c>
      <c r="H91" s="49" t="str">
        <f t="shared" si="25"/>
        <v/>
      </c>
      <c r="I91" s="49" t="str">
        <f t="shared" si="25"/>
        <v/>
      </c>
      <c r="J91" s="49" t="str">
        <f t="shared" si="25"/>
        <v/>
      </c>
      <c r="K91" s="49" t="str">
        <f t="shared" si="25"/>
        <v/>
      </c>
      <c r="L91" s="49" t="str">
        <f t="shared" si="25"/>
        <v/>
      </c>
      <c r="M91" s="49" t="str">
        <f t="shared" si="25"/>
        <v/>
      </c>
      <c r="N91" s="49" t="str">
        <f t="shared" si="25"/>
        <v/>
      </c>
      <c r="O91" s="49" t="str">
        <f t="shared" si="25"/>
        <v/>
      </c>
      <c r="P91" s="49" t="str">
        <f t="shared" si="25"/>
        <v/>
      </c>
      <c r="Q91" s="49" t="str">
        <f t="shared" si="25"/>
        <v/>
      </c>
      <c r="R91" s="49" t="str">
        <f t="shared" si="25"/>
        <v/>
      </c>
      <c r="S91" s="49" t="str">
        <f t="shared" si="25"/>
        <v/>
      </c>
      <c r="T91" s="49" t="str">
        <f t="shared" si="25"/>
        <v/>
      </c>
      <c r="U91" s="49" t="str">
        <f t="shared" si="25"/>
        <v/>
      </c>
      <c r="V91" s="49" t="str">
        <f t="shared" si="25"/>
        <v/>
      </c>
      <c r="W91" s="49" t="str">
        <f t="shared" si="25"/>
        <v/>
      </c>
      <c r="X91" s="49" t="str">
        <f t="shared" si="25"/>
        <v/>
      </c>
      <c r="Y91" s="49" t="str">
        <f t="shared" si="25"/>
        <v/>
      </c>
      <c r="Z91" s="49" t="str">
        <f t="shared" si="25"/>
        <v/>
      </c>
      <c r="AA91" s="49" t="str">
        <f t="shared" si="25"/>
        <v/>
      </c>
      <c r="AB91" s="49" t="str">
        <f t="shared" si="25"/>
        <v/>
      </c>
      <c r="AC91" s="49" t="str">
        <f t="shared" si="25"/>
        <v/>
      </c>
      <c r="AD91" s="49" t="str">
        <f t="shared" si="25"/>
        <v/>
      </c>
      <c r="AE91" s="49" t="str">
        <f t="shared" si="25"/>
        <v/>
      </c>
      <c r="AF91" s="49" t="str">
        <f t="shared" si="25"/>
        <v/>
      </c>
      <c r="AG91" s="49" t="str">
        <f t="shared" si="25"/>
        <v/>
      </c>
      <c r="AH91" s="44">
        <f>SUM(AH89:AH90)</f>
        <v>0</v>
      </c>
      <c r="AI91" s="45">
        <f>SUM(AI89:AI90)</f>
        <v>23</v>
      </c>
      <c r="AJ91" s="45">
        <f>SUM(AJ89:AJ90)</f>
        <v>0</v>
      </c>
      <c r="AK91" s="45">
        <f>SUM(AK89:AK90)</f>
        <v>0</v>
      </c>
      <c r="AL91" s="45">
        <f>SUM(AL89:AL90)</f>
        <v>0</v>
      </c>
      <c r="AM91" s="50">
        <f>Juin!AM91</f>
        <v>-0.82</v>
      </c>
      <c r="AN91" s="51">
        <f>IF(A90="","",IF(A90&gt;NomMois,0,IF(A90&lt;$A$3,2.5,(NETWORKDAYS(A90,$A$2)/21.66667)*2.5)))</f>
        <v>2.5</v>
      </c>
      <c r="AO91" s="51">
        <f>IF( AN91="",Septembre!AO91,+AN91+Septembre!AO91)</f>
        <v>12.5</v>
      </c>
      <c r="AP91" s="50"/>
      <c r="AQ91" s="45">
        <f>+AM91-AI91</f>
        <v>-23.82</v>
      </c>
      <c r="AR91" s="45">
        <f>+AP91-AJ91</f>
        <v>0</v>
      </c>
      <c r="AS91" s="102">
        <f t="shared" si="10"/>
        <v>-11.32</v>
      </c>
    </row>
    <row r="92" spans="1:45" s="63" customFormat="1" ht="6.75" customHeight="1" x14ac:dyDescent="0.25">
      <c r="A92" s="64"/>
      <c r="B92" s="42"/>
      <c r="C92" s="64"/>
      <c r="D92" s="64"/>
      <c r="E92" s="64"/>
      <c r="F92" s="64"/>
      <c r="G92" s="64"/>
      <c r="H92" s="64"/>
      <c r="I92" s="64"/>
      <c r="J92" s="64"/>
      <c r="K92" s="64"/>
      <c r="L92" s="64"/>
      <c r="M92" s="64"/>
      <c r="N92" s="64"/>
      <c r="O92" s="64"/>
      <c r="P92" s="64"/>
      <c r="Q92" s="64"/>
      <c r="R92" s="64"/>
      <c r="S92" s="64"/>
      <c r="T92" s="64"/>
      <c r="U92" s="64"/>
      <c r="V92" s="64"/>
      <c r="W92" s="64"/>
      <c r="X92" s="64"/>
      <c r="Y92" s="64"/>
      <c r="Z92" s="64"/>
      <c r="AA92" s="64"/>
      <c r="AB92" s="64"/>
      <c r="AC92" s="64"/>
      <c r="AD92" s="64"/>
      <c r="AE92" s="64"/>
      <c r="AF92" s="64"/>
      <c r="AG92" s="64"/>
      <c r="AH92" s="65"/>
      <c r="AI92" s="65"/>
      <c r="AJ92" s="65"/>
      <c r="AK92" s="65"/>
      <c r="AL92" s="65"/>
      <c r="AM92" s="64"/>
      <c r="AN92" s="65"/>
      <c r="AO92" s="65"/>
      <c r="AP92" s="64"/>
      <c r="AQ92" s="69"/>
      <c r="AR92" s="69"/>
      <c r="AS92" s="65"/>
    </row>
    <row r="93" spans="1:45" ht="12.95" customHeight="1" x14ac:dyDescent="0.25">
      <c r="A93" s="41"/>
      <c r="B93" s="42" t="s">
        <v>15</v>
      </c>
      <c r="C93" s="67"/>
      <c r="D93" s="43"/>
      <c r="E93" s="43"/>
      <c r="F93" s="43"/>
      <c r="G93" s="43"/>
      <c r="H93" s="43"/>
      <c r="I93" s="43"/>
      <c r="J93" s="43"/>
      <c r="K93" s="43"/>
      <c r="L93" s="43"/>
      <c r="M93" s="43"/>
      <c r="N93" s="43"/>
      <c r="O93" s="43"/>
      <c r="P93" s="43"/>
      <c r="Q93" s="43"/>
      <c r="R93" s="43"/>
      <c r="S93" s="43"/>
      <c r="T93" s="43"/>
      <c r="U93" s="43"/>
      <c r="V93" s="43"/>
      <c r="W93" s="43"/>
      <c r="X93" s="43"/>
      <c r="Y93" s="43"/>
      <c r="Z93" s="43"/>
      <c r="AA93" s="43"/>
      <c r="AB93" s="43"/>
      <c r="AC93" s="43"/>
      <c r="AD93" s="43"/>
      <c r="AE93" s="43"/>
      <c r="AF93" s="43"/>
      <c r="AG93" s="43"/>
      <c r="AH93" s="44">
        <f>COUNTA(Octobre!$C93:$AG93)</f>
        <v>0</v>
      </c>
      <c r="AI93" s="45">
        <f>(COUNTIFS(Octobre!$C93:$AG93,("cp")))/2+Septembre!AI93</f>
        <v>0</v>
      </c>
      <c r="AJ93" s="45">
        <f>COUNTIFS(Octobre!$C93:$AG93,"RTT")/2+Septembre!AJ93</f>
        <v>0</v>
      </c>
      <c r="AK93" s="45">
        <f>COUNTIFS(Octobre!$C93:$AG93,"m")/2+Septembre!AK93</f>
        <v>5</v>
      </c>
      <c r="AL93" s="45">
        <f>COUNTIFS(Octobre!$C93:$AG93,"a")/2+Septembre!AL93</f>
        <v>0</v>
      </c>
      <c r="AM93" s="46"/>
      <c r="AN93" s="47"/>
      <c r="AO93" s="47"/>
      <c r="AP93" s="46"/>
      <c r="AQ93" s="47"/>
      <c r="AR93" s="47"/>
      <c r="AS93" s="47"/>
    </row>
    <row r="94" spans="1:45" s="79" customFormat="1" ht="12.95" customHeight="1" x14ac:dyDescent="0.25">
      <c r="A94" s="48">
        <v>42921</v>
      </c>
      <c r="B94" s="42" t="s">
        <v>16</v>
      </c>
      <c r="C94" s="67"/>
      <c r="D94" s="43"/>
      <c r="E94" s="43"/>
      <c r="F94" s="43"/>
      <c r="G94" s="43"/>
      <c r="H94" s="43"/>
      <c r="I94" s="43"/>
      <c r="J94" s="43"/>
      <c r="K94" s="43"/>
      <c r="L94" s="43"/>
      <c r="M94" s="43"/>
      <c r="N94" s="43"/>
      <c r="O94" s="43"/>
      <c r="P94" s="43"/>
      <c r="Q94" s="43"/>
      <c r="R94" s="43"/>
      <c r="S94" s="43"/>
      <c r="T94" s="43"/>
      <c r="U94" s="43"/>
      <c r="V94" s="43"/>
      <c r="W94" s="43"/>
      <c r="X94" s="43"/>
      <c r="Y94" s="43"/>
      <c r="Z94" s="43"/>
      <c r="AA94" s="43"/>
      <c r="AB94" s="43"/>
      <c r="AC94" s="43"/>
      <c r="AD94" s="43"/>
      <c r="AE94" s="43"/>
      <c r="AF94" s="43"/>
      <c r="AG94" s="43"/>
      <c r="AH94" s="44">
        <f>COUNTA(Octobre!$C94:$AG94)</f>
        <v>0</v>
      </c>
      <c r="AI94" s="45">
        <f>(COUNTIFS(Octobre!$C94:$AG94,("cp")))/2+Septembre!AI94</f>
        <v>0</v>
      </c>
      <c r="AJ94" s="45">
        <f>COUNTIFS(Octobre!$C94:$AG94,"RTT")/2+Septembre!AJ94</f>
        <v>0</v>
      </c>
      <c r="AK94" s="45">
        <f>COUNTIFS(Octobre!$C94:$AG94,"m")/2+Septembre!AK94</f>
        <v>5</v>
      </c>
      <c r="AL94" s="45">
        <f>COUNTIFS(Octobre!$C94:$AG94,"a")/2+Septembre!AL94</f>
        <v>0</v>
      </c>
      <c r="AM94" s="46"/>
      <c r="AN94" s="47"/>
      <c r="AO94" s="47"/>
      <c r="AP94" s="46"/>
      <c r="AQ94" s="47"/>
      <c r="AR94" s="47"/>
      <c r="AS94" s="101"/>
    </row>
    <row r="95" spans="1:45" s="79" customFormat="1" ht="12.95" customHeight="1" x14ac:dyDescent="0.25">
      <c r="A95" s="41"/>
      <c r="B95" s="42"/>
      <c r="C95" s="49" t="str">
        <f t="shared" ref="C95:AG95" si="26">IF(C93&gt;0,C93,IF(C94&gt;0,C94,""))</f>
        <v/>
      </c>
      <c r="D95" s="49" t="str">
        <f t="shared" si="26"/>
        <v/>
      </c>
      <c r="E95" s="49" t="str">
        <f t="shared" si="26"/>
        <v/>
      </c>
      <c r="F95" s="49" t="str">
        <f t="shared" si="26"/>
        <v/>
      </c>
      <c r="G95" s="49" t="str">
        <f t="shared" si="26"/>
        <v/>
      </c>
      <c r="H95" s="49" t="str">
        <f t="shared" si="26"/>
        <v/>
      </c>
      <c r="I95" s="49" t="str">
        <f t="shared" si="26"/>
        <v/>
      </c>
      <c r="J95" s="49" t="str">
        <f t="shared" si="26"/>
        <v/>
      </c>
      <c r="K95" s="49" t="str">
        <f t="shared" si="26"/>
        <v/>
      </c>
      <c r="L95" s="49" t="str">
        <f t="shared" si="26"/>
        <v/>
      </c>
      <c r="M95" s="49" t="str">
        <f t="shared" si="26"/>
        <v/>
      </c>
      <c r="N95" s="49" t="str">
        <f t="shared" si="26"/>
        <v/>
      </c>
      <c r="O95" s="49" t="str">
        <f t="shared" si="26"/>
        <v/>
      </c>
      <c r="P95" s="49" t="str">
        <f t="shared" si="26"/>
        <v/>
      </c>
      <c r="Q95" s="49" t="str">
        <f t="shared" si="26"/>
        <v/>
      </c>
      <c r="R95" s="49" t="str">
        <f t="shared" si="26"/>
        <v/>
      </c>
      <c r="S95" s="49" t="str">
        <f t="shared" si="26"/>
        <v/>
      </c>
      <c r="T95" s="49" t="str">
        <f t="shared" si="26"/>
        <v/>
      </c>
      <c r="U95" s="49" t="str">
        <f t="shared" si="26"/>
        <v/>
      </c>
      <c r="V95" s="49" t="str">
        <f t="shared" si="26"/>
        <v/>
      </c>
      <c r="W95" s="49" t="str">
        <f t="shared" si="26"/>
        <v/>
      </c>
      <c r="X95" s="49" t="str">
        <f t="shared" si="26"/>
        <v/>
      </c>
      <c r="Y95" s="49" t="str">
        <f t="shared" si="26"/>
        <v/>
      </c>
      <c r="Z95" s="49" t="str">
        <f t="shared" si="26"/>
        <v/>
      </c>
      <c r="AA95" s="49" t="str">
        <f t="shared" si="26"/>
        <v/>
      </c>
      <c r="AB95" s="49" t="str">
        <f t="shared" si="26"/>
        <v/>
      </c>
      <c r="AC95" s="49" t="str">
        <f t="shared" si="26"/>
        <v/>
      </c>
      <c r="AD95" s="49" t="str">
        <f t="shared" si="26"/>
        <v/>
      </c>
      <c r="AE95" s="49" t="str">
        <f t="shared" si="26"/>
        <v/>
      </c>
      <c r="AF95" s="49" t="str">
        <f t="shared" si="26"/>
        <v/>
      </c>
      <c r="AG95" s="49" t="str">
        <f t="shared" si="26"/>
        <v/>
      </c>
      <c r="AH95" s="44">
        <f>SUM(AH93:AH94)</f>
        <v>0</v>
      </c>
      <c r="AI95" s="45">
        <f>SUM(AI93:AI94)</f>
        <v>0</v>
      </c>
      <c r="AJ95" s="45">
        <f>SUM(AJ93:AJ94)</f>
        <v>0</v>
      </c>
      <c r="AK95" s="45">
        <f>SUM(AK93:AK94)</f>
        <v>10</v>
      </c>
      <c r="AL95" s="45">
        <f>SUM(AL93:AL94)</f>
        <v>0</v>
      </c>
      <c r="AM95" s="50">
        <f>Juin!AM95</f>
        <v>0</v>
      </c>
      <c r="AN95" s="51">
        <f>IF(A94="","",IF(A94&gt;NomMois,0,IF(A94&lt;$A$3,2.08,(NETWORKDAYS(A94,$A$2)/21.66667)*2.08)))</f>
        <v>2.08</v>
      </c>
      <c r="AO95" s="51">
        <f>IF( AN95="",Septembre!AO95,+AN95+Septembre!AO95)</f>
        <v>8.0639997193846593</v>
      </c>
      <c r="AP95" s="50"/>
      <c r="AQ95" s="45">
        <f>+AM95-AI95</f>
        <v>0</v>
      </c>
      <c r="AR95" s="45">
        <f>+AP95-AJ95</f>
        <v>0</v>
      </c>
      <c r="AS95" s="102">
        <f t="shared" ref="AS95:AS123" si="27">+AO95+AQ95</f>
        <v>8.0639997193846593</v>
      </c>
    </row>
    <row r="96" spans="1:45" s="63" customFormat="1" ht="6.75" customHeight="1" x14ac:dyDescent="0.25">
      <c r="A96" s="64"/>
      <c r="B96" s="42"/>
      <c r="C96" s="64"/>
      <c r="D96" s="64"/>
      <c r="E96" s="64"/>
      <c r="F96" s="64"/>
      <c r="G96" s="64"/>
      <c r="H96" s="64"/>
      <c r="I96" s="64"/>
      <c r="J96" s="64"/>
      <c r="K96" s="64"/>
      <c r="L96" s="64"/>
      <c r="M96" s="64"/>
      <c r="N96" s="64"/>
      <c r="O96" s="64"/>
      <c r="P96" s="64"/>
      <c r="Q96" s="64"/>
      <c r="R96" s="64"/>
      <c r="S96" s="64"/>
      <c r="T96" s="64"/>
      <c r="U96" s="64"/>
      <c r="V96" s="64"/>
      <c r="W96" s="64"/>
      <c r="X96" s="64"/>
      <c r="Y96" s="64"/>
      <c r="Z96" s="64"/>
      <c r="AA96" s="64"/>
      <c r="AB96" s="64"/>
      <c r="AC96" s="64"/>
      <c r="AD96" s="64"/>
      <c r="AE96" s="64"/>
      <c r="AF96" s="64"/>
      <c r="AG96" s="64"/>
      <c r="AH96" s="65"/>
      <c r="AI96" s="65"/>
      <c r="AJ96" s="65"/>
      <c r="AK96" s="65"/>
      <c r="AL96" s="65"/>
      <c r="AM96" s="64"/>
      <c r="AN96" s="65"/>
      <c r="AO96" s="65"/>
      <c r="AP96" s="64"/>
      <c r="AQ96" s="69"/>
      <c r="AR96" s="69"/>
      <c r="AS96" s="65"/>
    </row>
    <row r="97" spans="1:45" s="79" customFormat="1" ht="12.95" customHeight="1" x14ac:dyDescent="0.25">
      <c r="A97" s="70"/>
      <c r="B97" s="42" t="s">
        <v>15</v>
      </c>
      <c r="C97" s="71"/>
      <c r="D97" s="71"/>
      <c r="E97" s="71"/>
      <c r="F97" s="71"/>
      <c r="G97" s="71"/>
      <c r="H97" s="71"/>
      <c r="I97" s="71"/>
      <c r="J97" s="71"/>
      <c r="K97" s="71"/>
      <c r="L97" s="71"/>
      <c r="M97" s="71"/>
      <c r="N97" s="71"/>
      <c r="O97" s="71"/>
      <c r="P97" s="71"/>
      <c r="Q97" s="71"/>
      <c r="R97" s="71"/>
      <c r="S97" s="71"/>
      <c r="T97" s="71"/>
      <c r="U97" s="71"/>
      <c r="V97" s="71"/>
      <c r="W97" s="71"/>
      <c r="X97" s="71"/>
      <c r="Y97" s="71"/>
      <c r="Z97" s="71"/>
      <c r="AA97" s="71"/>
      <c r="AB97" s="71"/>
      <c r="AC97" s="71"/>
      <c r="AD97" s="71"/>
      <c r="AE97" s="71"/>
      <c r="AF97" s="71"/>
      <c r="AG97" s="71"/>
      <c r="AH97" s="72">
        <f>COUNTA(Octobre!$C97:$AG97)</f>
        <v>0</v>
      </c>
      <c r="AI97" s="45">
        <f>(COUNTIFS(Octobre!$C97:$AG97,("cp")))/2+Septembre!AI97</f>
        <v>11.5</v>
      </c>
      <c r="AJ97" s="45">
        <f>COUNTIFS(Octobre!$C97:$AG97,"RTT")/2+Septembre!AJ97</f>
        <v>0</v>
      </c>
      <c r="AK97" s="45">
        <f>COUNTIFS(Octobre!$C97:$AG97,"m")/2+Septembre!AK97</f>
        <v>0</v>
      </c>
      <c r="AL97" s="45">
        <f>COUNTIFS(Octobre!$C97:$AG97,"a")/2+Septembre!AL97</f>
        <v>0</v>
      </c>
      <c r="AM97" s="46"/>
      <c r="AN97" s="47"/>
      <c r="AO97" s="47"/>
      <c r="AP97" s="46"/>
      <c r="AQ97" s="47"/>
      <c r="AR97" s="47"/>
      <c r="AS97" s="47"/>
    </row>
    <row r="98" spans="1:45" s="79" customFormat="1" ht="12.95" customHeight="1" x14ac:dyDescent="0.25">
      <c r="A98" s="73">
        <v>42736</v>
      </c>
      <c r="B98" s="42" t="s">
        <v>16</v>
      </c>
      <c r="C98" s="71"/>
      <c r="D98" s="71"/>
      <c r="E98" s="71"/>
      <c r="F98" s="71"/>
      <c r="G98" s="71"/>
      <c r="H98" s="71"/>
      <c r="I98" s="71"/>
      <c r="J98" s="71"/>
      <c r="K98" s="71"/>
      <c r="L98" s="71"/>
      <c r="M98" s="71"/>
      <c r="N98" s="71"/>
      <c r="O98" s="71"/>
      <c r="P98" s="71"/>
      <c r="Q98" s="71"/>
      <c r="R98" s="71"/>
      <c r="S98" s="71"/>
      <c r="T98" s="71"/>
      <c r="U98" s="71"/>
      <c r="V98" s="71"/>
      <c r="W98" s="71"/>
      <c r="X98" s="71"/>
      <c r="Y98" s="71"/>
      <c r="Z98" s="71"/>
      <c r="AA98" s="71"/>
      <c r="AB98" s="71"/>
      <c r="AC98" s="71"/>
      <c r="AD98" s="71"/>
      <c r="AE98" s="71"/>
      <c r="AF98" s="71"/>
      <c r="AG98" s="71"/>
      <c r="AH98" s="72">
        <f>COUNTA(Octobre!$C98:$AG98)</f>
        <v>0</v>
      </c>
      <c r="AI98" s="45">
        <f>(COUNTIFS(Octobre!$C98:$AG98,("cp")))/2+Septembre!AI98</f>
        <v>11.5</v>
      </c>
      <c r="AJ98" s="45">
        <f>COUNTIFS(Octobre!$C98:$AG98,"RTT")/2+Septembre!AJ98</f>
        <v>0</v>
      </c>
      <c r="AK98" s="45">
        <f>COUNTIFS(Octobre!$C98:$AG98,"m")/2+Septembre!AK98</f>
        <v>0</v>
      </c>
      <c r="AL98" s="45">
        <f>COUNTIFS(Octobre!$C98:$AG98,"a")/2+Septembre!AL98</f>
        <v>0</v>
      </c>
      <c r="AM98" s="46"/>
      <c r="AN98" s="47"/>
      <c r="AO98" s="47"/>
      <c r="AP98" s="46"/>
      <c r="AQ98" s="47"/>
      <c r="AR98" s="47"/>
      <c r="AS98" s="101"/>
    </row>
    <row r="99" spans="1:45" s="79" customFormat="1" ht="12.95" customHeight="1" x14ac:dyDescent="0.25">
      <c r="A99" s="70"/>
      <c r="B99" s="42"/>
      <c r="C99" s="71" t="str">
        <f t="shared" ref="C99:AG99" si="28">IF(C97&gt;0,C97,IF(C98&gt;0,C98,""))</f>
        <v/>
      </c>
      <c r="D99" s="71" t="str">
        <f t="shared" si="28"/>
        <v/>
      </c>
      <c r="E99" s="71" t="str">
        <f t="shared" si="28"/>
        <v/>
      </c>
      <c r="F99" s="71" t="str">
        <f t="shared" si="28"/>
        <v/>
      </c>
      <c r="G99" s="71" t="str">
        <f t="shared" si="28"/>
        <v/>
      </c>
      <c r="H99" s="71" t="str">
        <f t="shared" si="28"/>
        <v/>
      </c>
      <c r="I99" s="71" t="str">
        <f t="shared" si="28"/>
        <v/>
      </c>
      <c r="J99" s="71" t="str">
        <f t="shared" si="28"/>
        <v/>
      </c>
      <c r="K99" s="71" t="str">
        <f t="shared" si="28"/>
        <v/>
      </c>
      <c r="L99" s="71" t="str">
        <f t="shared" si="28"/>
        <v/>
      </c>
      <c r="M99" s="71" t="str">
        <f t="shared" si="28"/>
        <v/>
      </c>
      <c r="N99" s="71" t="str">
        <f t="shared" si="28"/>
        <v/>
      </c>
      <c r="O99" s="71" t="str">
        <f t="shared" si="28"/>
        <v/>
      </c>
      <c r="P99" s="71" t="str">
        <f t="shared" si="28"/>
        <v/>
      </c>
      <c r="Q99" s="71" t="str">
        <f t="shared" si="28"/>
        <v/>
      </c>
      <c r="R99" s="71" t="str">
        <f t="shared" si="28"/>
        <v/>
      </c>
      <c r="S99" s="71" t="str">
        <f t="shared" si="28"/>
        <v/>
      </c>
      <c r="T99" s="71" t="str">
        <f t="shared" si="28"/>
        <v/>
      </c>
      <c r="U99" s="71" t="str">
        <f t="shared" si="28"/>
        <v/>
      </c>
      <c r="V99" s="71" t="str">
        <f t="shared" si="28"/>
        <v/>
      </c>
      <c r="W99" s="71" t="str">
        <f t="shared" si="28"/>
        <v/>
      </c>
      <c r="X99" s="71" t="str">
        <f t="shared" si="28"/>
        <v/>
      </c>
      <c r="Y99" s="71" t="str">
        <f t="shared" si="28"/>
        <v/>
      </c>
      <c r="Z99" s="71" t="str">
        <f t="shared" si="28"/>
        <v/>
      </c>
      <c r="AA99" s="71" t="str">
        <f t="shared" si="28"/>
        <v/>
      </c>
      <c r="AB99" s="71" t="str">
        <f t="shared" si="28"/>
        <v/>
      </c>
      <c r="AC99" s="71" t="str">
        <f t="shared" si="28"/>
        <v/>
      </c>
      <c r="AD99" s="71" t="str">
        <f t="shared" si="28"/>
        <v/>
      </c>
      <c r="AE99" s="71" t="str">
        <f t="shared" si="28"/>
        <v/>
      </c>
      <c r="AF99" s="71" t="str">
        <f t="shared" si="28"/>
        <v/>
      </c>
      <c r="AG99" s="71" t="str">
        <f t="shared" si="28"/>
        <v/>
      </c>
      <c r="AH99" s="72">
        <f>SUM(AH97:AH98)</f>
        <v>0</v>
      </c>
      <c r="AI99" s="45">
        <f>SUM(AI97:AI98)</f>
        <v>23</v>
      </c>
      <c r="AJ99" s="45">
        <f>SUM(AJ97:AJ98)</f>
        <v>0</v>
      </c>
      <c r="AK99" s="45">
        <f>SUM(AK97:AK98)</f>
        <v>0</v>
      </c>
      <c r="AL99" s="45">
        <f>SUM(AL97:AL98)</f>
        <v>0</v>
      </c>
      <c r="AM99" s="50">
        <f>Juin!AM99</f>
        <v>5.41</v>
      </c>
      <c r="AN99" s="51">
        <f>IF(A98="","",IF(A98&gt;NomMois,0,IF(A98&lt;$A$3,2.08,(NETWORKDAYS(A98,$A$2)/21.66667)*2.08)))</f>
        <v>2.08</v>
      </c>
      <c r="AO99" s="51">
        <f>IF( AN99="",Septembre!AO99,+AN99+Septembre!AO99)</f>
        <v>10.4</v>
      </c>
      <c r="AP99" s="50"/>
      <c r="AQ99" s="45">
        <f>+AM99-AI99</f>
        <v>-17.59</v>
      </c>
      <c r="AR99" s="45">
        <f>+AP99-AJ99</f>
        <v>0</v>
      </c>
      <c r="AS99" s="102">
        <f t="shared" si="27"/>
        <v>-7.1899999999999995</v>
      </c>
    </row>
    <row r="100" spans="1:45" s="63" customFormat="1" ht="6.75" customHeight="1" x14ac:dyDescent="0.25">
      <c r="A100" s="64"/>
      <c r="B100" s="42"/>
      <c r="C100" s="64"/>
      <c r="D100" s="64"/>
      <c r="E100" s="64"/>
      <c r="F100" s="64"/>
      <c r="G100" s="64"/>
      <c r="H100" s="64"/>
      <c r="I100" s="64"/>
      <c r="J100" s="64"/>
      <c r="K100" s="64"/>
      <c r="L100" s="64"/>
      <c r="M100" s="64"/>
      <c r="N100" s="64"/>
      <c r="O100" s="64"/>
      <c r="P100" s="64"/>
      <c r="Q100" s="64"/>
      <c r="R100" s="64"/>
      <c r="S100" s="64"/>
      <c r="T100" s="64"/>
      <c r="U100" s="64"/>
      <c r="V100" s="64"/>
      <c r="W100" s="64"/>
      <c r="X100" s="64"/>
      <c r="Y100" s="64"/>
      <c r="Z100" s="64"/>
      <c r="AA100" s="64"/>
      <c r="AB100" s="64"/>
      <c r="AC100" s="64"/>
      <c r="AD100" s="64"/>
      <c r="AE100" s="64"/>
      <c r="AF100" s="64"/>
      <c r="AG100" s="64"/>
      <c r="AH100" s="65"/>
      <c r="AI100" s="65"/>
      <c r="AJ100" s="65"/>
      <c r="AK100" s="65"/>
      <c r="AL100" s="65"/>
      <c r="AM100" s="64"/>
      <c r="AN100" s="65"/>
      <c r="AO100" s="65"/>
      <c r="AP100" s="64"/>
      <c r="AQ100" s="69"/>
      <c r="AR100" s="69"/>
      <c r="AS100" s="65"/>
    </row>
    <row r="101" spans="1:45" s="79" customFormat="1" ht="12.95" customHeight="1" x14ac:dyDescent="0.25">
      <c r="A101" s="70"/>
      <c r="B101" s="42" t="s">
        <v>15</v>
      </c>
      <c r="C101" s="71"/>
      <c r="D101" s="71"/>
      <c r="E101" s="71"/>
      <c r="F101" s="71"/>
      <c r="G101" s="71"/>
      <c r="H101" s="71"/>
      <c r="I101" s="71"/>
      <c r="J101" s="71"/>
      <c r="K101" s="71"/>
      <c r="L101" s="71"/>
      <c r="M101" s="71"/>
      <c r="N101" s="71"/>
      <c r="O101" s="71"/>
      <c r="P101" s="71"/>
      <c r="Q101" s="71"/>
      <c r="R101" s="71"/>
      <c r="S101" s="71"/>
      <c r="T101" s="71"/>
      <c r="U101" s="71"/>
      <c r="V101" s="71"/>
      <c r="W101" s="71"/>
      <c r="X101" s="71"/>
      <c r="Y101" s="71"/>
      <c r="Z101" s="71"/>
      <c r="AA101" s="71"/>
      <c r="AB101" s="71"/>
      <c r="AC101" s="71"/>
      <c r="AD101" s="71"/>
      <c r="AE101" s="71"/>
      <c r="AF101" s="71"/>
      <c r="AG101" s="71"/>
      <c r="AH101" s="72">
        <f>COUNTA(Octobre!$C101:$AG101)</f>
        <v>0</v>
      </c>
      <c r="AI101" s="45">
        <f>(COUNTIFS(Octobre!$C101:$AG101,("cp")))/2+Septembre!AI101</f>
        <v>2</v>
      </c>
      <c r="AJ101" s="45">
        <f>COUNTIFS(Octobre!$C101:$AG101,"RTT")/2+Septembre!AJ101</f>
        <v>0</v>
      </c>
      <c r="AK101" s="45">
        <f>COUNTIFS(Octobre!$C101:$AG101,"m")/2+Septembre!AK101</f>
        <v>0</v>
      </c>
      <c r="AL101" s="45">
        <f>COUNTIFS(Octobre!$C101:$AG101,"a")/2+Septembre!AL101</f>
        <v>0</v>
      </c>
      <c r="AM101" s="46"/>
      <c r="AN101" s="47"/>
      <c r="AO101" s="47"/>
      <c r="AP101" s="46"/>
      <c r="AQ101" s="47"/>
      <c r="AR101" s="47"/>
      <c r="AS101" s="47"/>
    </row>
    <row r="102" spans="1:45" s="79" customFormat="1" ht="12.95" customHeight="1" x14ac:dyDescent="0.25">
      <c r="A102" s="73">
        <v>42814</v>
      </c>
      <c r="B102" s="42" t="s">
        <v>16</v>
      </c>
      <c r="C102" s="71"/>
      <c r="D102" s="71"/>
      <c r="E102" s="71"/>
      <c r="F102" s="71"/>
      <c r="G102" s="71"/>
      <c r="H102" s="71"/>
      <c r="I102" s="71"/>
      <c r="J102" s="71"/>
      <c r="K102" s="71"/>
      <c r="L102" s="71"/>
      <c r="M102" s="71"/>
      <c r="N102" s="71"/>
      <c r="O102" s="71"/>
      <c r="P102" s="71"/>
      <c r="Q102" s="71"/>
      <c r="R102" s="71"/>
      <c r="S102" s="71"/>
      <c r="T102" s="71"/>
      <c r="U102" s="71"/>
      <c r="V102" s="71"/>
      <c r="W102" s="71"/>
      <c r="X102" s="71"/>
      <c r="Y102" s="71"/>
      <c r="Z102" s="71"/>
      <c r="AA102" s="71"/>
      <c r="AB102" s="71"/>
      <c r="AC102" s="71"/>
      <c r="AD102" s="71"/>
      <c r="AE102" s="71"/>
      <c r="AF102" s="71"/>
      <c r="AG102" s="71"/>
      <c r="AH102" s="72">
        <f>COUNTA(Octobre!$C102:$AG102)</f>
        <v>0</v>
      </c>
      <c r="AI102" s="45">
        <f>(COUNTIFS(Octobre!$C102:$AG102,("cp")))/2+Septembre!AI102</f>
        <v>2</v>
      </c>
      <c r="AJ102" s="45">
        <f>COUNTIFS(Octobre!$C102:$AG102,"RTT")/2+Septembre!AJ102</f>
        <v>0</v>
      </c>
      <c r="AK102" s="45">
        <f>COUNTIFS(Octobre!$C102:$AG102,"m")/2+Septembre!AK102</f>
        <v>0</v>
      </c>
      <c r="AL102" s="45">
        <f>COUNTIFS(Octobre!$C102:$AG102,"a")/2+Septembre!AL102</f>
        <v>0</v>
      </c>
      <c r="AM102" s="46"/>
      <c r="AN102" s="47"/>
      <c r="AO102" s="47"/>
      <c r="AP102" s="46"/>
      <c r="AQ102" s="47"/>
      <c r="AR102" s="47"/>
      <c r="AS102" s="101"/>
    </row>
    <row r="103" spans="1:45" s="79" customFormat="1" ht="12.95" customHeight="1" x14ac:dyDescent="0.25">
      <c r="A103" s="70"/>
      <c r="B103" s="42"/>
      <c r="C103" s="71" t="str">
        <f t="shared" ref="C103:AG103" si="29">IF(C101&gt;0,C101,IF(C102&gt;0,C102,""))</f>
        <v/>
      </c>
      <c r="D103" s="71" t="str">
        <f t="shared" si="29"/>
        <v/>
      </c>
      <c r="E103" s="71" t="str">
        <f t="shared" si="29"/>
        <v/>
      </c>
      <c r="F103" s="71" t="str">
        <f t="shared" si="29"/>
        <v/>
      </c>
      <c r="G103" s="71" t="str">
        <f t="shared" si="29"/>
        <v/>
      </c>
      <c r="H103" s="71" t="str">
        <f t="shared" si="29"/>
        <v/>
      </c>
      <c r="I103" s="71" t="str">
        <f t="shared" si="29"/>
        <v/>
      </c>
      <c r="J103" s="71" t="str">
        <f t="shared" si="29"/>
        <v/>
      </c>
      <c r="K103" s="71" t="str">
        <f t="shared" si="29"/>
        <v/>
      </c>
      <c r="L103" s="71" t="str">
        <f t="shared" si="29"/>
        <v/>
      </c>
      <c r="M103" s="71" t="str">
        <f t="shared" si="29"/>
        <v/>
      </c>
      <c r="N103" s="71" t="str">
        <f t="shared" si="29"/>
        <v/>
      </c>
      <c r="O103" s="71" t="str">
        <f t="shared" si="29"/>
        <v/>
      </c>
      <c r="P103" s="71" t="str">
        <f t="shared" si="29"/>
        <v/>
      </c>
      <c r="Q103" s="71" t="str">
        <f t="shared" si="29"/>
        <v/>
      </c>
      <c r="R103" s="71" t="str">
        <f t="shared" si="29"/>
        <v/>
      </c>
      <c r="S103" s="71" t="str">
        <f t="shared" si="29"/>
        <v/>
      </c>
      <c r="T103" s="71" t="str">
        <f t="shared" si="29"/>
        <v/>
      </c>
      <c r="U103" s="71" t="str">
        <f t="shared" si="29"/>
        <v/>
      </c>
      <c r="V103" s="71" t="str">
        <f t="shared" si="29"/>
        <v/>
      </c>
      <c r="W103" s="71" t="str">
        <f t="shared" si="29"/>
        <v/>
      </c>
      <c r="X103" s="71" t="str">
        <f t="shared" si="29"/>
        <v/>
      </c>
      <c r="Y103" s="71" t="str">
        <f t="shared" si="29"/>
        <v/>
      </c>
      <c r="Z103" s="71" t="str">
        <f t="shared" si="29"/>
        <v/>
      </c>
      <c r="AA103" s="71" t="str">
        <f t="shared" si="29"/>
        <v/>
      </c>
      <c r="AB103" s="71" t="str">
        <f t="shared" si="29"/>
        <v/>
      </c>
      <c r="AC103" s="71" t="str">
        <f t="shared" si="29"/>
        <v/>
      </c>
      <c r="AD103" s="71" t="str">
        <f t="shared" si="29"/>
        <v/>
      </c>
      <c r="AE103" s="71" t="str">
        <f t="shared" si="29"/>
        <v/>
      </c>
      <c r="AF103" s="71" t="str">
        <f t="shared" si="29"/>
        <v/>
      </c>
      <c r="AG103" s="71" t="str">
        <f t="shared" si="29"/>
        <v/>
      </c>
      <c r="AH103" s="72">
        <f>SUM(AH101:AH102)</f>
        <v>0</v>
      </c>
      <c r="AI103" s="45">
        <f>SUM(AI101:AI102)</f>
        <v>4</v>
      </c>
      <c r="AJ103" s="45">
        <f>SUM(AJ101:AJ102)</f>
        <v>0</v>
      </c>
      <c r="AK103" s="45">
        <f>SUM(AK101:AK102)</f>
        <v>0</v>
      </c>
      <c r="AL103" s="45">
        <f>SUM(AL101:AL102)</f>
        <v>0</v>
      </c>
      <c r="AM103" s="50">
        <f>Juin!AM103</f>
        <v>2.65</v>
      </c>
      <c r="AN103" s="51">
        <f>IF(A102="","",IF(A102&gt;NomMois,0,IF(A102&lt;$A$3,2.08,(NETWORKDAYS(A102,$A$2)/21.66667)*2.08)))</f>
        <v>2.08</v>
      </c>
      <c r="AO103" s="51">
        <f>IF( AN103="",Septembre!AO103,+AN103+Septembre!AO103)</f>
        <v>10.4</v>
      </c>
      <c r="AP103" s="50"/>
      <c r="AQ103" s="45">
        <f>+AM103-AI103</f>
        <v>-1.35</v>
      </c>
      <c r="AR103" s="45">
        <f>+AP103-AJ103</f>
        <v>0</v>
      </c>
      <c r="AS103" s="102">
        <f t="shared" si="27"/>
        <v>9.0500000000000007</v>
      </c>
    </row>
    <row r="104" spans="1:45" s="79" customFormat="1" ht="8.25" customHeight="1" x14ac:dyDescent="0.25">
      <c r="A104" s="64"/>
      <c r="B104" s="42"/>
      <c r="C104" s="64"/>
      <c r="D104" s="64"/>
      <c r="E104" s="64"/>
      <c r="F104" s="64"/>
      <c r="G104" s="64"/>
      <c r="H104" s="64"/>
      <c r="I104" s="64"/>
      <c r="J104" s="64"/>
      <c r="K104" s="64"/>
      <c r="L104" s="64"/>
      <c r="M104" s="64"/>
      <c r="N104" s="64"/>
      <c r="O104" s="64"/>
      <c r="P104" s="64"/>
      <c r="Q104" s="64"/>
      <c r="R104" s="64"/>
      <c r="S104" s="64"/>
      <c r="T104" s="64"/>
      <c r="U104" s="64"/>
      <c r="V104" s="64"/>
      <c r="W104" s="64"/>
      <c r="X104" s="64"/>
      <c r="Y104" s="64"/>
      <c r="Z104" s="64"/>
      <c r="AA104" s="64"/>
      <c r="AB104" s="64"/>
      <c r="AC104" s="64"/>
      <c r="AD104" s="64"/>
      <c r="AE104" s="64"/>
      <c r="AF104" s="64"/>
      <c r="AG104" s="64"/>
      <c r="AH104" s="65"/>
      <c r="AI104" s="65"/>
      <c r="AJ104" s="65"/>
      <c r="AK104" s="65"/>
      <c r="AL104" s="65"/>
      <c r="AM104" s="64"/>
      <c r="AN104" s="65"/>
      <c r="AO104" s="65"/>
      <c r="AP104" s="64"/>
      <c r="AQ104" s="69"/>
      <c r="AR104" s="69"/>
      <c r="AS104" s="65"/>
    </row>
    <row r="105" spans="1:45" s="79" customFormat="1" ht="12.95" customHeight="1" x14ac:dyDescent="0.25">
      <c r="A105" s="41"/>
      <c r="B105" s="42" t="s">
        <v>15</v>
      </c>
      <c r="C105" s="67"/>
      <c r="D105" s="43"/>
      <c r="E105" s="43"/>
      <c r="F105" s="43"/>
      <c r="G105" s="43"/>
      <c r="H105" s="43"/>
      <c r="I105" s="43"/>
      <c r="J105" s="43"/>
      <c r="K105" s="43"/>
      <c r="L105" s="43"/>
      <c r="M105" s="43"/>
      <c r="N105" s="43"/>
      <c r="O105" s="43"/>
      <c r="P105" s="43"/>
      <c r="Q105" s="43"/>
      <c r="R105" s="43"/>
      <c r="S105" s="43"/>
      <c r="T105" s="43"/>
      <c r="U105" s="43"/>
      <c r="V105" s="43"/>
      <c r="W105" s="43"/>
      <c r="X105" s="43"/>
      <c r="Y105" s="43"/>
      <c r="Z105" s="43"/>
      <c r="AA105" s="43"/>
      <c r="AB105" s="43"/>
      <c r="AC105" s="43"/>
      <c r="AD105" s="43"/>
      <c r="AE105" s="43"/>
      <c r="AF105" s="43"/>
      <c r="AG105" s="43"/>
      <c r="AH105" s="44">
        <f>COUNTA(Octobre!$C105:$AG105)</f>
        <v>0</v>
      </c>
      <c r="AI105" s="45">
        <f>(COUNTIFS(Octobre!$C105:$AG105,("cp")))/2+Septembre!AI105</f>
        <v>0</v>
      </c>
      <c r="AJ105" s="45">
        <f>COUNTIFS(Octobre!$C105:$AG105,"RTT")/2+Septembre!AJ105</f>
        <v>0</v>
      </c>
      <c r="AK105" s="45">
        <f>COUNTIFS(Octobre!$C105:$AG105,"m")/2+Septembre!AK105</f>
        <v>0</v>
      </c>
      <c r="AL105" s="45">
        <f>COUNTIFS(Octobre!$C105:$AG105,"a")/2+Septembre!AL105</f>
        <v>0</v>
      </c>
      <c r="AM105" s="46"/>
      <c r="AN105" s="47"/>
      <c r="AO105" s="47"/>
      <c r="AP105" s="46"/>
      <c r="AQ105" s="47"/>
      <c r="AR105" s="47"/>
      <c r="AS105" s="47"/>
    </row>
    <row r="106" spans="1:45" s="79" customFormat="1" ht="12.95" customHeight="1" x14ac:dyDescent="0.25">
      <c r="A106" s="48">
        <v>43037</v>
      </c>
      <c r="B106" s="42" t="s">
        <v>16</v>
      </c>
      <c r="C106" s="67"/>
      <c r="D106" s="43"/>
      <c r="E106" s="43"/>
      <c r="F106" s="43"/>
      <c r="G106" s="43"/>
      <c r="H106" s="43"/>
      <c r="I106" s="43"/>
      <c r="J106" s="43"/>
      <c r="K106" s="43"/>
      <c r="L106" s="43"/>
      <c r="M106" s="43"/>
      <c r="N106" s="43"/>
      <c r="O106" s="43"/>
      <c r="P106" s="43"/>
      <c r="Q106" s="43"/>
      <c r="R106" s="43"/>
      <c r="S106" s="43"/>
      <c r="T106" s="43"/>
      <c r="U106" s="43"/>
      <c r="V106" s="43"/>
      <c r="W106" s="43"/>
      <c r="X106" s="43"/>
      <c r="Y106" s="43"/>
      <c r="Z106" s="43"/>
      <c r="AA106" s="43"/>
      <c r="AB106" s="43"/>
      <c r="AC106" s="43"/>
      <c r="AD106" s="43"/>
      <c r="AE106" s="43"/>
      <c r="AF106" s="43"/>
      <c r="AG106" s="43"/>
      <c r="AH106" s="44">
        <f>COUNTA(Octobre!$C106:$AG106)</f>
        <v>0</v>
      </c>
      <c r="AI106" s="45">
        <f>(COUNTIFS(Octobre!$C106:$AG106,("cp")))/2+Septembre!AI106</f>
        <v>0</v>
      </c>
      <c r="AJ106" s="45">
        <f>COUNTIFS(Octobre!$C106:$AG106,"RTT")/2+Septembre!AJ106</f>
        <v>0</v>
      </c>
      <c r="AK106" s="45">
        <f>COUNTIFS(Octobre!$C106:$AG106,"m")/2+Septembre!AK106</f>
        <v>0</v>
      </c>
      <c r="AL106" s="45">
        <f>COUNTIFS(Octobre!$C106:$AG106,"a")/2+Septembre!AL106</f>
        <v>0</v>
      </c>
      <c r="AM106" s="46"/>
      <c r="AN106" s="47"/>
      <c r="AO106" s="47"/>
      <c r="AP106" s="46"/>
      <c r="AQ106" s="47"/>
      <c r="AR106" s="47"/>
      <c r="AS106" s="101"/>
    </row>
    <row r="107" spans="1:45" s="79" customFormat="1" ht="12.95" customHeight="1" x14ac:dyDescent="0.25">
      <c r="A107" s="41"/>
      <c r="B107" s="42"/>
      <c r="C107" s="49" t="str">
        <f t="shared" ref="C107:AG107" si="30">IF(C105&gt;0,C105,IF(C106&gt;0,C106,""))</f>
        <v/>
      </c>
      <c r="D107" s="49" t="str">
        <f t="shared" si="30"/>
        <v/>
      </c>
      <c r="E107" s="49" t="str">
        <f t="shared" si="30"/>
        <v/>
      </c>
      <c r="F107" s="49" t="str">
        <f t="shared" si="30"/>
        <v/>
      </c>
      <c r="G107" s="49" t="str">
        <f t="shared" si="30"/>
        <v/>
      </c>
      <c r="H107" s="49" t="str">
        <f t="shared" si="30"/>
        <v/>
      </c>
      <c r="I107" s="49" t="str">
        <f t="shared" si="30"/>
        <v/>
      </c>
      <c r="J107" s="49" t="str">
        <f t="shared" si="30"/>
        <v/>
      </c>
      <c r="K107" s="49" t="str">
        <f t="shared" si="30"/>
        <v/>
      </c>
      <c r="L107" s="49" t="str">
        <f t="shared" si="30"/>
        <v/>
      </c>
      <c r="M107" s="49" t="str">
        <f t="shared" si="30"/>
        <v/>
      </c>
      <c r="N107" s="49" t="str">
        <f t="shared" si="30"/>
        <v/>
      </c>
      <c r="O107" s="49" t="str">
        <f t="shared" si="30"/>
        <v/>
      </c>
      <c r="P107" s="49" t="str">
        <f t="shared" si="30"/>
        <v/>
      </c>
      <c r="Q107" s="49" t="str">
        <f t="shared" si="30"/>
        <v/>
      </c>
      <c r="R107" s="49" t="str">
        <f t="shared" si="30"/>
        <v/>
      </c>
      <c r="S107" s="49" t="str">
        <f t="shared" si="30"/>
        <v/>
      </c>
      <c r="T107" s="49" t="str">
        <f t="shared" si="30"/>
        <v/>
      </c>
      <c r="U107" s="49" t="str">
        <f t="shared" si="30"/>
        <v/>
      </c>
      <c r="V107" s="49" t="str">
        <f t="shared" si="30"/>
        <v/>
      </c>
      <c r="W107" s="49" t="str">
        <f t="shared" si="30"/>
        <v/>
      </c>
      <c r="X107" s="49" t="str">
        <f t="shared" si="30"/>
        <v/>
      </c>
      <c r="Y107" s="49" t="str">
        <f t="shared" si="30"/>
        <v/>
      </c>
      <c r="Z107" s="49" t="str">
        <f t="shared" si="30"/>
        <v/>
      </c>
      <c r="AA107" s="49" t="str">
        <f t="shared" si="30"/>
        <v/>
      </c>
      <c r="AB107" s="49" t="str">
        <f t="shared" si="30"/>
        <v/>
      </c>
      <c r="AC107" s="49" t="str">
        <f t="shared" si="30"/>
        <v/>
      </c>
      <c r="AD107" s="49" t="str">
        <f t="shared" si="30"/>
        <v/>
      </c>
      <c r="AE107" s="49" t="str">
        <f t="shared" si="30"/>
        <v/>
      </c>
      <c r="AF107" s="49" t="str">
        <f t="shared" si="30"/>
        <v/>
      </c>
      <c r="AG107" s="49" t="str">
        <f t="shared" si="30"/>
        <v/>
      </c>
      <c r="AH107" s="44">
        <f>SUM(AH105:AH106)</f>
        <v>0</v>
      </c>
      <c r="AI107" s="45">
        <f>SUM(AI105:AI106)</f>
        <v>0</v>
      </c>
      <c r="AJ107" s="45">
        <f>SUM(AJ105:AJ106)</f>
        <v>0</v>
      </c>
      <c r="AK107" s="45">
        <f>SUM(AK105:AK106)</f>
        <v>0</v>
      </c>
      <c r="AL107" s="45">
        <f>SUM(AL105:AL106)</f>
        <v>0</v>
      </c>
      <c r="AM107" s="50">
        <v>0</v>
      </c>
      <c r="AN107" s="51">
        <f>IF(A106="","",IF(A106&gt;NomMois,0,IF(A106&lt;$A$3,2.08,(NETWORKDAYS(A106,$A$2)/21.66667)*2.08)))</f>
        <v>0.19199997046154302</v>
      </c>
      <c r="AO107" s="51">
        <f>IF( AN107="",Septembre!AO107,+AN107+Septembre!AO107)</f>
        <v>0.19199997046154302</v>
      </c>
      <c r="AP107" s="50"/>
      <c r="AQ107" s="45">
        <f>+AM107-AI107</f>
        <v>0</v>
      </c>
      <c r="AR107" s="45">
        <f>+AP107-AJ107</f>
        <v>0</v>
      </c>
      <c r="AS107" s="102">
        <f t="shared" si="27"/>
        <v>0.19199997046154302</v>
      </c>
    </row>
    <row r="108" spans="1:45" s="79" customFormat="1" ht="6.75" customHeight="1" x14ac:dyDescent="0.25">
      <c r="A108" s="64"/>
      <c r="B108" s="42"/>
      <c r="C108" s="64"/>
      <c r="D108" s="64"/>
      <c r="E108" s="64"/>
      <c r="F108" s="64"/>
      <c r="G108" s="64"/>
      <c r="H108" s="64"/>
      <c r="I108" s="64"/>
      <c r="J108" s="64"/>
      <c r="K108" s="64"/>
      <c r="L108" s="64"/>
      <c r="M108" s="64"/>
      <c r="N108" s="64"/>
      <c r="O108" s="64"/>
      <c r="P108" s="64"/>
      <c r="Q108" s="64"/>
      <c r="R108" s="64"/>
      <c r="S108" s="64"/>
      <c r="T108" s="64"/>
      <c r="U108" s="64"/>
      <c r="V108" s="64"/>
      <c r="W108" s="64"/>
      <c r="X108" s="64"/>
      <c r="Y108" s="64"/>
      <c r="Z108" s="64"/>
      <c r="AA108" s="64"/>
      <c r="AB108" s="64"/>
      <c r="AC108" s="64"/>
      <c r="AD108" s="64"/>
      <c r="AE108" s="64"/>
      <c r="AF108" s="64"/>
      <c r="AG108" s="64"/>
      <c r="AH108" s="65"/>
      <c r="AI108" s="65"/>
      <c r="AJ108" s="65"/>
      <c r="AK108" s="65"/>
      <c r="AL108" s="65"/>
      <c r="AM108" s="64"/>
      <c r="AN108" s="65"/>
      <c r="AO108" s="65"/>
      <c r="AP108" s="64"/>
      <c r="AQ108" s="69"/>
      <c r="AR108" s="69"/>
      <c r="AS108" s="65"/>
    </row>
    <row r="109" spans="1:45" s="79" customFormat="1" ht="12.95" customHeight="1" x14ac:dyDescent="0.25">
      <c r="A109" s="41"/>
      <c r="B109" s="42" t="s">
        <v>15</v>
      </c>
      <c r="C109" s="67"/>
      <c r="D109" s="43"/>
      <c r="E109" s="43"/>
      <c r="F109" s="43"/>
      <c r="G109" s="43"/>
      <c r="H109" s="43"/>
      <c r="I109" s="43"/>
      <c r="J109" s="43"/>
      <c r="K109" s="43"/>
      <c r="L109" s="43"/>
      <c r="M109" s="43"/>
      <c r="N109" s="43"/>
      <c r="O109" s="43"/>
      <c r="P109" s="43"/>
      <c r="Q109" s="43"/>
      <c r="R109" s="43"/>
      <c r="S109" s="43"/>
      <c r="T109" s="43"/>
      <c r="U109" s="43"/>
      <c r="V109" s="43"/>
      <c r="W109" s="43"/>
      <c r="X109" s="43"/>
      <c r="Y109" s="43"/>
      <c r="Z109" s="43"/>
      <c r="AA109" s="43"/>
      <c r="AB109" s="43"/>
      <c r="AC109" s="43"/>
      <c r="AD109" s="43"/>
      <c r="AE109" s="43"/>
      <c r="AF109" s="43"/>
      <c r="AG109" s="43"/>
      <c r="AH109" s="44">
        <f>COUNTA(Octobre!$C109:$AG109)</f>
        <v>0</v>
      </c>
      <c r="AI109" s="45">
        <f>(COUNTIFS(Octobre!$C109:$AG109,("cp")))/2+Septembre!AI109</f>
        <v>0</v>
      </c>
      <c r="AJ109" s="45">
        <f>COUNTIFS(Octobre!$C109:$AG109,"RTT")/2+Septembre!AJ109</f>
        <v>0</v>
      </c>
      <c r="AK109" s="45">
        <f>COUNTIFS(Octobre!$C109:$AG109,"m")/2+Septembre!AK109</f>
        <v>0</v>
      </c>
      <c r="AL109" s="45">
        <f>COUNTIFS(Octobre!$C109:$AG109,"a")/2+Septembre!AL109</f>
        <v>0</v>
      </c>
      <c r="AM109" s="46"/>
      <c r="AN109" s="47"/>
      <c r="AO109" s="47"/>
      <c r="AP109" s="46"/>
      <c r="AQ109" s="47"/>
      <c r="AR109" s="47"/>
      <c r="AS109" s="47"/>
    </row>
    <row r="110" spans="1:45" s="79" customFormat="1" ht="12.95" customHeight="1" x14ac:dyDescent="0.25">
      <c r="A110" s="48">
        <v>42991</v>
      </c>
      <c r="B110" s="42" t="s">
        <v>16</v>
      </c>
      <c r="C110" s="67"/>
      <c r="D110" s="43"/>
      <c r="E110" s="43"/>
      <c r="F110" s="43"/>
      <c r="G110" s="43"/>
      <c r="H110" s="43"/>
      <c r="I110" s="43"/>
      <c r="J110" s="43"/>
      <c r="K110" s="43"/>
      <c r="L110" s="43"/>
      <c r="M110" s="43"/>
      <c r="N110" s="43"/>
      <c r="O110" s="43"/>
      <c r="P110" s="43"/>
      <c r="Q110" s="43"/>
      <c r="R110" s="43"/>
      <c r="S110" s="43"/>
      <c r="T110" s="43"/>
      <c r="U110" s="43"/>
      <c r="V110" s="43"/>
      <c r="W110" s="43"/>
      <c r="X110" s="43"/>
      <c r="Y110" s="43"/>
      <c r="Z110" s="43"/>
      <c r="AA110" s="43"/>
      <c r="AB110" s="43"/>
      <c r="AC110" s="43"/>
      <c r="AD110" s="43"/>
      <c r="AE110" s="43"/>
      <c r="AF110" s="43"/>
      <c r="AG110" s="43"/>
      <c r="AH110" s="44">
        <f>COUNTA(Octobre!$C110:$AG110)</f>
        <v>0</v>
      </c>
      <c r="AI110" s="45">
        <f>(COUNTIFS(Octobre!$C110:$AG110,("cp")))/2+Septembre!AI110</f>
        <v>0</v>
      </c>
      <c r="AJ110" s="45">
        <f>COUNTIFS(Octobre!$C110:$AG110,"RTT")/2+Septembre!AJ110</f>
        <v>0</v>
      </c>
      <c r="AK110" s="45">
        <f>COUNTIFS(Octobre!$C110:$AG110,"m")/2+Septembre!AK110</f>
        <v>0</v>
      </c>
      <c r="AL110" s="45">
        <f>COUNTIFS(Octobre!$C110:$AG110,"a")/2+Septembre!AL110</f>
        <v>0</v>
      </c>
      <c r="AM110" s="46"/>
      <c r="AN110" s="47"/>
      <c r="AO110" s="47"/>
      <c r="AP110" s="46"/>
      <c r="AQ110" s="47"/>
      <c r="AR110" s="47"/>
      <c r="AS110" s="101"/>
    </row>
    <row r="111" spans="1:45" s="79" customFormat="1" ht="12.95" customHeight="1" x14ac:dyDescent="0.25">
      <c r="A111" s="41"/>
      <c r="B111" s="42"/>
      <c r="C111" s="49" t="str">
        <f t="shared" ref="C111:AG111" si="31">IF(C109&gt;0,C109,IF(C110&gt;0,C110,""))</f>
        <v/>
      </c>
      <c r="D111" s="49" t="str">
        <f t="shared" si="31"/>
        <v/>
      </c>
      <c r="E111" s="49" t="str">
        <f t="shared" si="31"/>
        <v/>
      </c>
      <c r="F111" s="49" t="str">
        <f t="shared" si="31"/>
        <v/>
      </c>
      <c r="G111" s="49" t="str">
        <f t="shared" si="31"/>
        <v/>
      </c>
      <c r="H111" s="49" t="str">
        <f t="shared" si="31"/>
        <v/>
      </c>
      <c r="I111" s="49" t="str">
        <f t="shared" si="31"/>
        <v/>
      </c>
      <c r="J111" s="49" t="str">
        <f t="shared" si="31"/>
        <v/>
      </c>
      <c r="K111" s="49" t="str">
        <f t="shared" si="31"/>
        <v/>
      </c>
      <c r="L111" s="49" t="str">
        <f t="shared" si="31"/>
        <v/>
      </c>
      <c r="M111" s="49" t="str">
        <f t="shared" si="31"/>
        <v/>
      </c>
      <c r="N111" s="49" t="str">
        <f t="shared" si="31"/>
        <v/>
      </c>
      <c r="O111" s="49" t="str">
        <f t="shared" si="31"/>
        <v/>
      </c>
      <c r="P111" s="49" t="str">
        <f t="shared" si="31"/>
        <v/>
      </c>
      <c r="Q111" s="49" t="str">
        <f t="shared" si="31"/>
        <v/>
      </c>
      <c r="R111" s="49" t="str">
        <f t="shared" si="31"/>
        <v/>
      </c>
      <c r="S111" s="49" t="str">
        <f t="shared" si="31"/>
        <v/>
      </c>
      <c r="T111" s="49" t="str">
        <f t="shared" si="31"/>
        <v/>
      </c>
      <c r="U111" s="49" t="str">
        <f t="shared" si="31"/>
        <v/>
      </c>
      <c r="V111" s="49" t="str">
        <f t="shared" si="31"/>
        <v/>
      </c>
      <c r="W111" s="49" t="str">
        <f t="shared" si="31"/>
        <v/>
      </c>
      <c r="X111" s="49" t="str">
        <f t="shared" si="31"/>
        <v/>
      </c>
      <c r="Y111" s="49" t="str">
        <f t="shared" si="31"/>
        <v/>
      </c>
      <c r="Z111" s="49" t="str">
        <f t="shared" si="31"/>
        <v/>
      </c>
      <c r="AA111" s="49" t="str">
        <f t="shared" si="31"/>
        <v/>
      </c>
      <c r="AB111" s="49" t="str">
        <f t="shared" si="31"/>
        <v/>
      </c>
      <c r="AC111" s="49" t="str">
        <f t="shared" si="31"/>
        <v/>
      </c>
      <c r="AD111" s="49" t="str">
        <f t="shared" si="31"/>
        <v/>
      </c>
      <c r="AE111" s="49" t="str">
        <f t="shared" si="31"/>
        <v/>
      </c>
      <c r="AF111" s="49" t="str">
        <f t="shared" si="31"/>
        <v/>
      </c>
      <c r="AG111" s="49" t="str">
        <f t="shared" si="31"/>
        <v/>
      </c>
      <c r="AH111" s="44">
        <f>SUM(AH109:AH110)</f>
        <v>0</v>
      </c>
      <c r="AI111" s="45">
        <f>SUM(AI109:AI110)</f>
        <v>0</v>
      </c>
      <c r="AJ111" s="45">
        <f>SUM(AJ109:AJ110)</f>
        <v>0</v>
      </c>
      <c r="AK111" s="45">
        <f>SUM(AK109:AK110)</f>
        <v>0</v>
      </c>
      <c r="AL111" s="45">
        <f>SUM(AL109:AL110)</f>
        <v>0</v>
      </c>
      <c r="AM111" s="50">
        <v>0</v>
      </c>
      <c r="AN111" s="51">
        <f>IF(A110="","",IF(A110&gt;NomMois,0,IF(A110&lt;$A$3,2.08,(NETWORKDAYS(A110,$A$2)/21.66667)*2.08)))</f>
        <v>2.08</v>
      </c>
      <c r="AO111" s="51">
        <f>IF( AN111="",Septembre!AO111,+AN111+Septembre!AO111)</f>
        <v>3.3279998080000297</v>
      </c>
      <c r="AP111" s="50"/>
      <c r="AQ111" s="45">
        <f>+AM111-AI111</f>
        <v>0</v>
      </c>
      <c r="AR111" s="45">
        <f>+AP111-AJ111</f>
        <v>0</v>
      </c>
      <c r="AS111" s="102">
        <f t="shared" si="27"/>
        <v>3.3279998080000297</v>
      </c>
    </row>
    <row r="112" spans="1:45" s="79" customFormat="1" ht="6.75" customHeight="1" x14ac:dyDescent="0.25">
      <c r="A112" s="64"/>
      <c r="B112" s="42"/>
      <c r="C112" s="64"/>
      <c r="D112" s="64"/>
      <c r="E112" s="64"/>
      <c r="F112" s="64"/>
      <c r="G112" s="64"/>
      <c r="H112" s="64"/>
      <c r="I112" s="64"/>
      <c r="J112" s="64"/>
      <c r="K112" s="64"/>
      <c r="L112" s="64"/>
      <c r="M112" s="64"/>
      <c r="N112" s="64"/>
      <c r="O112" s="64"/>
      <c r="P112" s="64"/>
      <c r="Q112" s="64"/>
      <c r="R112" s="64"/>
      <c r="S112" s="64"/>
      <c r="T112" s="64"/>
      <c r="U112" s="64"/>
      <c r="V112" s="64"/>
      <c r="W112" s="64"/>
      <c r="X112" s="64"/>
      <c r="Y112" s="64"/>
      <c r="Z112" s="64"/>
      <c r="AA112" s="64"/>
      <c r="AB112" s="64"/>
      <c r="AC112" s="64"/>
      <c r="AD112" s="64"/>
      <c r="AE112" s="64"/>
      <c r="AF112" s="64"/>
      <c r="AG112" s="64"/>
      <c r="AH112" s="65"/>
      <c r="AI112" s="65"/>
      <c r="AJ112" s="65"/>
      <c r="AK112" s="65"/>
      <c r="AL112" s="65"/>
      <c r="AM112" s="64"/>
      <c r="AN112" s="65"/>
      <c r="AO112" s="65"/>
      <c r="AP112" s="64"/>
      <c r="AQ112" s="69"/>
      <c r="AR112" s="69"/>
      <c r="AS112" s="65"/>
    </row>
    <row r="113" spans="1:45" s="79" customFormat="1" ht="12.95" customHeight="1" x14ac:dyDescent="0.25">
      <c r="A113" s="41"/>
      <c r="B113" s="42" t="s">
        <v>15</v>
      </c>
      <c r="C113" s="67"/>
      <c r="D113" s="43"/>
      <c r="E113" s="43"/>
      <c r="F113" s="43"/>
      <c r="G113" s="43"/>
      <c r="H113" s="43"/>
      <c r="I113" s="43"/>
      <c r="J113" s="43"/>
      <c r="K113" s="43"/>
      <c r="L113" s="43"/>
      <c r="M113" s="43"/>
      <c r="N113" s="43"/>
      <c r="O113" s="43"/>
      <c r="P113" s="43"/>
      <c r="Q113" s="43"/>
      <c r="R113" s="43"/>
      <c r="S113" s="43"/>
      <c r="T113" s="43"/>
      <c r="U113" s="43"/>
      <c r="V113" s="43"/>
      <c r="W113" s="43"/>
      <c r="X113" s="43"/>
      <c r="Y113" s="43"/>
      <c r="Z113" s="43"/>
      <c r="AA113" s="43"/>
      <c r="AB113" s="43"/>
      <c r="AC113" s="43"/>
      <c r="AD113" s="43"/>
      <c r="AE113" s="43"/>
      <c r="AF113" s="43"/>
      <c r="AG113" s="43"/>
      <c r="AH113" s="44">
        <f>COUNTA(Octobre!$C113:$AG113)</f>
        <v>0</v>
      </c>
      <c r="AI113" s="45">
        <f>(COUNTIFS(Octobre!$C113:$AG113,("cp")))/2+Septembre!AI113</f>
        <v>0</v>
      </c>
      <c r="AJ113" s="45">
        <f>COUNTIFS(Octobre!$C113:$AG113,"RTT")/2+Septembre!AJ113</f>
        <v>0</v>
      </c>
      <c r="AK113" s="45">
        <f>COUNTIFS(Octobre!$C113:$AG113,"m")/2+Septembre!AK113</f>
        <v>0</v>
      </c>
      <c r="AL113" s="45">
        <f>COUNTIFS(Octobre!$C113:$AG113,"a")/2+Septembre!AL113</f>
        <v>0</v>
      </c>
      <c r="AM113" s="46"/>
      <c r="AN113" s="47"/>
      <c r="AO113" s="47"/>
      <c r="AP113" s="46"/>
      <c r="AQ113" s="47"/>
      <c r="AR113" s="47"/>
      <c r="AS113" s="47"/>
    </row>
    <row r="114" spans="1:45" s="79" customFormat="1" ht="12.95" customHeight="1" x14ac:dyDescent="0.25">
      <c r="A114" s="48">
        <v>43052</v>
      </c>
      <c r="B114" s="42" t="s">
        <v>16</v>
      </c>
      <c r="C114" s="67"/>
      <c r="D114" s="43"/>
      <c r="E114" s="43"/>
      <c r="F114" s="43"/>
      <c r="G114" s="43"/>
      <c r="H114" s="43"/>
      <c r="I114" s="43"/>
      <c r="J114" s="43"/>
      <c r="K114" s="43"/>
      <c r="L114" s="43"/>
      <c r="M114" s="43"/>
      <c r="N114" s="43"/>
      <c r="O114" s="43"/>
      <c r="P114" s="43"/>
      <c r="Q114" s="43"/>
      <c r="R114" s="43"/>
      <c r="S114" s="43"/>
      <c r="T114" s="43"/>
      <c r="U114" s="43"/>
      <c r="V114" s="43"/>
      <c r="W114" s="43"/>
      <c r="X114" s="43"/>
      <c r="Y114" s="43"/>
      <c r="Z114" s="43"/>
      <c r="AA114" s="43"/>
      <c r="AB114" s="43"/>
      <c r="AC114" s="43"/>
      <c r="AD114" s="43"/>
      <c r="AE114" s="43"/>
      <c r="AF114" s="43"/>
      <c r="AG114" s="43"/>
      <c r="AH114" s="44">
        <f>COUNTA(Octobre!$C114:$AG114)</f>
        <v>0</v>
      </c>
      <c r="AI114" s="45">
        <f>(COUNTIFS(Octobre!$C114:$AG114,("cp")))/2+Septembre!AI114</f>
        <v>0</v>
      </c>
      <c r="AJ114" s="45">
        <f>COUNTIFS(Octobre!$C114:$AG114,"RTT")/2+Septembre!AJ114</f>
        <v>0</v>
      </c>
      <c r="AK114" s="45">
        <f>COUNTIFS(Octobre!$C114:$AG114,"m")/2+Septembre!AK114</f>
        <v>0</v>
      </c>
      <c r="AL114" s="45">
        <f>COUNTIFS(Octobre!$C114:$AG114,"a")/2+Septembre!AL114</f>
        <v>0</v>
      </c>
      <c r="AM114" s="46"/>
      <c r="AN114" s="47"/>
      <c r="AO114" s="47"/>
      <c r="AP114" s="46"/>
      <c r="AQ114" s="47"/>
      <c r="AR114" s="47"/>
      <c r="AS114" s="101"/>
    </row>
    <row r="115" spans="1:45" s="79" customFormat="1" ht="12.95" customHeight="1" x14ac:dyDescent="0.25">
      <c r="A115" s="41"/>
      <c r="B115" s="42"/>
      <c r="C115" s="49" t="str">
        <f t="shared" ref="C115:AG115" si="32">IF(C113&gt;0,C113,IF(C114&gt;0,C114,""))</f>
        <v/>
      </c>
      <c r="D115" s="49" t="str">
        <f t="shared" si="32"/>
        <v/>
      </c>
      <c r="E115" s="49" t="str">
        <f t="shared" si="32"/>
        <v/>
      </c>
      <c r="F115" s="49" t="str">
        <f t="shared" si="32"/>
        <v/>
      </c>
      <c r="G115" s="49" t="str">
        <f t="shared" si="32"/>
        <v/>
      </c>
      <c r="H115" s="49" t="str">
        <f t="shared" si="32"/>
        <v/>
      </c>
      <c r="I115" s="49" t="str">
        <f t="shared" si="32"/>
        <v/>
      </c>
      <c r="J115" s="49" t="str">
        <f t="shared" si="32"/>
        <v/>
      </c>
      <c r="K115" s="49" t="str">
        <f t="shared" si="32"/>
        <v/>
      </c>
      <c r="L115" s="49" t="str">
        <f t="shared" si="32"/>
        <v/>
      </c>
      <c r="M115" s="49" t="str">
        <f t="shared" si="32"/>
        <v/>
      </c>
      <c r="N115" s="49" t="str">
        <f t="shared" si="32"/>
        <v/>
      </c>
      <c r="O115" s="49" t="str">
        <f t="shared" si="32"/>
        <v/>
      </c>
      <c r="P115" s="49" t="str">
        <f t="shared" si="32"/>
        <v/>
      </c>
      <c r="Q115" s="49" t="str">
        <f t="shared" si="32"/>
        <v/>
      </c>
      <c r="R115" s="49" t="str">
        <f t="shared" si="32"/>
        <v/>
      </c>
      <c r="S115" s="49" t="str">
        <f t="shared" si="32"/>
        <v/>
      </c>
      <c r="T115" s="49" t="str">
        <f t="shared" si="32"/>
        <v/>
      </c>
      <c r="U115" s="49" t="str">
        <f t="shared" si="32"/>
        <v/>
      </c>
      <c r="V115" s="49" t="str">
        <f t="shared" si="32"/>
        <v/>
      </c>
      <c r="W115" s="49" t="str">
        <f t="shared" si="32"/>
        <v/>
      </c>
      <c r="X115" s="49" t="str">
        <f t="shared" si="32"/>
        <v/>
      </c>
      <c r="Y115" s="49" t="str">
        <f t="shared" si="32"/>
        <v/>
      </c>
      <c r="Z115" s="49" t="str">
        <f t="shared" si="32"/>
        <v/>
      </c>
      <c r="AA115" s="49" t="str">
        <f t="shared" si="32"/>
        <v/>
      </c>
      <c r="AB115" s="49" t="str">
        <f t="shared" si="32"/>
        <v/>
      </c>
      <c r="AC115" s="49" t="str">
        <f t="shared" si="32"/>
        <v/>
      </c>
      <c r="AD115" s="49" t="str">
        <f t="shared" si="32"/>
        <v/>
      </c>
      <c r="AE115" s="49" t="str">
        <f t="shared" si="32"/>
        <v/>
      </c>
      <c r="AF115" s="49" t="str">
        <f t="shared" si="32"/>
        <v/>
      </c>
      <c r="AG115" s="49" t="str">
        <f t="shared" si="32"/>
        <v/>
      </c>
      <c r="AH115" s="44">
        <f>SUM(AH113:AH114)</f>
        <v>0</v>
      </c>
      <c r="AI115" s="45">
        <f>SUM(AI113:AI114)</f>
        <v>0</v>
      </c>
      <c r="AJ115" s="45">
        <f>SUM(AJ113:AJ114)</f>
        <v>0</v>
      </c>
      <c r="AK115" s="45">
        <f>SUM(AK113:AK114)</f>
        <v>0</v>
      </c>
      <c r="AL115" s="45">
        <f>SUM(AL113:AL114)</f>
        <v>0</v>
      </c>
      <c r="AM115" s="50">
        <v>0</v>
      </c>
      <c r="AN115" s="51">
        <f>IF(A114="","",IF(A114&gt;NomMois,0,IF(A114&lt;$A$3,2.08,(NETWORKDAYS(A114,$A$2)/21.66667)*2.08)))</f>
        <v>0</v>
      </c>
      <c r="AO115" s="51">
        <f>IF( AN115="",Septembre!AO115,+AN115+Septembre!AO115)</f>
        <v>0</v>
      </c>
      <c r="AP115" s="50"/>
      <c r="AQ115" s="45">
        <f>+AM115-AI115</f>
        <v>0</v>
      </c>
      <c r="AR115" s="45">
        <f>+AP115-AJ115</f>
        <v>0</v>
      </c>
      <c r="AS115" s="102">
        <f t="shared" si="27"/>
        <v>0</v>
      </c>
    </row>
    <row r="116" spans="1:45" s="79" customFormat="1" ht="6.75" customHeight="1" x14ac:dyDescent="0.25">
      <c r="A116" s="64"/>
      <c r="B116" s="42"/>
      <c r="C116" s="64"/>
      <c r="D116" s="64"/>
      <c r="E116" s="64"/>
      <c r="F116" s="64"/>
      <c r="G116" s="64"/>
      <c r="H116" s="64"/>
      <c r="I116" s="64"/>
      <c r="J116" s="64"/>
      <c r="K116" s="64"/>
      <c r="L116" s="64"/>
      <c r="M116" s="64"/>
      <c r="N116" s="64"/>
      <c r="O116" s="64"/>
      <c r="P116" s="64"/>
      <c r="Q116" s="64"/>
      <c r="R116" s="64"/>
      <c r="S116" s="64"/>
      <c r="T116" s="64"/>
      <c r="U116" s="64"/>
      <c r="V116" s="64"/>
      <c r="W116" s="64"/>
      <c r="X116" s="64"/>
      <c r="Y116" s="64"/>
      <c r="Z116" s="64"/>
      <c r="AA116" s="64"/>
      <c r="AB116" s="64"/>
      <c r="AC116" s="64"/>
      <c r="AD116" s="64"/>
      <c r="AE116" s="64"/>
      <c r="AF116" s="64"/>
      <c r="AG116" s="64"/>
      <c r="AH116" s="65"/>
      <c r="AI116" s="65"/>
      <c r="AJ116" s="65"/>
      <c r="AK116" s="65"/>
      <c r="AL116" s="65"/>
      <c r="AM116" s="64"/>
      <c r="AN116" s="65"/>
      <c r="AO116" s="65"/>
      <c r="AP116" s="64"/>
      <c r="AQ116" s="69"/>
      <c r="AR116" s="69"/>
      <c r="AS116" s="65"/>
    </row>
    <row r="117" spans="1:45" s="79" customFormat="1" ht="12.95" customHeight="1" x14ac:dyDescent="0.25">
      <c r="A117" s="41"/>
      <c r="B117" s="42" t="s">
        <v>15</v>
      </c>
      <c r="C117" s="67"/>
      <c r="D117" s="43"/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  <c r="S117" s="43"/>
      <c r="T117" s="43"/>
      <c r="U117" s="43"/>
      <c r="V117" s="43"/>
      <c r="W117" s="43"/>
      <c r="X117" s="43"/>
      <c r="Y117" s="43"/>
      <c r="Z117" s="43"/>
      <c r="AA117" s="43"/>
      <c r="AB117" s="43"/>
      <c r="AC117" s="43"/>
      <c r="AD117" s="43"/>
      <c r="AE117" s="43"/>
      <c r="AF117" s="43"/>
      <c r="AG117" s="43"/>
      <c r="AH117" s="44">
        <f>COUNTA(Octobre!$C117:$AG117)</f>
        <v>0</v>
      </c>
      <c r="AI117" s="45">
        <f>(COUNTIFS(Octobre!$C117:$AG117,("cp")))/2+Septembre!AI117</f>
        <v>0</v>
      </c>
      <c r="AJ117" s="45">
        <f>COUNTIFS(Octobre!$C117:$AG117,"RTT")/2+Septembre!AJ117</f>
        <v>0</v>
      </c>
      <c r="AK117" s="45">
        <f>COUNTIFS(Octobre!$C117:$AG117,"m")/2+Septembre!AK117</f>
        <v>0</v>
      </c>
      <c r="AL117" s="45">
        <f>COUNTIFS(Octobre!$C117:$AG117,"a")/2+Septembre!AL117</f>
        <v>0</v>
      </c>
      <c r="AM117" s="46"/>
      <c r="AN117" s="47"/>
      <c r="AO117" s="47"/>
      <c r="AP117" s="46"/>
      <c r="AQ117" s="47"/>
      <c r="AR117" s="47"/>
      <c r="AS117" s="47"/>
    </row>
    <row r="118" spans="1:45" s="79" customFormat="1" ht="12.95" customHeight="1" x14ac:dyDescent="0.25">
      <c r="A118" s="48"/>
      <c r="B118" s="42" t="s">
        <v>16</v>
      </c>
      <c r="C118" s="67"/>
      <c r="D118" s="43"/>
      <c r="E118" s="43"/>
      <c r="F118" s="43"/>
      <c r="G118" s="43"/>
      <c r="H118" s="43"/>
      <c r="I118" s="43"/>
      <c r="J118" s="43"/>
      <c r="K118" s="43"/>
      <c r="L118" s="43"/>
      <c r="M118" s="43"/>
      <c r="N118" s="43"/>
      <c r="O118" s="43"/>
      <c r="P118" s="43"/>
      <c r="Q118" s="43"/>
      <c r="R118" s="43"/>
      <c r="S118" s="43"/>
      <c r="T118" s="43"/>
      <c r="U118" s="43"/>
      <c r="V118" s="43"/>
      <c r="W118" s="43"/>
      <c r="X118" s="43"/>
      <c r="Y118" s="43"/>
      <c r="Z118" s="43"/>
      <c r="AA118" s="43"/>
      <c r="AB118" s="43"/>
      <c r="AC118" s="43"/>
      <c r="AD118" s="43"/>
      <c r="AE118" s="43"/>
      <c r="AF118" s="43"/>
      <c r="AG118" s="43"/>
      <c r="AH118" s="44">
        <f>COUNTA(Octobre!$C118:$AG118)</f>
        <v>0</v>
      </c>
      <c r="AI118" s="45">
        <f>(COUNTIFS(Octobre!$C118:$AG118,("cp")))/2+Septembre!AI118</f>
        <v>0</v>
      </c>
      <c r="AJ118" s="45">
        <f>COUNTIFS(Octobre!$C118:$AG118,"RTT")/2+Septembre!AJ118</f>
        <v>0</v>
      </c>
      <c r="AK118" s="45">
        <f>COUNTIFS(Octobre!$C118:$AG118,"m")/2+Septembre!AK118</f>
        <v>0</v>
      </c>
      <c r="AL118" s="45">
        <f>COUNTIFS(Octobre!$C118:$AG118,"a")/2+Septembre!AL118</f>
        <v>0</v>
      </c>
      <c r="AM118" s="46"/>
      <c r="AN118" s="47"/>
      <c r="AO118" s="47"/>
      <c r="AP118" s="46"/>
      <c r="AQ118" s="47"/>
      <c r="AR118" s="47"/>
      <c r="AS118" s="101"/>
    </row>
    <row r="119" spans="1:45" s="79" customFormat="1" ht="12.95" customHeight="1" x14ac:dyDescent="0.25">
      <c r="A119" s="41"/>
      <c r="B119" s="42"/>
      <c r="C119" s="49" t="str">
        <f t="shared" ref="C119:AG119" si="33">IF(C117&gt;0,C117,IF(C118&gt;0,C118,""))</f>
        <v/>
      </c>
      <c r="D119" s="49" t="str">
        <f t="shared" si="33"/>
        <v/>
      </c>
      <c r="E119" s="49" t="str">
        <f t="shared" si="33"/>
        <v/>
      </c>
      <c r="F119" s="49" t="str">
        <f t="shared" si="33"/>
        <v/>
      </c>
      <c r="G119" s="49" t="str">
        <f t="shared" si="33"/>
        <v/>
      </c>
      <c r="H119" s="49" t="str">
        <f t="shared" si="33"/>
        <v/>
      </c>
      <c r="I119" s="49" t="str">
        <f t="shared" si="33"/>
        <v/>
      </c>
      <c r="J119" s="49" t="str">
        <f t="shared" si="33"/>
        <v/>
      </c>
      <c r="K119" s="49" t="str">
        <f t="shared" si="33"/>
        <v/>
      </c>
      <c r="L119" s="49" t="str">
        <f t="shared" si="33"/>
        <v/>
      </c>
      <c r="M119" s="49" t="str">
        <f t="shared" si="33"/>
        <v/>
      </c>
      <c r="N119" s="49" t="str">
        <f t="shared" si="33"/>
        <v/>
      </c>
      <c r="O119" s="49" t="str">
        <f t="shared" si="33"/>
        <v/>
      </c>
      <c r="P119" s="49" t="str">
        <f t="shared" si="33"/>
        <v/>
      </c>
      <c r="Q119" s="49" t="str">
        <f t="shared" si="33"/>
        <v/>
      </c>
      <c r="R119" s="49" t="str">
        <f t="shared" si="33"/>
        <v/>
      </c>
      <c r="S119" s="49" t="str">
        <f t="shared" si="33"/>
        <v/>
      </c>
      <c r="T119" s="49" t="str">
        <f t="shared" si="33"/>
        <v/>
      </c>
      <c r="U119" s="49" t="str">
        <f t="shared" si="33"/>
        <v/>
      </c>
      <c r="V119" s="49" t="str">
        <f t="shared" si="33"/>
        <v/>
      </c>
      <c r="W119" s="49" t="str">
        <f t="shared" si="33"/>
        <v/>
      </c>
      <c r="X119" s="49" t="str">
        <f t="shared" si="33"/>
        <v/>
      </c>
      <c r="Y119" s="49" t="str">
        <f t="shared" si="33"/>
        <v/>
      </c>
      <c r="Z119" s="49" t="str">
        <f t="shared" si="33"/>
        <v/>
      </c>
      <c r="AA119" s="49" t="str">
        <f t="shared" si="33"/>
        <v/>
      </c>
      <c r="AB119" s="49" t="str">
        <f t="shared" si="33"/>
        <v/>
      </c>
      <c r="AC119" s="49" t="str">
        <f t="shared" si="33"/>
        <v/>
      </c>
      <c r="AD119" s="49" t="str">
        <f t="shared" si="33"/>
        <v/>
      </c>
      <c r="AE119" s="49" t="str">
        <f t="shared" si="33"/>
        <v/>
      </c>
      <c r="AF119" s="49" t="str">
        <f t="shared" si="33"/>
        <v/>
      </c>
      <c r="AG119" s="49" t="str">
        <f t="shared" si="33"/>
        <v/>
      </c>
      <c r="AH119" s="44">
        <f>SUM(AH117:AH118)</f>
        <v>0</v>
      </c>
      <c r="AI119" s="45">
        <f>SUM(AI117:AI118)</f>
        <v>0</v>
      </c>
      <c r="AJ119" s="45">
        <f>SUM(AJ117:AJ118)</f>
        <v>0</v>
      </c>
      <c r="AK119" s="45">
        <f>SUM(AK117:AK118)</f>
        <v>0</v>
      </c>
      <c r="AL119" s="45">
        <f>SUM(AL117:AL118)</f>
        <v>0</v>
      </c>
      <c r="AM119" s="50">
        <v>0</v>
      </c>
      <c r="AN119" s="51" t="str">
        <f>IF(A118="","",IF(A118&gt;NomMois,0,IF(A118&lt;$A$3,2.08,(NETWORKDAYS(A118,$A$2)/21.66667)*2.08)))</f>
        <v/>
      </c>
      <c r="AO119" s="51">
        <f>IF( AN119="",Septembre!AO119,+AN119+Septembre!AO119)</f>
        <v>0</v>
      </c>
      <c r="AP119" s="50"/>
      <c r="AQ119" s="45">
        <f>+AM119-AI119</f>
        <v>0</v>
      </c>
      <c r="AR119" s="45">
        <f>+AP119-AJ119</f>
        <v>0</v>
      </c>
      <c r="AS119" s="102">
        <f t="shared" si="27"/>
        <v>0</v>
      </c>
    </row>
    <row r="120" spans="1:45" s="79" customFormat="1" ht="6.75" customHeight="1" x14ac:dyDescent="0.25">
      <c r="A120" s="64"/>
      <c r="B120" s="42"/>
      <c r="C120" s="64"/>
      <c r="D120" s="64"/>
      <c r="E120" s="64"/>
      <c r="F120" s="64"/>
      <c r="G120" s="64"/>
      <c r="H120" s="64"/>
      <c r="I120" s="64"/>
      <c r="J120" s="64"/>
      <c r="K120" s="64"/>
      <c r="L120" s="64"/>
      <c r="M120" s="64"/>
      <c r="N120" s="64"/>
      <c r="O120" s="64"/>
      <c r="P120" s="64"/>
      <c r="Q120" s="64"/>
      <c r="R120" s="64"/>
      <c r="S120" s="64"/>
      <c r="T120" s="64"/>
      <c r="U120" s="64"/>
      <c r="V120" s="64"/>
      <c r="W120" s="64"/>
      <c r="X120" s="64"/>
      <c r="Y120" s="64"/>
      <c r="Z120" s="64"/>
      <c r="AA120" s="64"/>
      <c r="AB120" s="64"/>
      <c r="AC120" s="64"/>
      <c r="AD120" s="64"/>
      <c r="AE120" s="64"/>
      <c r="AF120" s="64"/>
      <c r="AG120" s="64"/>
      <c r="AH120" s="65"/>
      <c r="AI120" s="65"/>
      <c r="AJ120" s="65"/>
      <c r="AK120" s="65"/>
      <c r="AL120" s="65"/>
      <c r="AM120" s="64"/>
      <c r="AN120" s="65"/>
      <c r="AO120" s="65"/>
      <c r="AP120" s="64"/>
      <c r="AQ120" s="69"/>
      <c r="AR120" s="69"/>
      <c r="AS120" s="65"/>
    </row>
    <row r="121" spans="1:45" s="79" customFormat="1" ht="12.95" customHeight="1" x14ac:dyDescent="0.25">
      <c r="A121" s="41"/>
      <c r="B121" s="42" t="s">
        <v>15</v>
      </c>
      <c r="C121" s="67"/>
      <c r="D121" s="43"/>
      <c r="E121" s="43"/>
      <c r="F121" s="43"/>
      <c r="G121" s="43"/>
      <c r="H121" s="43"/>
      <c r="I121" s="43"/>
      <c r="J121" s="43"/>
      <c r="K121" s="43"/>
      <c r="L121" s="43"/>
      <c r="M121" s="43"/>
      <c r="N121" s="43"/>
      <c r="O121" s="43"/>
      <c r="P121" s="43"/>
      <c r="Q121" s="43"/>
      <c r="R121" s="43"/>
      <c r="S121" s="43"/>
      <c r="T121" s="43"/>
      <c r="U121" s="43"/>
      <c r="V121" s="43"/>
      <c r="W121" s="43"/>
      <c r="X121" s="43"/>
      <c r="Y121" s="43"/>
      <c r="Z121" s="43"/>
      <c r="AA121" s="43"/>
      <c r="AB121" s="43"/>
      <c r="AC121" s="43"/>
      <c r="AD121" s="43"/>
      <c r="AE121" s="43"/>
      <c r="AF121" s="43"/>
      <c r="AG121" s="43"/>
      <c r="AH121" s="44">
        <f>COUNTA(Octobre!$C121:$AG121)</f>
        <v>0</v>
      </c>
      <c r="AI121" s="45">
        <f>(COUNTIFS(Octobre!$C121:$AG121,("cp")))/2+Septembre!AI121</f>
        <v>0</v>
      </c>
      <c r="AJ121" s="45">
        <f>COUNTIFS(Octobre!$C121:$AG121,"RTT")/2+Septembre!AJ121</f>
        <v>0</v>
      </c>
      <c r="AK121" s="45">
        <f>COUNTIFS(Octobre!$C121:$AG121,"m")/2+Septembre!AK121</f>
        <v>0</v>
      </c>
      <c r="AL121" s="45">
        <f>COUNTIFS(Octobre!$C121:$AG121,"a")/2+Septembre!AL121</f>
        <v>0</v>
      </c>
      <c r="AM121" s="46"/>
      <c r="AN121" s="47"/>
      <c r="AO121" s="47"/>
      <c r="AP121" s="46"/>
      <c r="AQ121" s="47"/>
      <c r="AR121" s="47"/>
      <c r="AS121" s="47"/>
    </row>
    <row r="122" spans="1:45" s="79" customFormat="1" ht="12.95" customHeight="1" x14ac:dyDescent="0.25">
      <c r="A122" s="48"/>
      <c r="B122" s="42" t="s">
        <v>16</v>
      </c>
      <c r="C122" s="67"/>
      <c r="D122" s="43"/>
      <c r="E122" s="43"/>
      <c r="F122" s="43"/>
      <c r="G122" s="43"/>
      <c r="H122" s="43"/>
      <c r="I122" s="43"/>
      <c r="J122" s="43"/>
      <c r="K122" s="43"/>
      <c r="L122" s="43"/>
      <c r="M122" s="43"/>
      <c r="N122" s="43"/>
      <c r="O122" s="43"/>
      <c r="P122" s="43"/>
      <c r="Q122" s="43"/>
      <c r="R122" s="43"/>
      <c r="S122" s="43"/>
      <c r="T122" s="43"/>
      <c r="U122" s="43"/>
      <c r="V122" s="43"/>
      <c r="W122" s="43"/>
      <c r="X122" s="43"/>
      <c r="Y122" s="43"/>
      <c r="Z122" s="43"/>
      <c r="AA122" s="43"/>
      <c r="AB122" s="43"/>
      <c r="AC122" s="43"/>
      <c r="AD122" s="43"/>
      <c r="AE122" s="43"/>
      <c r="AF122" s="43"/>
      <c r="AG122" s="43"/>
      <c r="AH122" s="44">
        <f>COUNTA(Octobre!$C122:$AG122)</f>
        <v>0</v>
      </c>
      <c r="AI122" s="45">
        <f>(COUNTIFS(Octobre!$C122:$AG122,("cp")))/2+Septembre!AI122</f>
        <v>0</v>
      </c>
      <c r="AJ122" s="45">
        <f>COUNTIFS(Octobre!$C122:$AG122,"RTT")/2+Septembre!AJ122</f>
        <v>0</v>
      </c>
      <c r="AK122" s="45">
        <f>COUNTIFS(Octobre!$C122:$AG122,"m")/2+Septembre!AK122</f>
        <v>0</v>
      </c>
      <c r="AL122" s="45">
        <f>COUNTIFS(Octobre!$C122:$AG122,"a")/2+Septembre!AL122</f>
        <v>0</v>
      </c>
      <c r="AM122" s="46"/>
      <c r="AN122" s="47"/>
      <c r="AO122" s="47"/>
      <c r="AP122" s="46"/>
      <c r="AQ122" s="47"/>
      <c r="AR122" s="47"/>
      <c r="AS122" s="101"/>
    </row>
    <row r="123" spans="1:45" s="79" customFormat="1" ht="12.95" customHeight="1" x14ac:dyDescent="0.25">
      <c r="A123" s="41"/>
      <c r="B123" s="42"/>
      <c r="C123" s="49" t="str">
        <f t="shared" ref="C123:AG123" si="34">IF(C121&gt;0,C121,IF(C122&gt;0,C122,""))</f>
        <v/>
      </c>
      <c r="D123" s="49" t="str">
        <f t="shared" si="34"/>
        <v/>
      </c>
      <c r="E123" s="49" t="str">
        <f t="shared" si="34"/>
        <v/>
      </c>
      <c r="F123" s="49" t="str">
        <f t="shared" si="34"/>
        <v/>
      </c>
      <c r="G123" s="49" t="str">
        <f t="shared" si="34"/>
        <v/>
      </c>
      <c r="H123" s="49" t="str">
        <f t="shared" si="34"/>
        <v/>
      </c>
      <c r="I123" s="49" t="str">
        <f t="shared" si="34"/>
        <v/>
      </c>
      <c r="J123" s="49" t="str">
        <f t="shared" si="34"/>
        <v/>
      </c>
      <c r="K123" s="49" t="str">
        <f t="shared" si="34"/>
        <v/>
      </c>
      <c r="L123" s="49" t="str">
        <f t="shared" si="34"/>
        <v/>
      </c>
      <c r="M123" s="49" t="str">
        <f t="shared" si="34"/>
        <v/>
      </c>
      <c r="N123" s="49" t="str">
        <f t="shared" si="34"/>
        <v/>
      </c>
      <c r="O123" s="49" t="str">
        <f t="shared" si="34"/>
        <v/>
      </c>
      <c r="P123" s="49" t="str">
        <f t="shared" si="34"/>
        <v/>
      </c>
      <c r="Q123" s="49" t="str">
        <f t="shared" si="34"/>
        <v/>
      </c>
      <c r="R123" s="49" t="str">
        <f t="shared" si="34"/>
        <v/>
      </c>
      <c r="S123" s="49" t="str">
        <f t="shared" si="34"/>
        <v/>
      </c>
      <c r="T123" s="49" t="str">
        <f t="shared" si="34"/>
        <v/>
      </c>
      <c r="U123" s="49" t="str">
        <f t="shared" si="34"/>
        <v/>
      </c>
      <c r="V123" s="49" t="str">
        <f t="shared" si="34"/>
        <v/>
      </c>
      <c r="W123" s="49" t="str">
        <f t="shared" si="34"/>
        <v/>
      </c>
      <c r="X123" s="49" t="str">
        <f t="shared" si="34"/>
        <v/>
      </c>
      <c r="Y123" s="49" t="str">
        <f t="shared" si="34"/>
        <v/>
      </c>
      <c r="Z123" s="49" t="str">
        <f t="shared" si="34"/>
        <v/>
      </c>
      <c r="AA123" s="49" t="str">
        <f t="shared" si="34"/>
        <v/>
      </c>
      <c r="AB123" s="49" t="str">
        <f t="shared" si="34"/>
        <v/>
      </c>
      <c r="AC123" s="49" t="str">
        <f t="shared" si="34"/>
        <v/>
      </c>
      <c r="AD123" s="49" t="str">
        <f t="shared" si="34"/>
        <v/>
      </c>
      <c r="AE123" s="49" t="str">
        <f t="shared" si="34"/>
        <v/>
      </c>
      <c r="AF123" s="49" t="str">
        <f t="shared" si="34"/>
        <v/>
      </c>
      <c r="AG123" s="49" t="str">
        <f t="shared" si="34"/>
        <v/>
      </c>
      <c r="AH123" s="44">
        <f>SUM(AH121:AH122)</f>
        <v>0</v>
      </c>
      <c r="AI123" s="45">
        <f>SUM(AI121:AI122)</f>
        <v>0</v>
      </c>
      <c r="AJ123" s="45">
        <f>SUM(AJ121:AJ122)</f>
        <v>0</v>
      </c>
      <c r="AK123" s="45">
        <f>SUM(AK121:AK122)</f>
        <v>0</v>
      </c>
      <c r="AL123" s="45">
        <f>SUM(AL121:AL122)</f>
        <v>0</v>
      </c>
      <c r="AM123" s="50">
        <v>0</v>
      </c>
      <c r="AN123" s="51" t="str">
        <f>IF(A122="","",IF(A122&gt;NomMois,0,IF(A122&lt;$A$3,2.08,(NETWORKDAYS(A122,$A$2)/21.66667)*2.08)))</f>
        <v/>
      </c>
      <c r="AO123" s="51">
        <f>IF( AN123="",Septembre!AO123,+AN123+Septembre!AO123)</f>
        <v>0</v>
      </c>
      <c r="AP123" s="50"/>
      <c r="AQ123" s="45">
        <f>+AM123-AI123</f>
        <v>0</v>
      </c>
      <c r="AR123" s="45">
        <f>+AP123-AJ123</f>
        <v>0</v>
      </c>
      <c r="AS123" s="102">
        <f t="shared" si="27"/>
        <v>0</v>
      </c>
    </row>
    <row r="124" spans="1:45" s="79" customFormat="1" ht="6.75" customHeight="1" x14ac:dyDescent="0.25">
      <c r="A124" s="64"/>
      <c r="B124" s="64"/>
      <c r="C124" s="64"/>
      <c r="D124" s="64"/>
      <c r="E124" s="64"/>
      <c r="F124" s="64"/>
      <c r="G124" s="64"/>
      <c r="H124" s="64"/>
      <c r="I124" s="64"/>
      <c r="J124" s="64"/>
      <c r="K124" s="64"/>
      <c r="L124" s="64"/>
      <c r="M124" s="64"/>
      <c r="N124" s="64"/>
      <c r="O124" s="64"/>
      <c r="P124" s="64"/>
      <c r="Q124" s="64"/>
      <c r="R124" s="64"/>
      <c r="S124" s="64"/>
      <c r="T124" s="64"/>
      <c r="U124" s="64"/>
      <c r="V124" s="64"/>
      <c r="W124" s="64"/>
      <c r="X124" s="64"/>
      <c r="Y124" s="64"/>
      <c r="Z124" s="64"/>
      <c r="AA124" s="64"/>
      <c r="AB124" s="64"/>
      <c r="AC124" s="64"/>
      <c r="AD124" s="64"/>
      <c r="AE124" s="64"/>
      <c r="AF124" s="64"/>
      <c r="AG124" s="64"/>
      <c r="AH124" s="64"/>
      <c r="AI124" s="64"/>
      <c r="AJ124" s="64"/>
      <c r="AK124" s="64"/>
      <c r="AL124" s="64"/>
      <c r="AM124" s="64"/>
      <c r="AN124" s="64"/>
      <c r="AO124" s="64"/>
      <c r="AP124" s="64"/>
      <c r="AQ124" s="74"/>
      <c r="AR124" s="74"/>
      <c r="AS124" s="65"/>
    </row>
    <row r="125" spans="1:45" s="79" customFormat="1" x14ac:dyDescent="0.25">
      <c r="A125" s="100"/>
      <c r="B125" s="100"/>
      <c r="C125" s="100"/>
      <c r="D125" s="100"/>
      <c r="E125" s="100"/>
      <c r="F125" s="100"/>
      <c r="G125" s="100"/>
      <c r="H125" s="100"/>
      <c r="I125" s="100"/>
      <c r="J125" s="100"/>
      <c r="K125" s="100"/>
      <c r="L125" s="100"/>
      <c r="M125" s="100"/>
      <c r="N125" s="100"/>
      <c r="O125" s="100"/>
      <c r="P125" s="100"/>
      <c r="Q125" s="100"/>
      <c r="R125" s="100"/>
      <c r="S125" s="100"/>
      <c r="T125" s="100"/>
      <c r="U125" s="100"/>
      <c r="V125" s="100"/>
      <c r="W125" s="100"/>
      <c r="X125" s="100"/>
      <c r="Y125" s="100"/>
      <c r="Z125" s="100"/>
      <c r="AA125" s="100"/>
      <c r="AB125" s="100"/>
      <c r="AC125" s="100"/>
      <c r="AD125" s="100"/>
      <c r="AE125" s="100"/>
      <c r="AF125" s="100"/>
      <c r="AG125" s="100"/>
      <c r="AH125" s="100"/>
      <c r="AM125" s="8"/>
      <c r="AN125" s="8"/>
      <c r="AO125" s="8"/>
    </row>
    <row r="126" spans="1:45" s="79" customFormat="1" x14ac:dyDescent="0.25">
      <c r="A126" s="100"/>
      <c r="B126" s="100"/>
      <c r="C126" s="100"/>
      <c r="D126" s="100"/>
      <c r="E126" s="100"/>
      <c r="F126" s="100"/>
      <c r="G126" s="100"/>
      <c r="H126" s="100"/>
      <c r="I126" s="100"/>
      <c r="J126" s="100"/>
      <c r="K126" s="100"/>
      <c r="L126" s="100"/>
      <c r="M126" s="100"/>
      <c r="N126" s="100"/>
      <c r="O126" s="100"/>
      <c r="P126" s="100"/>
      <c r="Q126" s="100"/>
      <c r="R126" s="100"/>
      <c r="S126" s="100"/>
      <c r="T126" s="100"/>
      <c r="U126" s="100"/>
      <c r="V126" s="100"/>
      <c r="W126" s="100"/>
      <c r="X126" s="100"/>
      <c r="Y126" s="100"/>
      <c r="Z126" s="100"/>
      <c r="AA126" s="100"/>
      <c r="AB126" s="100"/>
      <c r="AC126" s="100"/>
      <c r="AD126" s="100"/>
      <c r="AE126" s="100"/>
      <c r="AF126" s="100"/>
      <c r="AG126" s="100"/>
      <c r="AH126" s="100"/>
      <c r="AM126" s="8"/>
      <c r="AN126" s="8"/>
      <c r="AO126" s="8"/>
    </row>
    <row r="127" spans="1:45" s="79" customFormat="1" x14ac:dyDescent="0.25">
      <c r="A127" s="80"/>
      <c r="B127" s="80"/>
      <c r="C127" s="82" t="s">
        <v>17</v>
      </c>
      <c r="D127" s="82"/>
      <c r="E127" s="82"/>
      <c r="F127" s="82"/>
      <c r="G127" s="83"/>
      <c r="H127" s="84" t="s">
        <v>7</v>
      </c>
      <c r="I127" s="85" t="s">
        <v>18</v>
      </c>
      <c r="J127" s="86"/>
      <c r="K127" s="86"/>
      <c r="L127" s="87" t="s">
        <v>8</v>
      </c>
      <c r="M127" s="85" t="s">
        <v>8</v>
      </c>
      <c r="N127" s="86"/>
      <c r="O127" s="86"/>
      <c r="P127" s="88" t="s">
        <v>9</v>
      </c>
      <c r="Q127" s="85" t="s">
        <v>19</v>
      </c>
      <c r="R127" s="86"/>
      <c r="S127" s="86"/>
      <c r="T127" s="89" t="s">
        <v>10</v>
      </c>
      <c r="U127" s="90" t="s">
        <v>20</v>
      </c>
      <c r="V127" s="91"/>
      <c r="W127" s="86"/>
      <c r="X127" s="93"/>
      <c r="Y127" s="92"/>
      <c r="Z127" s="90" t="s">
        <v>21</v>
      </c>
      <c r="AA127" s="86"/>
      <c r="AB127" s="91"/>
      <c r="AC127" s="93"/>
      <c r="AD127" s="93"/>
      <c r="AE127" s="93"/>
      <c r="AF127" s="93"/>
      <c r="AG127" s="93"/>
      <c r="AH127" s="94"/>
      <c r="AM127" s="8"/>
      <c r="AN127" s="8"/>
      <c r="AO127" s="8"/>
    </row>
    <row r="128" spans="1:45" s="79" customFormat="1" x14ac:dyDescent="0.25"/>
    <row r="129" s="79" customFormat="1" x14ac:dyDescent="0.25"/>
    <row r="130" s="79" customFormat="1" x14ac:dyDescent="0.25"/>
    <row r="131" s="79" customFormat="1" ht="15" customHeight="1" x14ac:dyDescent="0.25"/>
    <row r="132" s="79" customFormat="1" ht="15" customHeight="1" x14ac:dyDescent="0.25"/>
    <row r="133" s="79" customFormat="1" ht="15" customHeight="1" x14ac:dyDescent="0.25"/>
    <row r="134" s="79" customFormat="1" ht="15" customHeight="1" x14ac:dyDescent="0.25"/>
    <row r="135" s="79" customFormat="1" ht="15" customHeight="1" x14ac:dyDescent="0.25"/>
    <row r="136" s="79" customFormat="1" ht="15" customHeight="1" x14ac:dyDescent="0.25"/>
    <row r="137" s="79" customFormat="1" ht="15" customHeight="1" x14ac:dyDescent="0.25"/>
    <row r="138" s="79" customFormat="1" ht="15" customHeight="1" x14ac:dyDescent="0.25"/>
    <row r="139" s="79" customFormat="1" ht="15" customHeight="1" x14ac:dyDescent="0.25"/>
    <row r="140" s="79" customFormat="1" ht="15" customHeight="1" x14ac:dyDescent="0.25"/>
    <row r="141" s="79" customFormat="1" ht="15" customHeight="1" x14ac:dyDescent="0.25"/>
    <row r="142" s="79" customFormat="1" ht="15" customHeight="1" x14ac:dyDescent="0.25"/>
    <row r="143" s="79" customFormat="1" ht="15" customHeight="1" x14ac:dyDescent="0.25"/>
    <row r="144" s="79" customFormat="1" ht="15" customHeight="1" x14ac:dyDescent="0.25"/>
    <row r="145" s="79" customFormat="1" ht="15" customHeight="1" x14ac:dyDescent="0.25"/>
    <row r="146" s="79" customFormat="1" ht="15" customHeight="1" x14ac:dyDescent="0.25"/>
    <row r="147" s="79" customFormat="1" ht="15" customHeight="1" x14ac:dyDescent="0.25"/>
    <row r="148" s="79" customFormat="1" ht="15" customHeight="1" x14ac:dyDescent="0.25"/>
    <row r="149" s="79" customFormat="1" ht="15" customHeight="1" x14ac:dyDescent="0.25"/>
    <row r="150" s="79" customFormat="1" ht="15" customHeight="1" x14ac:dyDescent="0.25"/>
    <row r="151" s="79" customFormat="1" ht="15" customHeight="1" x14ac:dyDescent="0.25"/>
    <row r="152" s="79" customFormat="1" ht="15" customHeight="1" x14ac:dyDescent="0.25"/>
    <row r="153" s="79" customFormat="1" ht="15" customHeight="1" x14ac:dyDescent="0.25"/>
    <row r="154" s="79" customFormat="1" ht="15" customHeight="1" x14ac:dyDescent="0.25"/>
    <row r="155" s="79" customFormat="1" ht="15" customHeight="1" x14ac:dyDescent="0.25"/>
    <row r="156" s="79" customFormat="1" ht="15" customHeight="1" x14ac:dyDescent="0.25"/>
    <row r="157" s="79" customFormat="1" ht="15" customHeight="1" x14ac:dyDescent="0.25"/>
    <row r="158" s="79" customFormat="1" ht="15" customHeight="1" x14ac:dyDescent="0.25"/>
    <row r="159" s="79" customFormat="1" ht="15" customHeight="1" x14ac:dyDescent="0.25"/>
    <row r="160" s="79" customFormat="1" ht="15" customHeight="1" x14ac:dyDescent="0.25"/>
    <row r="161" s="79" customFormat="1" ht="15" customHeight="1" x14ac:dyDescent="0.25"/>
    <row r="162" s="79" customFormat="1" ht="15" customHeight="1" x14ac:dyDescent="0.25"/>
    <row r="163" s="79" customFormat="1" ht="15" customHeight="1" x14ac:dyDescent="0.25"/>
    <row r="164" s="79" customFormat="1" ht="15" customHeight="1" x14ac:dyDescent="0.25"/>
    <row r="165" s="79" customFormat="1" ht="15" customHeight="1" x14ac:dyDescent="0.25"/>
    <row r="166" s="79" customFormat="1" ht="15" customHeight="1" x14ac:dyDescent="0.25"/>
    <row r="167" s="79" customFormat="1" ht="15" customHeight="1" x14ac:dyDescent="0.25"/>
    <row r="168" s="79" customFormat="1" ht="15" customHeight="1" x14ac:dyDescent="0.25"/>
    <row r="169" s="79" customFormat="1" ht="15" customHeight="1" x14ac:dyDescent="0.25"/>
    <row r="170" s="79" customFormat="1" ht="15" customHeight="1" x14ac:dyDescent="0.25"/>
    <row r="171" s="79" customFormat="1" ht="15" customHeight="1" x14ac:dyDescent="0.25"/>
    <row r="172" s="79" customFormat="1" ht="15" customHeight="1" x14ac:dyDescent="0.25"/>
    <row r="173" s="79" customFormat="1" ht="15" customHeight="1" x14ac:dyDescent="0.25"/>
    <row r="174" s="79" customFormat="1" ht="15" customHeight="1" x14ac:dyDescent="0.25"/>
    <row r="175" s="79" customFormat="1" ht="15" customHeight="1" x14ac:dyDescent="0.25"/>
    <row r="176" s="79" customFormat="1" ht="15" customHeight="1" x14ac:dyDescent="0.25"/>
    <row r="177" s="79" customFormat="1" ht="15" customHeight="1" x14ac:dyDescent="0.25"/>
    <row r="178" s="79" customFormat="1" ht="15" customHeight="1" x14ac:dyDescent="0.25"/>
    <row r="179" s="79" customFormat="1" ht="15" customHeight="1" x14ac:dyDescent="0.25"/>
    <row r="180" s="79" customFormat="1" ht="15" customHeight="1" x14ac:dyDescent="0.25"/>
    <row r="181" s="79" customFormat="1" ht="15" customHeight="1" x14ac:dyDescent="0.25"/>
    <row r="182" s="79" customFormat="1" ht="15" customHeight="1" x14ac:dyDescent="0.25"/>
    <row r="183" s="79" customFormat="1" ht="15" customHeight="1" x14ac:dyDescent="0.25"/>
    <row r="184" s="79" customFormat="1" ht="15" customHeight="1" x14ac:dyDescent="0.25"/>
    <row r="185" s="79" customFormat="1" ht="15" customHeight="1" x14ac:dyDescent="0.25"/>
    <row r="186" s="79" customFormat="1" ht="15" customHeight="1" x14ac:dyDescent="0.25"/>
    <row r="187" s="79" customFormat="1" ht="15" customHeight="1" x14ac:dyDescent="0.25"/>
    <row r="188" s="79" customFormat="1" ht="15" customHeight="1" x14ac:dyDescent="0.25"/>
    <row r="189" s="79" customFormat="1" ht="15" customHeight="1" x14ac:dyDescent="0.25"/>
    <row r="190" s="79" customFormat="1" ht="15" customHeight="1" x14ac:dyDescent="0.25"/>
    <row r="191" s="79" customFormat="1" ht="15" customHeight="1" x14ac:dyDescent="0.25"/>
    <row r="192" s="79" customFormat="1" ht="15" customHeight="1" x14ac:dyDescent="0.25"/>
    <row r="193" s="79" customFormat="1" ht="15" customHeight="1" x14ac:dyDescent="0.25"/>
    <row r="194" s="79" customFormat="1" ht="15" customHeight="1" x14ac:dyDescent="0.25"/>
    <row r="195" s="79" customFormat="1" ht="15" customHeight="1" x14ac:dyDescent="0.25"/>
    <row r="196" s="79" customFormat="1" ht="15" customHeight="1" x14ac:dyDescent="0.25"/>
    <row r="197" s="79" customFormat="1" ht="15" customHeight="1" x14ac:dyDescent="0.25"/>
    <row r="198" s="79" customFormat="1" ht="15" customHeight="1" x14ac:dyDescent="0.25"/>
    <row r="199" s="79" customFormat="1" ht="15" customHeight="1" x14ac:dyDescent="0.25"/>
    <row r="200" s="79" customFormat="1" ht="15" customHeight="1" x14ac:dyDescent="0.25"/>
    <row r="201" s="79" customFormat="1" ht="15" customHeight="1" x14ac:dyDescent="0.25"/>
    <row r="202" s="79" customFormat="1" ht="15" customHeight="1" x14ac:dyDescent="0.25"/>
    <row r="203" s="79" customFormat="1" ht="15" customHeight="1" x14ac:dyDescent="0.25"/>
    <row r="204" s="79" customFormat="1" ht="15" customHeight="1" x14ac:dyDescent="0.25"/>
    <row r="205" s="79" customFormat="1" ht="15" customHeight="1" x14ac:dyDescent="0.25"/>
    <row r="206" s="79" customFormat="1" ht="15" customHeight="1" x14ac:dyDescent="0.25"/>
    <row r="207" s="79" customFormat="1" ht="15" customHeight="1" x14ac:dyDescent="0.25"/>
    <row r="208" s="79" customFormat="1" ht="15" customHeight="1" x14ac:dyDescent="0.25"/>
    <row r="209" s="79" customFormat="1" ht="15" customHeight="1" x14ac:dyDescent="0.25"/>
    <row r="210" s="79" customFormat="1" ht="15" customHeight="1" x14ac:dyDescent="0.25"/>
    <row r="211" s="79" customFormat="1" ht="15" customHeight="1" x14ac:dyDescent="0.25"/>
    <row r="212" s="79" customFormat="1" ht="15" customHeight="1" x14ac:dyDescent="0.25"/>
    <row r="213" s="79" customFormat="1" ht="15" customHeight="1" x14ac:dyDescent="0.25"/>
    <row r="214" s="79" customFormat="1" ht="15" customHeight="1" x14ac:dyDescent="0.25"/>
    <row r="215" s="79" customFormat="1" ht="15" customHeight="1" x14ac:dyDescent="0.25"/>
    <row r="216" s="79" customFormat="1" ht="15" customHeight="1" x14ac:dyDescent="0.25"/>
    <row r="217" s="79" customFormat="1" ht="15" customHeight="1" x14ac:dyDescent="0.25"/>
    <row r="218" s="79" customFormat="1" ht="15" customHeight="1" x14ac:dyDescent="0.25"/>
    <row r="219" s="79" customFormat="1" ht="15" customHeight="1" x14ac:dyDescent="0.25"/>
    <row r="220" s="79" customFormat="1" ht="15" customHeight="1" x14ac:dyDescent="0.25"/>
    <row r="221" s="79" customFormat="1" ht="15" customHeight="1" x14ac:dyDescent="0.25"/>
    <row r="222" s="79" customFormat="1" ht="15" customHeight="1" x14ac:dyDescent="0.25"/>
    <row r="223" s="79" customFormat="1" ht="15" customHeight="1" x14ac:dyDescent="0.25"/>
    <row r="224" s="79" customFormat="1" ht="15" customHeight="1" x14ac:dyDescent="0.25"/>
    <row r="225" s="79" customFormat="1" ht="15" customHeight="1" x14ac:dyDescent="0.25"/>
    <row r="226" s="79" customFormat="1" ht="15" customHeight="1" x14ac:dyDescent="0.25"/>
    <row r="227" s="79" customFormat="1" ht="15" customHeight="1" x14ac:dyDescent="0.25"/>
    <row r="228" s="79" customFormat="1" ht="15" customHeight="1" x14ac:dyDescent="0.25"/>
    <row r="229" s="79" customFormat="1" ht="15" customHeight="1" x14ac:dyDescent="0.25"/>
    <row r="230" s="79" customFormat="1" ht="15" customHeight="1" x14ac:dyDescent="0.25"/>
    <row r="231" s="79" customFormat="1" ht="15" customHeight="1" x14ac:dyDescent="0.25"/>
    <row r="232" s="79" customFormat="1" ht="15" customHeight="1" x14ac:dyDescent="0.25"/>
    <row r="233" s="79" customFormat="1" ht="15" customHeight="1" x14ac:dyDescent="0.25"/>
    <row r="234" s="79" customFormat="1" ht="15" customHeight="1" x14ac:dyDescent="0.25"/>
    <row r="235" s="79" customFormat="1" ht="15" customHeight="1" x14ac:dyDescent="0.25"/>
    <row r="236" s="79" customFormat="1" ht="15" customHeight="1" x14ac:dyDescent="0.25"/>
    <row r="237" s="79" customFormat="1" ht="15" customHeight="1" x14ac:dyDescent="0.25"/>
    <row r="238" s="79" customFormat="1" ht="15" customHeight="1" x14ac:dyDescent="0.25"/>
    <row r="239" s="79" customFormat="1" ht="15" customHeight="1" x14ac:dyDescent="0.25"/>
    <row r="240" s="79" customFormat="1" ht="15" customHeight="1" x14ac:dyDescent="0.25"/>
    <row r="241" s="79" customFormat="1" ht="15" customHeight="1" x14ac:dyDescent="0.25"/>
    <row r="242" s="79" customFormat="1" ht="15" customHeight="1" x14ac:dyDescent="0.25"/>
    <row r="243" s="79" customFormat="1" ht="15" customHeight="1" x14ac:dyDescent="0.25"/>
    <row r="244" s="79" customFormat="1" ht="15" customHeight="1" x14ac:dyDescent="0.25"/>
    <row r="245" s="79" customFormat="1" ht="15" customHeight="1" x14ac:dyDescent="0.25"/>
    <row r="246" s="79" customFormat="1" ht="15" customHeight="1" x14ac:dyDescent="0.25"/>
    <row r="247" s="79" customFormat="1" ht="15" customHeight="1" x14ac:dyDescent="0.25"/>
    <row r="248" s="79" customFormat="1" ht="15" customHeight="1" x14ac:dyDescent="0.25"/>
    <row r="249" s="79" customFormat="1" ht="15" customHeight="1" x14ac:dyDescent="0.25"/>
    <row r="250" s="79" customFormat="1" ht="15" customHeight="1" x14ac:dyDescent="0.25"/>
    <row r="251" s="79" customFormat="1" ht="15" customHeight="1" x14ac:dyDescent="0.25"/>
    <row r="252" s="79" customFormat="1" ht="15" customHeight="1" x14ac:dyDescent="0.25"/>
    <row r="253" s="79" customFormat="1" ht="15" customHeight="1" x14ac:dyDescent="0.25"/>
    <row r="254" s="79" customFormat="1" ht="15" customHeight="1" x14ac:dyDescent="0.25"/>
    <row r="255" s="79" customFormat="1" ht="15" customHeight="1" x14ac:dyDescent="0.25"/>
    <row r="256" s="79" customFormat="1" ht="15" customHeight="1" x14ac:dyDescent="0.25"/>
    <row r="257" s="79" customFormat="1" ht="15" customHeight="1" x14ac:dyDescent="0.25"/>
    <row r="258" s="79" customFormat="1" ht="15" customHeight="1" x14ac:dyDescent="0.25"/>
    <row r="259" s="79" customFormat="1" ht="15" customHeight="1" x14ac:dyDescent="0.25"/>
    <row r="260" s="79" customFormat="1" ht="15" customHeight="1" x14ac:dyDescent="0.25"/>
    <row r="261" s="79" customFormat="1" ht="15" customHeight="1" x14ac:dyDescent="0.25"/>
    <row r="262" s="79" customFormat="1" ht="15" customHeight="1" x14ac:dyDescent="0.25"/>
    <row r="263" s="79" customFormat="1" ht="15" customHeight="1" x14ac:dyDescent="0.25"/>
    <row r="264" s="79" customFormat="1" ht="15" customHeight="1" x14ac:dyDescent="0.25"/>
    <row r="265" s="79" customFormat="1" ht="15" customHeight="1" x14ac:dyDescent="0.25"/>
    <row r="266" s="79" customFormat="1" ht="15" customHeight="1" x14ac:dyDescent="0.25"/>
    <row r="267" s="79" customFormat="1" ht="15" customHeight="1" x14ac:dyDescent="0.25"/>
    <row r="268" s="79" customFormat="1" ht="15" customHeight="1" x14ac:dyDescent="0.25"/>
    <row r="269" s="79" customFormat="1" ht="15" customHeight="1" x14ac:dyDescent="0.25"/>
    <row r="270" s="79" customFormat="1" ht="15" customHeight="1" x14ac:dyDescent="0.25"/>
    <row r="271" s="79" customFormat="1" ht="15" customHeight="1" x14ac:dyDescent="0.25"/>
    <row r="272" s="79" customFormat="1" ht="15" customHeight="1" x14ac:dyDescent="0.25"/>
    <row r="273" s="79" customFormat="1" ht="15" customHeight="1" x14ac:dyDescent="0.25"/>
    <row r="274" s="79" customFormat="1" ht="15" customHeight="1" x14ac:dyDescent="0.25"/>
    <row r="275" s="79" customFormat="1" ht="15" customHeight="1" x14ac:dyDescent="0.25"/>
    <row r="276" s="79" customFormat="1" ht="15" customHeight="1" x14ac:dyDescent="0.25"/>
    <row r="277" s="79" customFormat="1" ht="15" customHeight="1" x14ac:dyDescent="0.25"/>
    <row r="278" s="79" customFormat="1" ht="15" customHeight="1" x14ac:dyDescent="0.25"/>
    <row r="279" s="79" customFormat="1" ht="15" customHeight="1" x14ac:dyDescent="0.25"/>
    <row r="280" s="79" customFormat="1" ht="15" customHeight="1" x14ac:dyDescent="0.25"/>
    <row r="281" s="79" customFormat="1" ht="15" customHeight="1" x14ac:dyDescent="0.25"/>
    <row r="282" s="79" customFormat="1" ht="15" customHeight="1" x14ac:dyDescent="0.25"/>
    <row r="283" s="79" customFormat="1" ht="15" customHeight="1" x14ac:dyDescent="0.25"/>
    <row r="284" s="79" customFormat="1" ht="15" customHeight="1" x14ac:dyDescent="0.25"/>
    <row r="285" s="79" customFormat="1" ht="15" customHeight="1" x14ac:dyDescent="0.25"/>
    <row r="286" s="79" customFormat="1" ht="15" customHeight="1" x14ac:dyDescent="0.25"/>
    <row r="287" s="79" customFormat="1" ht="15" customHeight="1" x14ac:dyDescent="0.25"/>
    <row r="288" s="79" customFormat="1" ht="15" customHeight="1" x14ac:dyDescent="0.25"/>
    <row r="289" s="79" customFormat="1" ht="15" customHeight="1" x14ac:dyDescent="0.25"/>
    <row r="290" s="79" customFormat="1" ht="15" customHeight="1" x14ac:dyDescent="0.25"/>
    <row r="291" s="79" customFormat="1" ht="15" customHeight="1" x14ac:dyDescent="0.25"/>
    <row r="292" s="79" customFormat="1" ht="15" customHeight="1" x14ac:dyDescent="0.25"/>
    <row r="293" s="79" customFormat="1" ht="15" customHeight="1" x14ac:dyDescent="0.25"/>
    <row r="294" s="79" customFormat="1" ht="15" customHeight="1" x14ac:dyDescent="0.25"/>
    <row r="295" s="79" customFormat="1" ht="15" customHeight="1" x14ac:dyDescent="0.25"/>
    <row r="296" s="79" customFormat="1" ht="15" customHeight="1" x14ac:dyDescent="0.25"/>
    <row r="297" s="79" customFormat="1" ht="15" customHeight="1" x14ac:dyDescent="0.25"/>
    <row r="298" s="79" customFormat="1" ht="15" customHeight="1" x14ac:dyDescent="0.25"/>
    <row r="299" s="79" customFormat="1" ht="15" customHeight="1" x14ac:dyDescent="0.25"/>
    <row r="300" s="79" customFormat="1" ht="15" customHeight="1" x14ac:dyDescent="0.25"/>
    <row r="301" s="79" customFormat="1" ht="15" customHeight="1" x14ac:dyDescent="0.25"/>
    <row r="302" s="79" customFormat="1" ht="15" customHeight="1" x14ac:dyDescent="0.25"/>
    <row r="303" s="79" customFormat="1" ht="15" customHeight="1" x14ac:dyDescent="0.25"/>
    <row r="304" s="79" customFormat="1" ht="15" customHeight="1" x14ac:dyDescent="0.25"/>
    <row r="305" s="79" customFormat="1" ht="15" customHeight="1" x14ac:dyDescent="0.25"/>
    <row r="306" s="79" customFormat="1" ht="15" customHeight="1" x14ac:dyDescent="0.25"/>
    <row r="307" s="79" customFormat="1" ht="15" customHeight="1" x14ac:dyDescent="0.25"/>
    <row r="308" s="79" customFormat="1" ht="15" customHeight="1" x14ac:dyDescent="0.25"/>
    <row r="309" s="79" customFormat="1" ht="15" customHeight="1" x14ac:dyDescent="0.25"/>
    <row r="310" s="79" customFormat="1" ht="15" customHeight="1" x14ac:dyDescent="0.25"/>
    <row r="311" s="79" customFormat="1" ht="15" customHeight="1" x14ac:dyDescent="0.25"/>
    <row r="312" s="79" customFormat="1" ht="15" customHeight="1" x14ac:dyDescent="0.25"/>
    <row r="313" s="79" customFormat="1" ht="15" customHeight="1" x14ac:dyDescent="0.25"/>
    <row r="314" s="79" customFormat="1" ht="15" customHeight="1" x14ac:dyDescent="0.25"/>
    <row r="315" s="79" customFormat="1" ht="15" customHeight="1" x14ac:dyDescent="0.25"/>
    <row r="316" s="79" customFormat="1" ht="15" customHeight="1" x14ac:dyDescent="0.25"/>
    <row r="317" s="79" customFormat="1" ht="15" customHeight="1" x14ac:dyDescent="0.25"/>
    <row r="318" s="79" customFormat="1" ht="15" customHeight="1" x14ac:dyDescent="0.25"/>
    <row r="319" s="79" customFormat="1" ht="15" customHeight="1" x14ac:dyDescent="0.25"/>
    <row r="320" s="79" customFormat="1" ht="15" customHeight="1" x14ac:dyDescent="0.25"/>
    <row r="321" s="79" customFormat="1" ht="15" customHeight="1" x14ac:dyDescent="0.25"/>
    <row r="322" s="79" customFormat="1" ht="15" customHeight="1" x14ac:dyDescent="0.25"/>
    <row r="323" s="79" customFormat="1" ht="15" customHeight="1" x14ac:dyDescent="0.25"/>
    <row r="324" s="79" customFormat="1" ht="15" customHeight="1" x14ac:dyDescent="0.25"/>
    <row r="325" s="79" customFormat="1" ht="15" customHeight="1" x14ac:dyDescent="0.25"/>
    <row r="326" s="79" customFormat="1" ht="15" customHeight="1" x14ac:dyDescent="0.25"/>
    <row r="327" s="79" customFormat="1" ht="15" customHeight="1" x14ac:dyDescent="0.25"/>
    <row r="328" s="79" customFormat="1" ht="15" customHeight="1" x14ac:dyDescent="0.25"/>
    <row r="329" s="79" customFormat="1" ht="15" customHeight="1" x14ac:dyDescent="0.25"/>
    <row r="330" s="79" customFormat="1" ht="15" customHeight="1" x14ac:dyDescent="0.25"/>
    <row r="331" s="79" customFormat="1" ht="15" customHeight="1" x14ac:dyDescent="0.25"/>
    <row r="332" s="79" customFormat="1" ht="15" customHeight="1" x14ac:dyDescent="0.25"/>
    <row r="333" s="79" customFormat="1" ht="15" customHeight="1" x14ac:dyDescent="0.25"/>
    <row r="334" s="79" customFormat="1" ht="15" customHeight="1" x14ac:dyDescent="0.25"/>
    <row r="335" s="79" customFormat="1" ht="15" customHeight="1" x14ac:dyDescent="0.25"/>
    <row r="336" s="79" customFormat="1" ht="15" customHeight="1" x14ac:dyDescent="0.25"/>
    <row r="337" s="79" customFormat="1" ht="15" customHeight="1" x14ac:dyDescent="0.25"/>
    <row r="338" s="79" customFormat="1" ht="15" customHeight="1" x14ac:dyDescent="0.25"/>
    <row r="339" s="79" customFormat="1" ht="15" customHeight="1" x14ac:dyDescent="0.25"/>
    <row r="340" s="79" customFormat="1" ht="15" customHeight="1" x14ac:dyDescent="0.25"/>
    <row r="341" s="79" customFormat="1" ht="15" customHeight="1" x14ac:dyDescent="0.25"/>
    <row r="342" s="79" customFormat="1" ht="15" customHeight="1" x14ac:dyDescent="0.25"/>
    <row r="343" s="79" customFormat="1" ht="15" customHeight="1" x14ac:dyDescent="0.25"/>
    <row r="344" s="79" customFormat="1" ht="15" customHeight="1" x14ac:dyDescent="0.25"/>
    <row r="345" s="79" customFormat="1" ht="15" customHeight="1" x14ac:dyDescent="0.25"/>
    <row r="346" s="79" customFormat="1" ht="15" customHeight="1" x14ac:dyDescent="0.25"/>
    <row r="347" s="79" customFormat="1" ht="15" customHeight="1" x14ac:dyDescent="0.25"/>
    <row r="348" s="79" customFormat="1" ht="15" customHeight="1" x14ac:dyDescent="0.25"/>
    <row r="349" s="79" customFormat="1" ht="15" customHeight="1" x14ac:dyDescent="0.25"/>
    <row r="350" s="79" customFormat="1" ht="15" customHeight="1" x14ac:dyDescent="0.25"/>
    <row r="351" s="79" customFormat="1" ht="15" customHeight="1" x14ac:dyDescent="0.25"/>
    <row r="352" s="79" customFormat="1" ht="15" customHeight="1" x14ac:dyDescent="0.25"/>
    <row r="353" s="79" customFormat="1" ht="15" customHeight="1" x14ac:dyDescent="0.25"/>
    <row r="354" s="79" customFormat="1" ht="15" customHeight="1" x14ac:dyDescent="0.25"/>
    <row r="355" s="79" customFormat="1" ht="15" customHeight="1" x14ac:dyDescent="0.25"/>
    <row r="356" s="79" customFormat="1" ht="15" customHeight="1" x14ac:dyDescent="0.25"/>
    <row r="357" s="79" customFormat="1" ht="15" customHeight="1" x14ac:dyDescent="0.25"/>
    <row r="358" s="79" customFormat="1" ht="15" customHeight="1" x14ac:dyDescent="0.25"/>
    <row r="359" s="79" customFormat="1" ht="15" customHeight="1" x14ac:dyDescent="0.25"/>
    <row r="360" s="79" customFormat="1" ht="15" customHeight="1" x14ac:dyDescent="0.25"/>
    <row r="361" s="79" customFormat="1" ht="15" customHeight="1" x14ac:dyDescent="0.25"/>
    <row r="362" s="79" customFormat="1" ht="15" customHeight="1" x14ac:dyDescent="0.25"/>
    <row r="363" s="79" customFormat="1" ht="15" customHeight="1" x14ac:dyDescent="0.25"/>
    <row r="364" s="79" customFormat="1" ht="15" customHeight="1" x14ac:dyDescent="0.25"/>
    <row r="365" s="79" customFormat="1" ht="15" customHeight="1" x14ac:dyDescent="0.25"/>
    <row r="366" s="79" customFormat="1" ht="15" customHeight="1" x14ac:dyDescent="0.25"/>
    <row r="367" s="79" customFormat="1" ht="15" customHeight="1" x14ac:dyDescent="0.25"/>
    <row r="368" s="79" customFormat="1" ht="15" customHeight="1" x14ac:dyDescent="0.25"/>
    <row r="369" s="79" customFormat="1" ht="15" customHeight="1" x14ac:dyDescent="0.25"/>
    <row r="370" s="79" customFormat="1" ht="15" customHeight="1" x14ac:dyDescent="0.25"/>
    <row r="371" s="79" customFormat="1" ht="15" customHeight="1" x14ac:dyDescent="0.25"/>
    <row r="372" s="79" customFormat="1" ht="15" customHeight="1" x14ac:dyDescent="0.25"/>
    <row r="373" s="79" customFormat="1" ht="15" customHeight="1" x14ac:dyDescent="0.25"/>
    <row r="374" s="79" customFormat="1" ht="15" customHeight="1" x14ac:dyDescent="0.25"/>
    <row r="375" s="79" customFormat="1" ht="15" customHeight="1" x14ac:dyDescent="0.25"/>
    <row r="376" s="79" customFormat="1" ht="15" customHeight="1" x14ac:dyDescent="0.25"/>
    <row r="377" s="79" customFormat="1" ht="15" customHeight="1" x14ac:dyDescent="0.25"/>
    <row r="378" s="79" customFormat="1" ht="15" customHeight="1" x14ac:dyDescent="0.25"/>
    <row r="379" s="79" customFormat="1" ht="15" customHeight="1" x14ac:dyDescent="0.25"/>
    <row r="380" s="79" customFormat="1" ht="15" customHeight="1" x14ac:dyDescent="0.25"/>
    <row r="381" s="79" customFormat="1" ht="15" customHeight="1" x14ac:dyDescent="0.25"/>
    <row r="382" s="79" customFormat="1" ht="15" customHeight="1" x14ac:dyDescent="0.25"/>
    <row r="383" s="79" customFormat="1" ht="15" customHeight="1" x14ac:dyDescent="0.25"/>
    <row r="384" s="79" customFormat="1" ht="15" customHeight="1" x14ac:dyDescent="0.25"/>
    <row r="385" s="79" customFormat="1" ht="15" customHeight="1" x14ac:dyDescent="0.25"/>
    <row r="386" s="79" customFormat="1" ht="15" customHeight="1" x14ac:dyDescent="0.25"/>
    <row r="387" s="79" customFormat="1" ht="15" customHeight="1" x14ac:dyDescent="0.25"/>
    <row r="388" s="79" customFormat="1" ht="15" customHeight="1" x14ac:dyDescent="0.25"/>
    <row r="389" s="79" customFormat="1" ht="15" customHeight="1" x14ac:dyDescent="0.25"/>
    <row r="390" s="79" customFormat="1" ht="15" customHeight="1" x14ac:dyDescent="0.25"/>
    <row r="391" s="79" customFormat="1" ht="15" customHeight="1" x14ac:dyDescent="0.25"/>
    <row r="392" s="79" customFormat="1" ht="15" customHeight="1" x14ac:dyDescent="0.25"/>
    <row r="393" s="79" customFormat="1" ht="15" customHeight="1" x14ac:dyDescent="0.25"/>
    <row r="394" s="79" customFormat="1" ht="15" customHeight="1" x14ac:dyDescent="0.25"/>
    <row r="395" s="79" customFormat="1" ht="15" customHeight="1" x14ac:dyDescent="0.25"/>
    <row r="396" s="79" customFormat="1" ht="15" customHeight="1" x14ac:dyDescent="0.25"/>
    <row r="397" s="79" customFormat="1" ht="15" customHeight="1" x14ac:dyDescent="0.25"/>
    <row r="398" s="79" customFormat="1" ht="15" customHeight="1" x14ac:dyDescent="0.25"/>
    <row r="399" s="79" customFormat="1" ht="15" customHeight="1" x14ac:dyDescent="0.25"/>
    <row r="400" s="79" customFormat="1" ht="15" customHeight="1" x14ac:dyDescent="0.25"/>
    <row r="401" s="79" customFormat="1" ht="15" customHeight="1" x14ac:dyDescent="0.25"/>
    <row r="402" s="79" customFormat="1" ht="15" customHeight="1" x14ac:dyDescent="0.25"/>
    <row r="403" s="79" customFormat="1" ht="15" customHeight="1" x14ac:dyDescent="0.25"/>
    <row r="404" s="79" customFormat="1" ht="15" customHeight="1" x14ac:dyDescent="0.25"/>
    <row r="405" s="79" customFormat="1" ht="15" customHeight="1" x14ac:dyDescent="0.25"/>
    <row r="406" s="79" customFormat="1" ht="15" customHeight="1" x14ac:dyDescent="0.25"/>
    <row r="407" s="79" customFormat="1" ht="15" customHeight="1" x14ac:dyDescent="0.25"/>
    <row r="408" s="79" customFormat="1" ht="15" customHeight="1" x14ac:dyDescent="0.25"/>
    <row r="409" s="79" customFormat="1" ht="15" customHeight="1" x14ac:dyDescent="0.25"/>
    <row r="410" s="79" customFormat="1" ht="15" customHeight="1" x14ac:dyDescent="0.25"/>
    <row r="411" s="79" customFormat="1" ht="15" customHeight="1" x14ac:dyDescent="0.25"/>
    <row r="412" s="79" customFormat="1" ht="15" customHeight="1" x14ac:dyDescent="0.25"/>
    <row r="413" s="79" customFormat="1" ht="15" customHeight="1" x14ac:dyDescent="0.25"/>
    <row r="414" s="79" customFormat="1" ht="15" customHeight="1" x14ac:dyDescent="0.25"/>
    <row r="415" s="79" customFormat="1" ht="15" customHeight="1" x14ac:dyDescent="0.25"/>
    <row r="416" s="79" customFormat="1" ht="15" customHeight="1" x14ac:dyDescent="0.25"/>
    <row r="417" s="79" customFormat="1" ht="15" customHeight="1" x14ac:dyDescent="0.25"/>
    <row r="418" s="79" customFormat="1" ht="15" customHeight="1" x14ac:dyDescent="0.25"/>
    <row r="419" s="79" customFormat="1" ht="15" customHeight="1" x14ac:dyDescent="0.25"/>
    <row r="420" s="79" customFormat="1" ht="15" customHeight="1" x14ac:dyDescent="0.25"/>
    <row r="421" s="79" customFormat="1" ht="15" customHeight="1" x14ac:dyDescent="0.25"/>
    <row r="422" s="79" customFormat="1" ht="15" customHeight="1" x14ac:dyDescent="0.25"/>
    <row r="423" s="79" customFormat="1" ht="15" customHeight="1" x14ac:dyDescent="0.25"/>
    <row r="424" s="79" customFormat="1" ht="15" customHeight="1" x14ac:dyDescent="0.25"/>
    <row r="425" s="79" customFormat="1" ht="15" customHeight="1" x14ac:dyDescent="0.25"/>
    <row r="426" s="79" customFormat="1" ht="15" customHeight="1" x14ac:dyDescent="0.25"/>
    <row r="427" s="79" customFormat="1" ht="15" customHeight="1" x14ac:dyDescent="0.25"/>
    <row r="428" s="79" customFormat="1" ht="15" customHeight="1" x14ac:dyDescent="0.25"/>
    <row r="429" s="79" customFormat="1" ht="15" customHeight="1" x14ac:dyDescent="0.25"/>
    <row r="430" s="79" customFormat="1" ht="15" customHeight="1" x14ac:dyDescent="0.25"/>
    <row r="431" s="79" customFormat="1" ht="15" customHeight="1" x14ac:dyDescent="0.25"/>
    <row r="432" s="79" customFormat="1" ht="15" customHeight="1" x14ac:dyDescent="0.25"/>
    <row r="433" s="79" customFormat="1" ht="15" customHeight="1" x14ac:dyDescent="0.25"/>
    <row r="434" s="79" customFormat="1" ht="15" customHeight="1" x14ac:dyDescent="0.25"/>
    <row r="435" s="79" customFormat="1" ht="15" customHeight="1" x14ac:dyDescent="0.25"/>
    <row r="436" s="79" customFormat="1" ht="15" customHeight="1" x14ac:dyDescent="0.25"/>
    <row r="437" s="79" customFormat="1" ht="15" customHeight="1" x14ac:dyDescent="0.25"/>
    <row r="438" s="79" customFormat="1" ht="15" customHeight="1" x14ac:dyDescent="0.25"/>
    <row r="439" s="79" customFormat="1" ht="15" customHeight="1" x14ac:dyDescent="0.25"/>
    <row r="440" s="79" customFormat="1" ht="15" customHeight="1" x14ac:dyDescent="0.25"/>
    <row r="441" s="79" customFormat="1" ht="15" customHeight="1" x14ac:dyDescent="0.25"/>
    <row r="442" s="79" customFormat="1" ht="15" customHeight="1" x14ac:dyDescent="0.25"/>
    <row r="443" s="79" customFormat="1" ht="15" customHeight="1" x14ac:dyDescent="0.25"/>
    <row r="444" s="79" customFormat="1" ht="15" customHeight="1" x14ac:dyDescent="0.25"/>
    <row r="445" s="79" customFormat="1" ht="15" customHeight="1" x14ac:dyDescent="0.25"/>
    <row r="446" s="79" customFormat="1" ht="15" customHeight="1" x14ac:dyDescent="0.25"/>
    <row r="447" s="79" customFormat="1" ht="15" customHeight="1" x14ac:dyDescent="0.25"/>
    <row r="448" s="79" customFormat="1" ht="15" customHeight="1" x14ac:dyDescent="0.25"/>
    <row r="449" s="79" customFormat="1" ht="15" customHeight="1" x14ac:dyDescent="0.25"/>
    <row r="450" s="79" customFormat="1" ht="15" customHeight="1" x14ac:dyDescent="0.25"/>
    <row r="451" s="79" customFormat="1" ht="15" customHeight="1" x14ac:dyDescent="0.25"/>
    <row r="452" s="79" customFormat="1" ht="15" customHeight="1" x14ac:dyDescent="0.25"/>
    <row r="453" s="79" customFormat="1" ht="15" customHeight="1" x14ac:dyDescent="0.25"/>
    <row r="454" s="79" customFormat="1" ht="15" customHeight="1" x14ac:dyDescent="0.25"/>
    <row r="455" s="79" customFormat="1" ht="15" customHeight="1" x14ac:dyDescent="0.25"/>
    <row r="456" s="79" customFormat="1" ht="15" customHeight="1" x14ac:dyDescent="0.25"/>
    <row r="457" s="79" customFormat="1" ht="15" customHeight="1" x14ac:dyDescent="0.25"/>
    <row r="458" s="79" customFormat="1" ht="15" customHeight="1" x14ac:dyDescent="0.25"/>
    <row r="459" s="79" customFormat="1" ht="15" customHeight="1" x14ac:dyDescent="0.25"/>
    <row r="460" s="79" customFormat="1" ht="15" customHeight="1" x14ac:dyDescent="0.25"/>
    <row r="461" s="79" customFormat="1" ht="15" customHeight="1" x14ac:dyDescent="0.25"/>
    <row r="462" s="79" customFormat="1" ht="15" customHeight="1" x14ac:dyDescent="0.25"/>
    <row r="463" s="79" customFormat="1" ht="15" customHeight="1" x14ac:dyDescent="0.25"/>
    <row r="464" s="79" customFormat="1" ht="15" customHeight="1" x14ac:dyDescent="0.25"/>
    <row r="465" s="79" customFormat="1" ht="15" customHeight="1" x14ac:dyDescent="0.25"/>
    <row r="466" s="79" customFormat="1" ht="15" customHeight="1" x14ac:dyDescent="0.25"/>
    <row r="467" s="79" customFormat="1" ht="15" customHeight="1" x14ac:dyDescent="0.25"/>
    <row r="468" s="79" customFormat="1" ht="15" customHeight="1" x14ac:dyDescent="0.25"/>
    <row r="469" s="79" customFormat="1" ht="15" customHeight="1" x14ac:dyDescent="0.25"/>
    <row r="470" s="79" customFormat="1" ht="15" customHeight="1" x14ac:dyDescent="0.25"/>
    <row r="471" s="79" customFormat="1" ht="15" customHeight="1" x14ac:dyDescent="0.25"/>
    <row r="472" s="79" customFormat="1" ht="15" customHeight="1" x14ac:dyDescent="0.25"/>
    <row r="473" s="79" customFormat="1" ht="15" customHeight="1" x14ac:dyDescent="0.25"/>
    <row r="474" s="79" customFormat="1" ht="15" customHeight="1" x14ac:dyDescent="0.25"/>
    <row r="475" s="79" customFormat="1" ht="15" customHeight="1" x14ac:dyDescent="0.25"/>
    <row r="476" s="79" customFormat="1" ht="15" customHeight="1" x14ac:dyDescent="0.25"/>
    <row r="477" s="79" customFormat="1" ht="15" customHeight="1" x14ac:dyDescent="0.25"/>
    <row r="478" s="79" customFormat="1" ht="15" customHeight="1" x14ac:dyDescent="0.25"/>
    <row r="479" s="79" customFormat="1" ht="15" customHeight="1" x14ac:dyDescent="0.25"/>
    <row r="480" s="79" customFormat="1" ht="15" customHeight="1" x14ac:dyDescent="0.25"/>
    <row r="481" s="79" customFormat="1" ht="15" customHeight="1" x14ac:dyDescent="0.25"/>
    <row r="482" s="79" customFormat="1" ht="15" customHeight="1" x14ac:dyDescent="0.25"/>
    <row r="483" s="79" customFormat="1" ht="15" customHeight="1" x14ac:dyDescent="0.25"/>
    <row r="484" s="79" customFormat="1" ht="15" customHeight="1" x14ac:dyDescent="0.25"/>
    <row r="485" s="79" customFormat="1" ht="15" customHeight="1" x14ac:dyDescent="0.25"/>
    <row r="486" s="79" customFormat="1" ht="15" customHeight="1" x14ac:dyDescent="0.25"/>
    <row r="487" s="79" customFormat="1" ht="15" customHeight="1" x14ac:dyDescent="0.25"/>
    <row r="488" s="79" customFormat="1" ht="15" customHeight="1" x14ac:dyDescent="0.25"/>
    <row r="489" s="79" customFormat="1" ht="15" customHeight="1" x14ac:dyDescent="0.25"/>
    <row r="490" s="79" customFormat="1" ht="15" customHeight="1" x14ac:dyDescent="0.25"/>
    <row r="491" s="79" customFormat="1" ht="15" customHeight="1" x14ac:dyDescent="0.25"/>
    <row r="492" s="79" customFormat="1" ht="15" customHeight="1" x14ac:dyDescent="0.25"/>
    <row r="493" s="79" customFormat="1" ht="15" customHeight="1" x14ac:dyDescent="0.25"/>
    <row r="494" s="79" customFormat="1" ht="15" customHeight="1" x14ac:dyDescent="0.25"/>
    <row r="495" s="79" customFormat="1" ht="15" customHeight="1" x14ac:dyDescent="0.25"/>
    <row r="496" s="79" customFormat="1" ht="15" customHeight="1" x14ac:dyDescent="0.25"/>
    <row r="497" s="79" customFormat="1" ht="15" customHeight="1" x14ac:dyDescent="0.25"/>
    <row r="498" s="79" customFormat="1" ht="15" customHeight="1" x14ac:dyDescent="0.25"/>
    <row r="499" s="79" customFormat="1" ht="15" customHeight="1" x14ac:dyDescent="0.25"/>
    <row r="500" s="79" customFormat="1" ht="15" customHeight="1" x14ac:dyDescent="0.25"/>
    <row r="501" s="79" customFormat="1" ht="15" customHeight="1" x14ac:dyDescent="0.25"/>
    <row r="502" s="79" customFormat="1" ht="15" customHeight="1" x14ac:dyDescent="0.25"/>
    <row r="503" s="79" customFormat="1" ht="15" customHeight="1" x14ac:dyDescent="0.25"/>
    <row r="504" s="79" customFormat="1" ht="15" customHeight="1" x14ac:dyDescent="0.25"/>
    <row r="505" s="79" customFormat="1" ht="15" customHeight="1" x14ac:dyDescent="0.25"/>
    <row r="506" s="79" customFormat="1" ht="15" customHeight="1" x14ac:dyDescent="0.25"/>
    <row r="507" s="79" customFormat="1" ht="15" customHeight="1" x14ac:dyDescent="0.25"/>
    <row r="508" s="79" customFormat="1" ht="15" customHeight="1" x14ac:dyDescent="0.25"/>
    <row r="509" s="79" customFormat="1" ht="15" customHeight="1" x14ac:dyDescent="0.25"/>
    <row r="510" s="79" customFormat="1" ht="15" customHeight="1" x14ac:dyDescent="0.25"/>
    <row r="511" s="79" customFormat="1" ht="15" customHeight="1" x14ac:dyDescent="0.25"/>
    <row r="512" s="79" customFormat="1" ht="15" customHeight="1" x14ac:dyDescent="0.25"/>
    <row r="513" s="79" customFormat="1" ht="15" customHeight="1" x14ac:dyDescent="0.25"/>
    <row r="514" s="79" customFormat="1" ht="15" customHeight="1" x14ac:dyDescent="0.25"/>
    <row r="515" s="79" customFormat="1" ht="15" customHeight="1" x14ac:dyDescent="0.25"/>
    <row r="516" s="79" customFormat="1" ht="15" customHeight="1" x14ac:dyDescent="0.25"/>
    <row r="517" s="79" customFormat="1" ht="15" customHeight="1" x14ac:dyDescent="0.25"/>
    <row r="518" s="79" customFormat="1" ht="15" customHeight="1" x14ac:dyDescent="0.25"/>
    <row r="519" s="79" customFormat="1" ht="15" customHeight="1" x14ac:dyDescent="0.25"/>
    <row r="520" s="79" customFormat="1" ht="15" customHeight="1" x14ac:dyDescent="0.25"/>
    <row r="521" s="79" customFormat="1" ht="15" customHeight="1" x14ac:dyDescent="0.25"/>
    <row r="522" s="79" customFormat="1" ht="15" customHeight="1" x14ac:dyDescent="0.25"/>
    <row r="523" s="79" customFormat="1" ht="15" customHeight="1" x14ac:dyDescent="0.25"/>
    <row r="524" s="79" customFormat="1" ht="15" customHeight="1" x14ac:dyDescent="0.25"/>
    <row r="525" s="79" customFormat="1" ht="15" customHeight="1" x14ac:dyDescent="0.25"/>
    <row r="526" s="79" customFormat="1" ht="15" customHeight="1" x14ac:dyDescent="0.25"/>
    <row r="527" s="79" customFormat="1" ht="15" customHeight="1" x14ac:dyDescent="0.25"/>
    <row r="528" s="79" customFormat="1" ht="15" customHeight="1" x14ac:dyDescent="0.25"/>
    <row r="529" s="79" customFormat="1" ht="15" customHeight="1" x14ac:dyDescent="0.25"/>
    <row r="530" s="79" customFormat="1" ht="15" customHeight="1" x14ac:dyDescent="0.25"/>
    <row r="531" s="79" customFormat="1" ht="15" customHeight="1" x14ac:dyDescent="0.25"/>
    <row r="532" s="79" customFormat="1" ht="15" customHeight="1" x14ac:dyDescent="0.25"/>
    <row r="533" s="79" customFormat="1" ht="15" customHeight="1" x14ac:dyDescent="0.25"/>
    <row r="534" s="79" customFormat="1" ht="15" customHeight="1" x14ac:dyDescent="0.25"/>
    <row r="535" s="79" customFormat="1" ht="15" customHeight="1" x14ac:dyDescent="0.25"/>
    <row r="536" s="79" customFormat="1" ht="15" customHeight="1" x14ac:dyDescent="0.25"/>
    <row r="537" s="79" customFormat="1" ht="15" customHeight="1" x14ac:dyDescent="0.25"/>
    <row r="538" s="79" customFormat="1" ht="15" customHeight="1" x14ac:dyDescent="0.25"/>
    <row r="539" s="79" customFormat="1" ht="15" customHeight="1" x14ac:dyDescent="0.25"/>
    <row r="540" s="79" customFormat="1" ht="15" customHeight="1" x14ac:dyDescent="0.25"/>
    <row r="541" s="79" customFormat="1" ht="15" customHeight="1" x14ac:dyDescent="0.25"/>
    <row r="542" s="79" customFormat="1" ht="15" customHeight="1" x14ac:dyDescent="0.25"/>
    <row r="543" s="79" customFormat="1" ht="15" customHeight="1" x14ac:dyDescent="0.25"/>
    <row r="544" s="79" customFormat="1" ht="15" customHeight="1" x14ac:dyDescent="0.25"/>
    <row r="545" s="79" customFormat="1" ht="15" customHeight="1" x14ac:dyDescent="0.25"/>
    <row r="546" s="79" customFormat="1" ht="15" customHeight="1" x14ac:dyDescent="0.25"/>
    <row r="547" s="79" customFormat="1" ht="15" customHeight="1" x14ac:dyDescent="0.25"/>
    <row r="548" s="79" customFormat="1" ht="15" customHeight="1" x14ac:dyDescent="0.25"/>
    <row r="549" s="79" customFormat="1" ht="15" customHeight="1" x14ac:dyDescent="0.25"/>
    <row r="550" s="79" customFormat="1" ht="15" customHeight="1" x14ac:dyDescent="0.25"/>
    <row r="551" s="79" customFormat="1" ht="15" customHeight="1" x14ac:dyDescent="0.25"/>
    <row r="552" s="79" customFormat="1" ht="15" customHeight="1" x14ac:dyDescent="0.25"/>
    <row r="553" s="79" customFormat="1" ht="15" customHeight="1" x14ac:dyDescent="0.25"/>
    <row r="554" s="79" customFormat="1" ht="15" customHeight="1" x14ac:dyDescent="0.25"/>
    <row r="555" s="79" customFormat="1" ht="15" customHeight="1" x14ac:dyDescent="0.25"/>
    <row r="556" s="79" customFormat="1" ht="15" customHeight="1" x14ac:dyDescent="0.25"/>
    <row r="557" s="79" customFormat="1" ht="15" customHeight="1" x14ac:dyDescent="0.25"/>
    <row r="558" s="79" customFormat="1" ht="15" customHeight="1" x14ac:dyDescent="0.25"/>
    <row r="559" s="79" customFormat="1" ht="15" customHeight="1" x14ac:dyDescent="0.25"/>
    <row r="560" s="79" customFormat="1" ht="15" customHeight="1" x14ac:dyDescent="0.25"/>
    <row r="561" s="79" customFormat="1" ht="15" customHeight="1" x14ac:dyDescent="0.25"/>
    <row r="562" s="79" customFormat="1" ht="15" customHeight="1" x14ac:dyDescent="0.25"/>
    <row r="563" s="79" customFormat="1" ht="15" customHeight="1" x14ac:dyDescent="0.25"/>
    <row r="564" s="79" customFormat="1" ht="15" customHeight="1" x14ac:dyDescent="0.25"/>
    <row r="565" s="79" customFormat="1" ht="15" customHeight="1" x14ac:dyDescent="0.25"/>
    <row r="566" s="79" customFormat="1" ht="15" customHeight="1" x14ac:dyDescent="0.25"/>
    <row r="567" s="79" customFormat="1" ht="15" customHeight="1" x14ac:dyDescent="0.25"/>
    <row r="568" s="79" customFormat="1" ht="15" customHeight="1" x14ac:dyDescent="0.25"/>
    <row r="569" s="79" customFormat="1" ht="15" customHeight="1" x14ac:dyDescent="0.25"/>
    <row r="570" s="79" customFormat="1" ht="15" customHeight="1" x14ac:dyDescent="0.25"/>
    <row r="571" s="79" customFormat="1" ht="15" customHeight="1" x14ac:dyDescent="0.25"/>
    <row r="572" s="79" customFormat="1" ht="15" customHeight="1" x14ac:dyDescent="0.25"/>
    <row r="573" s="79" customFormat="1" ht="15" customHeight="1" x14ac:dyDescent="0.25"/>
    <row r="574" s="79" customFormat="1" ht="15" customHeight="1" x14ac:dyDescent="0.25"/>
    <row r="575" s="79" customFormat="1" ht="15" customHeight="1" x14ac:dyDescent="0.25"/>
    <row r="576" s="79" customFormat="1" ht="15" customHeight="1" x14ac:dyDescent="0.25"/>
    <row r="577" s="79" customFormat="1" ht="15" customHeight="1" x14ac:dyDescent="0.25"/>
    <row r="578" s="79" customFormat="1" ht="15" customHeight="1" x14ac:dyDescent="0.25"/>
    <row r="579" s="79" customFormat="1" ht="15" customHeight="1" x14ac:dyDescent="0.25"/>
    <row r="580" s="79" customFormat="1" ht="15" customHeight="1" x14ac:dyDescent="0.25"/>
    <row r="581" s="79" customFormat="1" ht="15" customHeight="1" x14ac:dyDescent="0.25"/>
    <row r="582" s="79" customFormat="1" ht="15" customHeight="1" x14ac:dyDescent="0.25"/>
    <row r="583" s="79" customFormat="1" ht="15" customHeight="1" x14ac:dyDescent="0.25"/>
    <row r="584" s="79" customFormat="1" ht="15" customHeight="1" x14ac:dyDescent="0.25"/>
    <row r="585" s="79" customFormat="1" ht="15" customHeight="1" x14ac:dyDescent="0.25"/>
    <row r="586" s="79" customFormat="1" ht="15" customHeight="1" x14ac:dyDescent="0.25"/>
    <row r="587" s="79" customFormat="1" ht="15" customHeight="1" x14ac:dyDescent="0.25"/>
    <row r="588" s="79" customFormat="1" ht="15" customHeight="1" x14ac:dyDescent="0.25"/>
    <row r="589" s="79" customFormat="1" ht="15" customHeight="1" x14ac:dyDescent="0.25"/>
    <row r="590" s="79" customFormat="1" ht="15" customHeight="1" x14ac:dyDescent="0.25"/>
    <row r="591" s="79" customFormat="1" ht="15" customHeight="1" x14ac:dyDescent="0.25"/>
    <row r="592" s="79" customFormat="1" ht="15" customHeight="1" x14ac:dyDescent="0.25"/>
    <row r="593" s="79" customFormat="1" ht="15" customHeight="1" x14ac:dyDescent="0.25"/>
    <row r="594" s="79" customFormat="1" ht="15" customHeight="1" x14ac:dyDescent="0.25"/>
    <row r="595" s="79" customFormat="1" ht="15" customHeight="1" x14ac:dyDescent="0.25"/>
    <row r="596" s="79" customFormat="1" ht="15" customHeight="1" x14ac:dyDescent="0.25"/>
    <row r="597" s="79" customFormat="1" ht="15" customHeight="1" x14ac:dyDescent="0.25"/>
    <row r="598" s="79" customFormat="1" ht="15" customHeight="1" x14ac:dyDescent="0.25"/>
    <row r="599" s="79" customFormat="1" ht="15" customHeight="1" x14ac:dyDescent="0.25"/>
    <row r="600" s="79" customFormat="1" ht="15" customHeight="1" x14ac:dyDescent="0.25"/>
    <row r="601" s="79" customFormat="1" ht="15" customHeight="1" x14ac:dyDescent="0.25"/>
    <row r="602" s="79" customFormat="1" ht="15" customHeight="1" x14ac:dyDescent="0.25"/>
    <row r="603" s="79" customFormat="1" ht="15" customHeight="1" x14ac:dyDescent="0.25"/>
    <row r="604" s="79" customFormat="1" ht="15" customHeight="1" x14ac:dyDescent="0.25"/>
    <row r="605" s="79" customFormat="1" ht="15" customHeight="1" x14ac:dyDescent="0.25"/>
    <row r="606" s="79" customFormat="1" ht="15" customHeight="1" x14ac:dyDescent="0.25"/>
    <row r="607" s="79" customFormat="1" ht="15" customHeight="1" x14ac:dyDescent="0.25"/>
    <row r="608" s="79" customFormat="1" ht="15" customHeight="1" x14ac:dyDescent="0.25"/>
    <row r="609" s="79" customFormat="1" ht="15" customHeight="1" x14ac:dyDescent="0.25"/>
    <row r="610" s="79" customFormat="1" ht="15" customHeight="1" x14ac:dyDescent="0.25"/>
    <row r="611" s="79" customFormat="1" ht="15" customHeight="1" x14ac:dyDescent="0.25"/>
    <row r="612" s="79" customFormat="1" ht="15" customHeight="1" x14ac:dyDescent="0.25"/>
    <row r="613" s="79" customFormat="1" ht="15" customHeight="1" x14ac:dyDescent="0.25"/>
    <row r="614" s="79" customFormat="1" ht="15" customHeight="1" x14ac:dyDescent="0.25"/>
    <row r="615" s="79" customFormat="1" ht="15" customHeight="1" x14ac:dyDescent="0.25"/>
    <row r="616" s="79" customFormat="1" ht="15" customHeight="1" x14ac:dyDescent="0.25"/>
    <row r="617" s="79" customFormat="1" ht="15" customHeight="1" x14ac:dyDescent="0.25"/>
    <row r="618" s="79" customFormat="1" ht="15" customHeight="1" x14ac:dyDescent="0.25"/>
    <row r="619" s="79" customFormat="1" ht="15" customHeight="1" x14ac:dyDescent="0.25"/>
    <row r="620" s="79" customFormat="1" ht="15" customHeight="1" x14ac:dyDescent="0.25"/>
    <row r="621" s="79" customFormat="1" ht="15" customHeight="1" x14ac:dyDescent="0.25"/>
    <row r="622" s="79" customFormat="1" ht="15" customHeight="1" x14ac:dyDescent="0.25"/>
    <row r="623" s="79" customFormat="1" ht="15" customHeight="1" x14ac:dyDescent="0.25"/>
    <row r="624" s="79" customFormat="1" ht="15" customHeight="1" x14ac:dyDescent="0.25"/>
    <row r="625" s="79" customFormat="1" ht="15" customHeight="1" x14ac:dyDescent="0.25"/>
    <row r="626" s="79" customFormat="1" ht="15" customHeight="1" x14ac:dyDescent="0.25"/>
    <row r="627" s="79" customFormat="1" ht="15" customHeight="1" x14ac:dyDescent="0.25"/>
    <row r="628" s="79" customFormat="1" ht="15" customHeight="1" x14ac:dyDescent="0.25"/>
    <row r="629" s="79" customFormat="1" ht="15" customHeight="1" x14ac:dyDescent="0.25"/>
    <row r="630" s="79" customFormat="1" ht="15" customHeight="1" x14ac:dyDescent="0.25"/>
    <row r="631" s="79" customFormat="1" ht="15" customHeight="1" x14ac:dyDescent="0.25"/>
    <row r="632" s="79" customFormat="1" ht="15" customHeight="1" x14ac:dyDescent="0.25"/>
    <row r="633" s="79" customFormat="1" ht="15" customHeight="1" x14ac:dyDescent="0.25"/>
    <row r="634" s="79" customFormat="1" ht="15" customHeight="1" x14ac:dyDescent="0.25"/>
    <row r="635" s="79" customFormat="1" ht="15" customHeight="1" x14ac:dyDescent="0.25"/>
    <row r="636" s="79" customFormat="1" ht="15" customHeight="1" x14ac:dyDescent="0.25"/>
    <row r="637" s="79" customFormat="1" ht="15" customHeight="1" x14ac:dyDescent="0.25"/>
    <row r="638" s="79" customFormat="1" ht="15" customHeight="1" x14ac:dyDescent="0.25"/>
    <row r="639" s="79" customFormat="1" ht="15" customHeight="1" x14ac:dyDescent="0.25"/>
    <row r="640" s="79" customFormat="1" ht="15" customHeight="1" x14ac:dyDescent="0.25"/>
    <row r="641" s="79" customFormat="1" ht="15" customHeight="1" x14ac:dyDescent="0.25"/>
    <row r="642" s="79" customFormat="1" ht="15" customHeight="1" x14ac:dyDescent="0.25"/>
    <row r="643" s="79" customFormat="1" ht="15" customHeight="1" x14ac:dyDescent="0.25"/>
    <row r="644" s="79" customFormat="1" ht="15" customHeight="1" x14ac:dyDescent="0.25"/>
    <row r="645" s="79" customFormat="1" ht="15" customHeight="1" x14ac:dyDescent="0.25"/>
    <row r="646" s="79" customFormat="1" ht="15" customHeight="1" x14ac:dyDescent="0.25"/>
    <row r="647" s="79" customFormat="1" ht="15" customHeight="1" x14ac:dyDescent="0.25"/>
    <row r="648" s="79" customFormat="1" ht="15" customHeight="1" x14ac:dyDescent="0.25"/>
    <row r="649" s="79" customFormat="1" ht="15" customHeight="1" x14ac:dyDescent="0.25"/>
    <row r="650" s="79" customFormat="1" ht="15" customHeight="1" x14ac:dyDescent="0.25"/>
    <row r="651" s="79" customFormat="1" ht="15" customHeight="1" x14ac:dyDescent="0.25"/>
    <row r="652" s="79" customFormat="1" ht="15" customHeight="1" x14ac:dyDescent="0.25"/>
    <row r="653" s="79" customFormat="1" ht="15" customHeight="1" x14ac:dyDescent="0.25"/>
    <row r="654" s="79" customFormat="1" ht="15" customHeight="1" x14ac:dyDescent="0.25"/>
    <row r="655" s="79" customFormat="1" ht="15" customHeight="1" x14ac:dyDescent="0.25"/>
    <row r="656" s="79" customFormat="1" ht="15" customHeight="1" x14ac:dyDescent="0.25"/>
    <row r="657" s="79" customFormat="1" ht="15" customHeight="1" x14ac:dyDescent="0.25"/>
    <row r="658" s="79" customFormat="1" ht="15" customHeight="1" x14ac:dyDescent="0.25"/>
    <row r="659" s="79" customFormat="1" ht="15" customHeight="1" x14ac:dyDescent="0.25"/>
    <row r="660" s="79" customFormat="1" ht="15" customHeight="1" x14ac:dyDescent="0.25"/>
    <row r="661" s="79" customFormat="1" ht="15" customHeight="1" x14ac:dyDescent="0.25"/>
    <row r="662" s="79" customFormat="1" ht="15" customHeight="1" x14ac:dyDescent="0.25"/>
    <row r="663" s="79" customFormat="1" ht="15" customHeight="1" x14ac:dyDescent="0.25"/>
    <row r="664" s="79" customFormat="1" ht="15" customHeight="1" x14ac:dyDescent="0.25"/>
    <row r="665" s="79" customFormat="1" ht="15" customHeight="1" x14ac:dyDescent="0.25"/>
    <row r="666" s="79" customFormat="1" ht="15" customHeight="1" x14ac:dyDescent="0.25"/>
    <row r="667" s="79" customFormat="1" ht="15" customHeight="1" x14ac:dyDescent="0.25"/>
    <row r="668" s="79" customFormat="1" ht="15" customHeight="1" x14ac:dyDescent="0.25"/>
    <row r="669" s="79" customFormat="1" ht="15" customHeight="1" x14ac:dyDescent="0.25"/>
    <row r="670" s="79" customFormat="1" ht="15" customHeight="1" x14ac:dyDescent="0.25"/>
    <row r="671" s="79" customFormat="1" ht="15" customHeight="1" x14ac:dyDescent="0.25"/>
    <row r="672" s="79" customFormat="1" ht="15" customHeight="1" x14ac:dyDescent="0.25"/>
    <row r="673" s="79" customFormat="1" ht="15" customHeight="1" x14ac:dyDescent="0.25"/>
    <row r="674" s="79" customFormat="1" ht="15" customHeight="1" x14ac:dyDescent="0.25"/>
    <row r="675" s="79" customFormat="1" ht="15" customHeight="1" x14ac:dyDescent="0.25"/>
    <row r="676" s="79" customFormat="1" ht="15" customHeight="1" x14ac:dyDescent="0.25"/>
    <row r="677" s="79" customFormat="1" ht="15" customHeight="1" x14ac:dyDescent="0.25"/>
    <row r="678" s="79" customFormat="1" ht="15" customHeight="1" x14ac:dyDescent="0.25"/>
    <row r="679" s="79" customFormat="1" ht="15" customHeight="1" x14ac:dyDescent="0.25"/>
    <row r="680" s="79" customFormat="1" ht="15" customHeight="1" x14ac:dyDescent="0.25"/>
    <row r="681" s="79" customFormat="1" ht="15" customHeight="1" x14ac:dyDescent="0.25"/>
    <row r="682" s="79" customFormat="1" ht="15" customHeight="1" x14ac:dyDescent="0.25"/>
    <row r="683" s="79" customFormat="1" ht="15" customHeight="1" x14ac:dyDescent="0.25"/>
    <row r="684" s="79" customFormat="1" ht="15" customHeight="1" x14ac:dyDescent="0.25"/>
    <row r="685" s="79" customFormat="1" ht="15" customHeight="1" x14ac:dyDescent="0.25"/>
    <row r="686" s="79" customFormat="1" ht="15" customHeight="1" x14ac:dyDescent="0.25"/>
    <row r="687" s="79" customFormat="1" ht="15" customHeight="1" x14ac:dyDescent="0.25"/>
    <row r="688" s="79" customFormat="1" ht="15" customHeight="1" x14ac:dyDescent="0.25"/>
    <row r="689" s="79" customFormat="1" ht="15" customHeight="1" x14ac:dyDescent="0.25"/>
    <row r="690" s="79" customFormat="1" ht="15" customHeight="1" x14ac:dyDescent="0.25"/>
    <row r="691" s="79" customFormat="1" ht="15" customHeight="1" x14ac:dyDescent="0.25"/>
    <row r="692" s="79" customFormat="1" ht="15" customHeight="1" x14ac:dyDescent="0.25"/>
    <row r="693" s="79" customFormat="1" ht="15" customHeight="1" x14ac:dyDescent="0.25"/>
    <row r="694" s="79" customFormat="1" ht="15" customHeight="1" x14ac:dyDescent="0.25"/>
    <row r="695" s="79" customFormat="1" ht="15" customHeight="1" x14ac:dyDescent="0.25"/>
    <row r="696" s="79" customFormat="1" ht="15" customHeight="1" x14ac:dyDescent="0.25"/>
    <row r="697" s="79" customFormat="1" ht="15" customHeight="1" x14ac:dyDescent="0.25"/>
    <row r="698" s="79" customFormat="1" ht="15" customHeight="1" x14ac:dyDescent="0.25"/>
    <row r="699" s="79" customFormat="1" ht="15" customHeight="1" x14ac:dyDescent="0.25"/>
    <row r="700" s="79" customFormat="1" ht="15" customHeight="1" x14ac:dyDescent="0.25"/>
    <row r="701" s="79" customFormat="1" ht="15" customHeight="1" x14ac:dyDescent="0.25"/>
    <row r="702" s="79" customFormat="1" ht="15" customHeight="1" x14ac:dyDescent="0.25"/>
    <row r="703" s="79" customFormat="1" ht="15" customHeight="1" x14ac:dyDescent="0.25"/>
    <row r="704" s="79" customFormat="1" ht="15" customHeight="1" x14ac:dyDescent="0.25"/>
    <row r="705" s="79" customFormat="1" ht="15" customHeight="1" x14ac:dyDescent="0.25"/>
    <row r="706" s="79" customFormat="1" ht="15" customHeight="1" x14ac:dyDescent="0.25"/>
    <row r="707" s="79" customFormat="1" ht="15" customHeight="1" x14ac:dyDescent="0.25"/>
    <row r="708" s="79" customFormat="1" ht="15" customHeight="1" x14ac:dyDescent="0.25"/>
    <row r="709" s="79" customFormat="1" ht="15" customHeight="1" x14ac:dyDescent="0.25"/>
    <row r="710" s="79" customFormat="1" ht="15" customHeight="1" x14ac:dyDescent="0.25"/>
    <row r="711" s="79" customFormat="1" ht="15" customHeight="1" x14ac:dyDescent="0.25"/>
    <row r="712" s="79" customFormat="1" ht="15" customHeight="1" x14ac:dyDescent="0.25"/>
    <row r="713" s="79" customFormat="1" ht="15" customHeight="1" x14ac:dyDescent="0.25"/>
    <row r="714" s="79" customFormat="1" ht="15" customHeight="1" x14ac:dyDescent="0.25"/>
    <row r="715" s="79" customFormat="1" ht="15" customHeight="1" x14ac:dyDescent="0.25"/>
    <row r="716" s="79" customFormat="1" ht="15" customHeight="1" x14ac:dyDescent="0.25"/>
    <row r="717" s="79" customFormat="1" ht="15" customHeight="1" x14ac:dyDescent="0.25"/>
    <row r="718" s="79" customFormat="1" ht="15" customHeight="1" x14ac:dyDescent="0.25"/>
    <row r="719" s="79" customFormat="1" ht="15" customHeight="1" x14ac:dyDescent="0.25"/>
    <row r="720" s="79" customFormat="1" ht="15" customHeight="1" x14ac:dyDescent="0.25"/>
    <row r="721" s="79" customFormat="1" ht="15" customHeight="1" x14ac:dyDescent="0.25"/>
    <row r="722" s="79" customFormat="1" ht="15" customHeight="1" x14ac:dyDescent="0.25"/>
    <row r="723" s="79" customFormat="1" ht="15" customHeight="1" x14ac:dyDescent="0.25"/>
    <row r="724" s="79" customFormat="1" ht="15" customHeight="1" x14ac:dyDescent="0.25"/>
    <row r="725" s="79" customFormat="1" ht="15" customHeight="1" x14ac:dyDescent="0.25"/>
    <row r="726" s="79" customFormat="1" ht="15" customHeight="1" x14ac:dyDescent="0.25"/>
    <row r="727" s="79" customFormat="1" ht="15" customHeight="1" x14ac:dyDescent="0.25"/>
    <row r="728" s="79" customFormat="1" ht="15" customHeight="1" x14ac:dyDescent="0.25"/>
    <row r="729" s="79" customFormat="1" ht="15" customHeight="1" x14ac:dyDescent="0.25"/>
    <row r="730" s="79" customFormat="1" ht="15" customHeight="1" x14ac:dyDescent="0.25"/>
    <row r="731" s="79" customFormat="1" ht="15" customHeight="1" x14ac:dyDescent="0.25"/>
    <row r="732" s="79" customFormat="1" ht="15" customHeight="1" x14ac:dyDescent="0.25"/>
    <row r="733" s="79" customFormat="1" ht="15" customHeight="1" x14ac:dyDescent="0.25"/>
    <row r="734" s="79" customFormat="1" ht="15" customHeight="1" x14ac:dyDescent="0.25"/>
    <row r="735" s="79" customFormat="1" ht="15" customHeight="1" x14ac:dyDescent="0.25"/>
    <row r="736" s="79" customFormat="1" ht="15" customHeight="1" x14ac:dyDescent="0.25"/>
    <row r="737" s="79" customFormat="1" ht="15" customHeight="1" x14ac:dyDescent="0.25"/>
    <row r="738" s="79" customFormat="1" ht="15" customHeight="1" x14ac:dyDescent="0.25"/>
    <row r="739" s="79" customFormat="1" ht="15" customHeight="1" x14ac:dyDescent="0.25"/>
    <row r="740" s="79" customFormat="1" ht="15" customHeight="1" x14ac:dyDescent="0.25"/>
    <row r="741" s="79" customFormat="1" ht="15" customHeight="1" x14ac:dyDescent="0.25"/>
    <row r="742" s="79" customFormat="1" ht="15" customHeight="1" x14ac:dyDescent="0.25"/>
    <row r="743" s="79" customFormat="1" ht="15" customHeight="1" x14ac:dyDescent="0.25"/>
    <row r="744" s="79" customFormat="1" ht="15" customHeight="1" x14ac:dyDescent="0.25"/>
    <row r="745" s="79" customFormat="1" ht="15" customHeight="1" x14ac:dyDescent="0.25"/>
    <row r="746" s="79" customFormat="1" ht="15" customHeight="1" x14ac:dyDescent="0.25"/>
    <row r="747" s="79" customFormat="1" ht="15" customHeight="1" x14ac:dyDescent="0.25"/>
    <row r="748" s="79" customFormat="1" ht="15" customHeight="1" x14ac:dyDescent="0.25"/>
    <row r="749" s="79" customFormat="1" ht="15" customHeight="1" x14ac:dyDescent="0.25"/>
    <row r="750" s="79" customFormat="1" ht="15" customHeight="1" x14ac:dyDescent="0.25"/>
    <row r="751" s="79" customFormat="1" ht="15" customHeight="1" x14ac:dyDescent="0.25"/>
    <row r="752" s="79" customFormat="1" ht="15" customHeight="1" x14ac:dyDescent="0.25"/>
    <row r="753" s="79" customFormat="1" ht="15" customHeight="1" x14ac:dyDescent="0.25"/>
    <row r="754" s="79" customFormat="1" ht="15" customHeight="1" x14ac:dyDescent="0.25"/>
    <row r="755" s="79" customFormat="1" ht="15" customHeight="1" x14ac:dyDescent="0.25"/>
    <row r="756" s="79" customFormat="1" ht="15" customHeight="1" x14ac:dyDescent="0.25"/>
    <row r="757" s="79" customFormat="1" ht="15" customHeight="1" x14ac:dyDescent="0.25"/>
    <row r="758" s="79" customFormat="1" ht="15" customHeight="1" x14ac:dyDescent="0.25"/>
    <row r="759" s="79" customFormat="1" ht="15" customHeight="1" x14ac:dyDescent="0.25"/>
    <row r="760" s="79" customFormat="1" ht="15" customHeight="1" x14ac:dyDescent="0.25"/>
    <row r="761" s="79" customFormat="1" ht="15" customHeight="1" x14ac:dyDescent="0.25"/>
    <row r="762" s="79" customFormat="1" ht="15" customHeight="1" x14ac:dyDescent="0.25"/>
    <row r="763" s="79" customFormat="1" ht="15" customHeight="1" x14ac:dyDescent="0.25"/>
    <row r="764" s="79" customFormat="1" ht="15" customHeight="1" x14ac:dyDescent="0.25"/>
    <row r="765" s="79" customFormat="1" ht="15" customHeight="1" x14ac:dyDescent="0.25"/>
    <row r="766" s="79" customFormat="1" ht="15" customHeight="1" x14ac:dyDescent="0.25"/>
    <row r="767" s="79" customFormat="1" ht="15" customHeight="1" x14ac:dyDescent="0.25"/>
    <row r="768" s="79" customFormat="1" ht="15" customHeight="1" x14ac:dyDescent="0.25"/>
    <row r="769" s="79" customFormat="1" ht="15" customHeight="1" x14ac:dyDescent="0.25"/>
    <row r="770" s="79" customFormat="1" ht="15" customHeight="1" x14ac:dyDescent="0.25"/>
    <row r="771" s="79" customFormat="1" ht="15" customHeight="1" x14ac:dyDescent="0.25"/>
    <row r="772" s="79" customFormat="1" ht="15" customHeight="1" x14ac:dyDescent="0.25"/>
    <row r="773" s="79" customFormat="1" ht="15" customHeight="1" x14ac:dyDescent="0.25"/>
    <row r="774" s="79" customFormat="1" ht="15" customHeight="1" x14ac:dyDescent="0.25"/>
    <row r="775" s="79" customFormat="1" ht="15" customHeight="1" x14ac:dyDescent="0.25"/>
    <row r="776" s="79" customFormat="1" ht="15" customHeight="1" x14ac:dyDescent="0.25"/>
    <row r="777" s="79" customFormat="1" ht="15" customHeight="1" x14ac:dyDescent="0.25"/>
    <row r="778" s="79" customFormat="1" ht="15" customHeight="1" x14ac:dyDescent="0.25"/>
    <row r="779" s="79" customFormat="1" ht="15" customHeight="1" x14ac:dyDescent="0.25"/>
    <row r="780" s="79" customFormat="1" ht="15" customHeight="1" x14ac:dyDescent="0.25"/>
    <row r="781" s="79" customFormat="1" ht="15" customHeight="1" x14ac:dyDescent="0.25"/>
    <row r="782" s="79" customFormat="1" ht="15" customHeight="1" x14ac:dyDescent="0.25"/>
    <row r="783" s="79" customFormat="1" ht="15" customHeight="1" x14ac:dyDescent="0.25"/>
    <row r="784" s="79" customFormat="1" ht="15" customHeight="1" x14ac:dyDescent="0.25"/>
    <row r="785" s="79" customFormat="1" ht="15" customHeight="1" x14ac:dyDescent="0.25"/>
    <row r="786" s="79" customFormat="1" ht="15" customHeight="1" x14ac:dyDescent="0.25"/>
    <row r="787" s="79" customFormat="1" ht="15" customHeight="1" x14ac:dyDescent="0.25"/>
    <row r="788" s="79" customFormat="1" ht="15" customHeight="1" x14ac:dyDescent="0.25"/>
    <row r="789" s="79" customFormat="1" ht="15" customHeight="1" x14ac:dyDescent="0.25"/>
    <row r="790" s="79" customFormat="1" ht="15" customHeight="1" x14ac:dyDescent="0.25"/>
    <row r="791" s="79" customFormat="1" ht="15" customHeight="1" x14ac:dyDescent="0.25"/>
    <row r="792" s="79" customFormat="1" ht="15" customHeight="1" x14ac:dyDescent="0.25"/>
    <row r="793" s="79" customFormat="1" ht="15" customHeight="1" x14ac:dyDescent="0.25"/>
    <row r="794" s="79" customFormat="1" ht="15" customHeight="1" x14ac:dyDescent="0.25"/>
    <row r="795" s="79" customFormat="1" ht="15" customHeight="1" x14ac:dyDescent="0.25"/>
    <row r="796" s="79" customFormat="1" ht="15" customHeight="1" x14ac:dyDescent="0.25"/>
    <row r="797" s="79" customFormat="1" ht="15" customHeight="1" x14ac:dyDescent="0.25"/>
    <row r="798" s="79" customFormat="1" ht="15" customHeight="1" x14ac:dyDescent="0.25"/>
    <row r="799" s="79" customFormat="1" ht="15" customHeight="1" x14ac:dyDescent="0.25"/>
    <row r="800" s="79" customFormat="1" ht="15" customHeight="1" x14ac:dyDescent="0.25"/>
    <row r="801" s="79" customFormat="1" ht="15" customHeight="1" x14ac:dyDescent="0.25"/>
    <row r="802" s="79" customFormat="1" ht="15" customHeight="1" x14ac:dyDescent="0.25"/>
    <row r="803" s="79" customFormat="1" ht="15" customHeight="1" x14ac:dyDescent="0.25"/>
    <row r="804" s="79" customFormat="1" ht="15" customHeight="1" x14ac:dyDescent="0.25"/>
    <row r="805" s="79" customFormat="1" ht="15" customHeight="1" x14ac:dyDescent="0.25"/>
    <row r="806" s="79" customFormat="1" ht="15" customHeight="1" x14ac:dyDescent="0.25"/>
    <row r="807" s="79" customFormat="1" ht="15" customHeight="1" x14ac:dyDescent="0.25"/>
    <row r="808" s="79" customFormat="1" ht="15" customHeight="1" x14ac:dyDescent="0.25"/>
    <row r="809" s="79" customFormat="1" ht="15" customHeight="1" x14ac:dyDescent="0.25"/>
    <row r="810" s="79" customFormat="1" ht="15" customHeight="1" x14ac:dyDescent="0.25"/>
    <row r="811" s="79" customFormat="1" ht="15" customHeight="1" x14ac:dyDescent="0.25"/>
    <row r="812" s="79" customFormat="1" ht="15" customHeight="1" x14ac:dyDescent="0.25"/>
    <row r="813" s="79" customFormat="1" ht="15" customHeight="1" x14ac:dyDescent="0.25"/>
    <row r="814" s="79" customFormat="1" ht="15" customHeight="1" x14ac:dyDescent="0.25"/>
    <row r="815" s="79" customFormat="1" ht="15" customHeight="1" x14ac:dyDescent="0.25"/>
    <row r="816" s="79" customFormat="1" ht="15" customHeight="1" x14ac:dyDescent="0.25"/>
    <row r="817" s="79" customFormat="1" ht="15" customHeight="1" x14ac:dyDescent="0.25"/>
    <row r="818" s="79" customFormat="1" ht="15" customHeight="1" x14ac:dyDescent="0.25"/>
    <row r="819" s="79" customFormat="1" ht="15" customHeight="1" x14ac:dyDescent="0.25"/>
    <row r="820" s="79" customFormat="1" ht="15" customHeight="1" x14ac:dyDescent="0.25"/>
    <row r="821" s="79" customFormat="1" ht="15" customHeight="1" x14ac:dyDescent="0.25"/>
    <row r="822" s="79" customFormat="1" ht="15" customHeight="1" x14ac:dyDescent="0.25"/>
    <row r="823" s="79" customFormat="1" ht="15" customHeight="1" x14ac:dyDescent="0.25"/>
    <row r="824" s="79" customFormat="1" ht="15" customHeight="1" x14ac:dyDescent="0.25"/>
    <row r="825" s="79" customFormat="1" ht="15" customHeight="1" x14ac:dyDescent="0.25"/>
    <row r="826" s="79" customFormat="1" ht="15" customHeight="1" x14ac:dyDescent="0.25"/>
    <row r="827" s="79" customFormat="1" ht="15" customHeight="1" x14ac:dyDescent="0.25"/>
    <row r="828" s="79" customFormat="1" ht="15" customHeight="1" x14ac:dyDescent="0.25"/>
    <row r="829" s="79" customFormat="1" ht="15" customHeight="1" x14ac:dyDescent="0.25"/>
    <row r="830" s="79" customFormat="1" ht="15" customHeight="1" x14ac:dyDescent="0.25"/>
    <row r="831" s="79" customFormat="1" ht="15" customHeight="1" x14ac:dyDescent="0.25"/>
    <row r="832" s="79" customFormat="1" ht="15" customHeight="1" x14ac:dyDescent="0.25"/>
    <row r="833" s="79" customFormat="1" ht="15" customHeight="1" x14ac:dyDescent="0.25"/>
    <row r="834" s="79" customFormat="1" ht="15" customHeight="1" x14ac:dyDescent="0.25"/>
    <row r="835" s="79" customFormat="1" ht="15" customHeight="1" x14ac:dyDescent="0.25"/>
    <row r="836" s="79" customFormat="1" ht="15" customHeight="1" x14ac:dyDescent="0.25"/>
    <row r="837" s="79" customFormat="1" ht="15" customHeight="1" x14ac:dyDescent="0.25"/>
    <row r="838" s="79" customFormat="1" ht="15" customHeight="1" x14ac:dyDescent="0.25"/>
    <row r="839" s="79" customFormat="1" ht="15" customHeight="1" x14ac:dyDescent="0.25"/>
    <row r="840" s="79" customFormat="1" ht="15" customHeight="1" x14ac:dyDescent="0.25"/>
    <row r="841" s="79" customFormat="1" ht="15" customHeight="1" x14ac:dyDescent="0.25"/>
    <row r="842" s="79" customFormat="1" ht="15" customHeight="1" x14ac:dyDescent="0.25"/>
    <row r="843" s="79" customFormat="1" ht="15" customHeight="1" x14ac:dyDescent="0.25"/>
    <row r="844" s="79" customFormat="1" ht="15" customHeight="1" x14ac:dyDescent="0.25"/>
    <row r="845" s="79" customFormat="1" ht="15" customHeight="1" x14ac:dyDescent="0.25"/>
    <row r="846" s="79" customFormat="1" ht="15" customHeight="1" x14ac:dyDescent="0.25"/>
    <row r="847" s="79" customFormat="1" ht="15" customHeight="1" x14ac:dyDescent="0.25"/>
    <row r="848" s="79" customFormat="1" ht="15" customHeight="1" x14ac:dyDescent="0.25"/>
    <row r="849" s="79" customFormat="1" ht="15" customHeight="1" x14ac:dyDescent="0.25"/>
    <row r="850" s="79" customFormat="1" ht="15" customHeight="1" x14ac:dyDescent="0.25"/>
    <row r="851" s="79" customFormat="1" ht="15" customHeight="1" x14ac:dyDescent="0.25"/>
    <row r="852" s="79" customFormat="1" ht="15" customHeight="1" x14ac:dyDescent="0.25"/>
    <row r="853" s="79" customFormat="1" ht="15" customHeight="1" x14ac:dyDescent="0.25"/>
    <row r="854" s="79" customFormat="1" ht="15" customHeight="1" x14ac:dyDescent="0.25"/>
    <row r="855" s="79" customFormat="1" ht="15" customHeight="1" x14ac:dyDescent="0.25"/>
    <row r="856" s="79" customFormat="1" ht="15" customHeight="1" x14ac:dyDescent="0.25"/>
    <row r="857" s="79" customFormat="1" ht="15" customHeight="1" x14ac:dyDescent="0.25"/>
    <row r="858" s="79" customFormat="1" ht="15" customHeight="1" x14ac:dyDescent="0.25"/>
    <row r="859" s="79" customFormat="1" ht="15" customHeight="1" x14ac:dyDescent="0.25"/>
    <row r="860" s="79" customFormat="1" ht="15" customHeight="1" x14ac:dyDescent="0.25"/>
    <row r="861" s="79" customFormat="1" ht="15" customHeight="1" x14ac:dyDescent="0.25"/>
    <row r="862" s="79" customFormat="1" ht="15" customHeight="1" x14ac:dyDescent="0.25"/>
    <row r="863" s="79" customFormat="1" ht="15" customHeight="1" x14ac:dyDescent="0.25"/>
    <row r="864" s="79" customFormat="1" ht="15" customHeight="1" x14ac:dyDescent="0.25"/>
    <row r="865" s="79" customFormat="1" ht="15" customHeight="1" x14ac:dyDescent="0.25"/>
    <row r="866" s="79" customFormat="1" ht="15" customHeight="1" x14ac:dyDescent="0.25"/>
    <row r="867" s="79" customFormat="1" ht="15" customHeight="1" x14ac:dyDescent="0.25"/>
    <row r="868" s="79" customFormat="1" ht="15" customHeight="1" x14ac:dyDescent="0.25"/>
    <row r="869" s="79" customFormat="1" ht="15" customHeight="1" x14ac:dyDescent="0.25"/>
    <row r="870" s="79" customFormat="1" ht="15" customHeight="1" x14ac:dyDescent="0.25"/>
    <row r="871" s="79" customFormat="1" ht="15" customHeight="1" x14ac:dyDescent="0.25"/>
    <row r="872" s="79" customFormat="1" ht="15" customHeight="1" x14ac:dyDescent="0.25"/>
    <row r="873" s="79" customFormat="1" ht="15" customHeight="1" x14ac:dyDescent="0.25"/>
    <row r="874" s="79" customFormat="1" ht="15" customHeight="1" x14ac:dyDescent="0.25"/>
    <row r="875" s="79" customFormat="1" ht="15" customHeight="1" x14ac:dyDescent="0.25"/>
    <row r="876" s="79" customFormat="1" ht="15" customHeight="1" x14ac:dyDescent="0.25"/>
    <row r="877" s="79" customFormat="1" ht="15" customHeight="1" x14ac:dyDescent="0.25"/>
    <row r="878" s="79" customFormat="1" ht="15" customHeight="1" x14ac:dyDescent="0.25"/>
    <row r="879" s="79" customFormat="1" ht="15" customHeight="1" x14ac:dyDescent="0.25"/>
    <row r="880" s="79" customFormat="1" ht="15" customHeight="1" x14ac:dyDescent="0.25"/>
    <row r="881" s="79" customFormat="1" ht="15" customHeight="1" x14ac:dyDescent="0.25"/>
    <row r="882" s="79" customFormat="1" ht="15" customHeight="1" x14ac:dyDescent="0.25"/>
    <row r="883" s="79" customFormat="1" ht="15" customHeight="1" x14ac:dyDescent="0.25"/>
    <row r="884" s="79" customFormat="1" ht="15" customHeight="1" x14ac:dyDescent="0.25"/>
    <row r="885" s="79" customFormat="1" ht="15" customHeight="1" x14ac:dyDescent="0.25"/>
    <row r="886" s="79" customFormat="1" ht="15" customHeight="1" x14ac:dyDescent="0.25"/>
    <row r="887" s="79" customFormat="1" ht="15" customHeight="1" x14ac:dyDescent="0.25"/>
    <row r="888" s="79" customFormat="1" ht="15" customHeight="1" x14ac:dyDescent="0.25"/>
    <row r="889" s="79" customFormat="1" ht="15" customHeight="1" x14ac:dyDescent="0.25"/>
    <row r="890" s="79" customFormat="1" ht="15" customHeight="1" x14ac:dyDescent="0.25"/>
    <row r="891" s="79" customFormat="1" ht="15" customHeight="1" x14ac:dyDescent="0.25"/>
    <row r="892" s="79" customFormat="1" ht="15" customHeight="1" x14ac:dyDescent="0.25"/>
    <row r="893" s="79" customFormat="1" ht="15" customHeight="1" x14ac:dyDescent="0.25"/>
    <row r="894" s="79" customFormat="1" ht="15" customHeight="1" x14ac:dyDescent="0.25"/>
    <row r="895" s="79" customFormat="1" ht="15" customHeight="1" x14ac:dyDescent="0.25"/>
    <row r="896" s="79" customFormat="1" ht="15" customHeight="1" x14ac:dyDescent="0.25"/>
    <row r="897" s="79" customFormat="1" ht="15" customHeight="1" x14ac:dyDescent="0.25"/>
    <row r="898" s="79" customFormat="1" ht="15" customHeight="1" x14ac:dyDescent="0.25"/>
    <row r="899" s="79" customFormat="1" ht="15" customHeight="1" x14ac:dyDescent="0.25"/>
    <row r="900" s="79" customFormat="1" ht="15" customHeight="1" x14ac:dyDescent="0.25"/>
    <row r="901" s="79" customFormat="1" ht="15" customHeight="1" x14ac:dyDescent="0.25"/>
    <row r="902" s="79" customFormat="1" ht="15" customHeight="1" x14ac:dyDescent="0.25"/>
    <row r="903" s="79" customFormat="1" ht="15" customHeight="1" x14ac:dyDescent="0.25"/>
    <row r="904" s="79" customFormat="1" ht="15" customHeight="1" x14ac:dyDescent="0.25"/>
    <row r="905" s="79" customFormat="1" ht="15" customHeight="1" x14ac:dyDescent="0.25"/>
    <row r="906" s="79" customFormat="1" ht="15" customHeight="1" x14ac:dyDescent="0.25"/>
    <row r="907" s="79" customFormat="1" ht="15" customHeight="1" x14ac:dyDescent="0.25"/>
    <row r="908" s="79" customFormat="1" ht="15" customHeight="1" x14ac:dyDescent="0.25"/>
    <row r="909" s="79" customFormat="1" ht="15" customHeight="1" x14ac:dyDescent="0.25"/>
    <row r="910" s="79" customFormat="1" ht="15" customHeight="1" x14ac:dyDescent="0.25"/>
    <row r="911" s="79" customFormat="1" ht="15" customHeight="1" x14ac:dyDescent="0.25"/>
    <row r="912" s="79" customFormat="1" ht="15" customHeight="1" x14ac:dyDescent="0.25"/>
    <row r="913" s="79" customFormat="1" ht="15" customHeight="1" x14ac:dyDescent="0.25"/>
    <row r="914" s="79" customFormat="1" ht="15" customHeight="1" x14ac:dyDescent="0.25"/>
    <row r="915" s="79" customFormat="1" ht="15" customHeight="1" x14ac:dyDescent="0.25"/>
    <row r="916" s="79" customFormat="1" ht="15" customHeight="1" x14ac:dyDescent="0.25"/>
    <row r="917" s="79" customFormat="1" ht="15" customHeight="1" x14ac:dyDescent="0.25"/>
    <row r="918" s="79" customFormat="1" ht="15" customHeight="1" x14ac:dyDescent="0.25"/>
    <row r="919" s="79" customFormat="1" ht="15" customHeight="1" x14ac:dyDescent="0.25"/>
    <row r="920" s="79" customFormat="1" ht="15" customHeight="1" x14ac:dyDescent="0.25"/>
    <row r="921" s="79" customFormat="1" ht="15" customHeight="1" x14ac:dyDescent="0.25"/>
    <row r="922" s="79" customFormat="1" ht="15" customHeight="1" x14ac:dyDescent="0.25"/>
    <row r="923" s="79" customFormat="1" ht="15" customHeight="1" x14ac:dyDescent="0.25"/>
    <row r="924" s="79" customFormat="1" ht="15" customHeight="1" x14ac:dyDescent="0.25"/>
    <row r="925" s="79" customFormat="1" ht="15" customHeight="1" x14ac:dyDescent="0.25"/>
    <row r="926" s="79" customFormat="1" ht="15" customHeight="1" x14ac:dyDescent="0.25"/>
    <row r="927" s="79" customFormat="1" ht="15" customHeight="1" x14ac:dyDescent="0.25"/>
    <row r="928" s="79" customFormat="1" ht="15" customHeight="1" x14ac:dyDescent="0.25"/>
    <row r="929" s="79" customFormat="1" ht="15" customHeight="1" x14ac:dyDescent="0.25"/>
    <row r="930" s="79" customFormat="1" ht="15" customHeight="1" x14ac:dyDescent="0.25"/>
    <row r="931" s="79" customFormat="1" ht="15" customHeight="1" x14ac:dyDescent="0.25"/>
    <row r="932" s="79" customFormat="1" ht="15" customHeight="1" x14ac:dyDescent="0.25"/>
    <row r="933" s="79" customFormat="1" ht="15" customHeight="1" x14ac:dyDescent="0.25"/>
    <row r="934" s="79" customFormat="1" ht="15" customHeight="1" x14ac:dyDescent="0.25"/>
    <row r="935" s="79" customFormat="1" ht="15" customHeight="1" x14ac:dyDescent="0.25"/>
    <row r="936" s="79" customFormat="1" ht="15" customHeight="1" x14ac:dyDescent="0.25"/>
    <row r="937" s="79" customFormat="1" ht="15" customHeight="1" x14ac:dyDescent="0.25"/>
    <row r="938" s="79" customFormat="1" ht="15" customHeight="1" x14ac:dyDescent="0.25"/>
    <row r="939" s="79" customFormat="1" ht="15" customHeight="1" x14ac:dyDescent="0.25"/>
    <row r="940" s="79" customFormat="1" ht="15" customHeight="1" x14ac:dyDescent="0.25"/>
    <row r="941" s="79" customFormat="1" ht="15" customHeight="1" x14ac:dyDescent="0.25"/>
    <row r="942" s="79" customFormat="1" ht="15" customHeight="1" x14ac:dyDescent="0.25"/>
    <row r="943" s="79" customFormat="1" ht="15" customHeight="1" x14ac:dyDescent="0.25"/>
    <row r="944" s="79" customFormat="1" ht="15" customHeight="1" x14ac:dyDescent="0.25"/>
    <row r="945" s="79" customFormat="1" ht="15" customHeight="1" x14ac:dyDescent="0.25"/>
    <row r="946" s="79" customFormat="1" ht="15" customHeight="1" x14ac:dyDescent="0.25"/>
    <row r="947" s="79" customFormat="1" ht="15" customHeight="1" x14ac:dyDescent="0.25"/>
    <row r="948" s="79" customFormat="1" ht="15" customHeight="1" x14ac:dyDescent="0.25"/>
    <row r="949" s="79" customFormat="1" ht="15" customHeight="1" x14ac:dyDescent="0.25"/>
    <row r="950" s="79" customFormat="1" ht="15" customHeight="1" x14ac:dyDescent="0.25"/>
    <row r="951" s="79" customFormat="1" ht="15" customHeight="1" x14ac:dyDescent="0.25"/>
    <row r="952" s="79" customFormat="1" ht="15" customHeight="1" x14ac:dyDescent="0.25"/>
    <row r="953" s="79" customFormat="1" ht="15" customHeight="1" x14ac:dyDescent="0.25"/>
    <row r="954" s="79" customFormat="1" ht="15" customHeight="1" x14ac:dyDescent="0.25"/>
    <row r="955" s="79" customFormat="1" ht="15" customHeight="1" x14ac:dyDescent="0.25"/>
    <row r="956" s="79" customFormat="1" ht="15" customHeight="1" x14ac:dyDescent="0.25"/>
    <row r="957" s="79" customFormat="1" ht="15" customHeight="1" x14ac:dyDescent="0.25"/>
    <row r="958" s="79" customFormat="1" ht="15" customHeight="1" x14ac:dyDescent="0.25"/>
    <row r="959" s="79" customFormat="1" ht="15" customHeight="1" x14ac:dyDescent="0.25"/>
    <row r="960" s="79" customFormat="1" ht="15" customHeight="1" x14ac:dyDescent="0.25"/>
    <row r="961" s="79" customFormat="1" ht="15" customHeight="1" x14ac:dyDescent="0.25"/>
    <row r="962" s="79" customFormat="1" ht="15" customHeight="1" x14ac:dyDescent="0.25"/>
    <row r="963" s="79" customFormat="1" ht="15" customHeight="1" x14ac:dyDescent="0.25"/>
    <row r="964" s="79" customFormat="1" ht="15" customHeight="1" x14ac:dyDescent="0.25"/>
    <row r="965" s="79" customFormat="1" ht="15" customHeight="1" x14ac:dyDescent="0.25"/>
    <row r="966" s="79" customFormat="1" ht="15" customHeight="1" x14ac:dyDescent="0.25"/>
    <row r="967" s="79" customFormat="1" ht="15" customHeight="1" x14ac:dyDescent="0.25"/>
    <row r="968" s="79" customFormat="1" ht="15" customHeight="1" x14ac:dyDescent="0.25"/>
    <row r="969" s="79" customFormat="1" ht="15" customHeight="1" x14ac:dyDescent="0.25"/>
    <row r="970" s="79" customFormat="1" ht="15" customHeight="1" x14ac:dyDescent="0.25"/>
    <row r="971" s="79" customFormat="1" ht="15" customHeight="1" x14ac:dyDescent="0.25"/>
    <row r="972" s="79" customFormat="1" ht="15" customHeight="1" x14ac:dyDescent="0.25"/>
    <row r="973" s="79" customFormat="1" ht="15" customHeight="1" x14ac:dyDescent="0.25"/>
    <row r="974" s="79" customFormat="1" ht="15" customHeight="1" x14ac:dyDescent="0.25"/>
    <row r="975" s="79" customFormat="1" ht="15" customHeight="1" x14ac:dyDescent="0.25"/>
    <row r="976" s="79" customFormat="1" ht="15" customHeight="1" x14ac:dyDescent="0.25"/>
    <row r="977" s="79" customFormat="1" ht="15" customHeight="1" x14ac:dyDescent="0.25"/>
    <row r="978" s="79" customFormat="1" ht="15" customHeight="1" x14ac:dyDescent="0.25"/>
    <row r="979" s="79" customFormat="1" ht="15" customHeight="1" x14ac:dyDescent="0.25"/>
    <row r="980" s="79" customFormat="1" ht="15" customHeight="1" x14ac:dyDescent="0.25"/>
    <row r="981" s="79" customFormat="1" ht="15" customHeight="1" x14ac:dyDescent="0.25"/>
    <row r="982" s="79" customFormat="1" ht="15" customHeight="1" x14ac:dyDescent="0.25"/>
    <row r="983" s="79" customFormat="1" ht="15" customHeight="1" x14ac:dyDescent="0.25"/>
    <row r="984" s="79" customFormat="1" ht="15" customHeight="1" x14ac:dyDescent="0.25"/>
    <row r="985" s="79" customFormat="1" ht="15" customHeight="1" x14ac:dyDescent="0.25"/>
    <row r="986" s="79" customFormat="1" ht="15" customHeight="1" x14ac:dyDescent="0.25"/>
    <row r="987" s="79" customFormat="1" ht="15" customHeight="1" x14ac:dyDescent="0.25"/>
    <row r="988" s="79" customFormat="1" ht="15" customHeight="1" x14ac:dyDescent="0.25"/>
    <row r="989" s="79" customFormat="1" ht="15" customHeight="1" x14ac:dyDescent="0.25"/>
    <row r="990" s="79" customFormat="1" ht="15" customHeight="1" x14ac:dyDescent="0.25"/>
    <row r="991" s="79" customFormat="1" ht="15" customHeight="1" x14ac:dyDescent="0.25"/>
    <row r="992" s="79" customFormat="1" ht="15" customHeight="1" x14ac:dyDescent="0.25"/>
    <row r="993" s="79" customFormat="1" ht="15" customHeight="1" x14ac:dyDescent="0.25"/>
    <row r="994" s="79" customFormat="1" ht="15" customHeight="1" x14ac:dyDescent="0.25"/>
    <row r="995" s="79" customFormat="1" ht="15" customHeight="1" x14ac:dyDescent="0.25"/>
    <row r="996" s="79" customFormat="1" ht="15" customHeight="1" x14ac:dyDescent="0.25"/>
    <row r="997" s="79" customFormat="1" ht="15" customHeight="1" x14ac:dyDescent="0.25"/>
    <row r="998" s="79" customFormat="1" ht="15" customHeight="1" x14ac:dyDescent="0.25"/>
    <row r="999" s="79" customFormat="1" ht="15" customHeight="1" x14ac:dyDescent="0.25"/>
    <row r="1000" s="79" customFormat="1" ht="15" customHeight="1" x14ac:dyDescent="0.25"/>
    <row r="1001" s="79" customFormat="1" ht="15" customHeight="1" x14ac:dyDescent="0.25"/>
    <row r="1002" s="79" customFormat="1" ht="15" customHeight="1" x14ac:dyDescent="0.25"/>
    <row r="1003" s="79" customFormat="1" ht="15" customHeight="1" x14ac:dyDescent="0.25"/>
    <row r="1004" s="79" customFormat="1" ht="15" customHeight="1" x14ac:dyDescent="0.25"/>
    <row r="1005" s="79" customFormat="1" ht="15" customHeight="1" x14ac:dyDescent="0.25"/>
    <row r="1006" s="79" customFormat="1" ht="15" customHeight="1" x14ac:dyDescent="0.25"/>
    <row r="1007" s="79" customFormat="1" ht="15" customHeight="1" x14ac:dyDescent="0.25"/>
    <row r="1008" s="79" customFormat="1" ht="15" customHeight="1" x14ac:dyDescent="0.25"/>
    <row r="1009" s="79" customFormat="1" ht="15" customHeight="1" x14ac:dyDescent="0.25"/>
    <row r="1010" s="79" customFormat="1" ht="15" customHeight="1" x14ac:dyDescent="0.25"/>
    <row r="1011" s="79" customFormat="1" ht="15" customHeight="1" x14ac:dyDescent="0.25"/>
    <row r="1012" s="79" customFormat="1" ht="15" customHeight="1" x14ac:dyDescent="0.25"/>
    <row r="1013" s="79" customFormat="1" ht="15" customHeight="1" x14ac:dyDescent="0.25"/>
    <row r="1014" s="79" customFormat="1" ht="15" customHeight="1" x14ac:dyDescent="0.25"/>
    <row r="1015" s="79" customFormat="1" ht="15" customHeight="1" x14ac:dyDescent="0.25"/>
    <row r="1016" s="79" customFormat="1" ht="15" customHeight="1" x14ac:dyDescent="0.25"/>
    <row r="1017" s="79" customFormat="1" ht="15" customHeight="1" x14ac:dyDescent="0.25"/>
    <row r="1018" s="79" customFormat="1" ht="15" customHeight="1" x14ac:dyDescent="0.25"/>
    <row r="1019" s="79" customFormat="1" ht="15" customHeight="1" x14ac:dyDescent="0.25"/>
    <row r="1020" s="79" customFormat="1" ht="15" customHeight="1" x14ac:dyDescent="0.25"/>
    <row r="1021" s="79" customFormat="1" ht="15" customHeight="1" x14ac:dyDescent="0.25"/>
    <row r="1022" s="79" customFormat="1" ht="15" customHeight="1" x14ac:dyDescent="0.25"/>
    <row r="1023" s="79" customFormat="1" ht="15" customHeight="1" x14ac:dyDescent="0.25"/>
    <row r="1024" s="79" customFormat="1" ht="15" customHeight="1" x14ac:dyDescent="0.25"/>
    <row r="1025" s="79" customFormat="1" ht="15" customHeight="1" x14ac:dyDescent="0.25"/>
    <row r="1026" s="79" customFormat="1" ht="15" customHeight="1" x14ac:dyDescent="0.25"/>
    <row r="1027" s="79" customFormat="1" ht="15" customHeight="1" x14ac:dyDescent="0.25"/>
    <row r="1028" s="79" customFormat="1" ht="15" customHeight="1" x14ac:dyDescent="0.25"/>
    <row r="1029" s="79" customFormat="1" ht="15" customHeight="1" x14ac:dyDescent="0.25"/>
    <row r="1030" s="79" customFormat="1" ht="15" customHeight="1" x14ac:dyDescent="0.25"/>
    <row r="1031" s="79" customFormat="1" ht="15" customHeight="1" x14ac:dyDescent="0.25"/>
    <row r="1032" s="79" customFormat="1" ht="15" customHeight="1" x14ac:dyDescent="0.25"/>
    <row r="1033" s="79" customFormat="1" ht="15" customHeight="1" x14ac:dyDescent="0.25"/>
    <row r="1034" s="79" customFormat="1" ht="15" customHeight="1" x14ac:dyDescent="0.25"/>
    <row r="1035" s="79" customFormat="1" ht="15" customHeight="1" x14ac:dyDescent="0.25"/>
    <row r="1036" s="79" customFormat="1" ht="15" customHeight="1" x14ac:dyDescent="0.25"/>
    <row r="1037" s="79" customFormat="1" ht="15" customHeight="1" x14ac:dyDescent="0.25"/>
    <row r="1038" s="79" customFormat="1" ht="15" customHeight="1" x14ac:dyDescent="0.25"/>
    <row r="1039" s="79" customFormat="1" ht="15" customHeight="1" x14ac:dyDescent="0.25"/>
    <row r="1040" s="79" customFormat="1" ht="15" customHeight="1" x14ac:dyDescent="0.25"/>
    <row r="1041" s="79" customFormat="1" ht="15" customHeight="1" x14ac:dyDescent="0.25"/>
    <row r="1042" s="79" customFormat="1" ht="15" customHeight="1" x14ac:dyDescent="0.25"/>
    <row r="1043" s="79" customFormat="1" ht="15" customHeight="1" x14ac:dyDescent="0.25"/>
    <row r="1044" s="79" customFormat="1" ht="15" customHeight="1" x14ac:dyDescent="0.25"/>
    <row r="1045" s="79" customFormat="1" ht="15" customHeight="1" x14ac:dyDescent="0.25"/>
    <row r="1046" s="79" customFormat="1" ht="15" customHeight="1" x14ac:dyDescent="0.25"/>
    <row r="1047" s="79" customFormat="1" ht="15" customHeight="1" x14ac:dyDescent="0.25"/>
    <row r="1048" s="79" customFormat="1" ht="15" customHeight="1" x14ac:dyDescent="0.25"/>
    <row r="1049" s="79" customFormat="1" ht="15" customHeight="1" x14ac:dyDescent="0.25"/>
    <row r="1050" s="79" customFormat="1" ht="15" customHeight="1" x14ac:dyDescent="0.25"/>
    <row r="1051" s="79" customFormat="1" ht="15" customHeight="1" x14ac:dyDescent="0.25"/>
    <row r="1052" s="79" customFormat="1" ht="15" customHeight="1" x14ac:dyDescent="0.25"/>
    <row r="1053" s="79" customFormat="1" ht="15" customHeight="1" x14ac:dyDescent="0.25"/>
    <row r="1054" s="79" customFormat="1" ht="15" customHeight="1" x14ac:dyDescent="0.25"/>
    <row r="1055" s="79" customFormat="1" ht="15" customHeight="1" x14ac:dyDescent="0.25"/>
    <row r="1056" s="79" customFormat="1" ht="15" customHeight="1" x14ac:dyDescent="0.25"/>
    <row r="1057" s="79" customFormat="1" ht="15" customHeight="1" x14ac:dyDescent="0.25"/>
    <row r="1058" s="79" customFormat="1" ht="15" customHeight="1" x14ac:dyDescent="0.25"/>
    <row r="1059" s="79" customFormat="1" ht="15" customHeight="1" x14ac:dyDescent="0.25"/>
    <row r="1060" s="79" customFormat="1" ht="15" customHeight="1" x14ac:dyDescent="0.25"/>
    <row r="1061" s="79" customFormat="1" ht="15" customHeight="1" x14ac:dyDescent="0.25"/>
    <row r="1062" s="79" customFormat="1" ht="15" customHeight="1" x14ac:dyDescent="0.25"/>
    <row r="1063" s="79" customFormat="1" ht="15" customHeight="1" x14ac:dyDescent="0.25"/>
    <row r="1064" s="79" customFormat="1" ht="15" customHeight="1" x14ac:dyDescent="0.25"/>
    <row r="1065" s="79" customFormat="1" ht="15" customHeight="1" x14ac:dyDescent="0.25"/>
    <row r="1066" s="79" customFormat="1" ht="15" customHeight="1" x14ac:dyDescent="0.25"/>
    <row r="1067" s="79" customFormat="1" ht="15" customHeight="1" x14ac:dyDescent="0.25"/>
    <row r="1068" s="79" customFormat="1" ht="15" customHeight="1" x14ac:dyDescent="0.25"/>
    <row r="1069" s="79" customFormat="1" ht="15" customHeight="1" x14ac:dyDescent="0.25"/>
    <row r="1070" s="79" customFormat="1" ht="15" customHeight="1" x14ac:dyDescent="0.25"/>
    <row r="1071" s="79" customFormat="1" ht="15" customHeight="1" x14ac:dyDescent="0.25"/>
    <row r="1072" s="79" customFormat="1" ht="15" customHeight="1" x14ac:dyDescent="0.25"/>
    <row r="1073" s="79" customFormat="1" ht="15" customHeight="1" x14ac:dyDescent="0.25"/>
    <row r="1074" s="79" customFormat="1" ht="15" customHeight="1" x14ac:dyDescent="0.25"/>
    <row r="1075" s="79" customFormat="1" ht="15" customHeight="1" x14ac:dyDescent="0.25"/>
    <row r="1076" s="79" customFormat="1" ht="15" customHeight="1" x14ac:dyDescent="0.25"/>
    <row r="1077" s="79" customFormat="1" ht="15" customHeight="1" x14ac:dyDescent="0.25"/>
    <row r="1078" s="79" customFormat="1" ht="15" customHeight="1" x14ac:dyDescent="0.25"/>
    <row r="1079" s="79" customFormat="1" ht="15" customHeight="1" x14ac:dyDescent="0.25"/>
    <row r="1080" s="79" customFormat="1" ht="15" customHeight="1" x14ac:dyDescent="0.25"/>
    <row r="1081" s="79" customFormat="1" ht="15" customHeight="1" x14ac:dyDescent="0.25"/>
    <row r="1082" s="79" customFormat="1" ht="15" customHeight="1" x14ac:dyDescent="0.25"/>
    <row r="1083" s="79" customFormat="1" ht="15" customHeight="1" x14ac:dyDescent="0.25"/>
    <row r="1084" s="79" customFormat="1" ht="15" customHeight="1" x14ac:dyDescent="0.25"/>
    <row r="1085" s="79" customFormat="1" ht="15" customHeight="1" x14ac:dyDescent="0.25"/>
    <row r="1086" s="79" customFormat="1" ht="15" customHeight="1" x14ac:dyDescent="0.25"/>
    <row r="1087" s="79" customFormat="1" ht="15" customHeight="1" x14ac:dyDescent="0.25"/>
    <row r="1088" s="79" customFormat="1" ht="15" customHeight="1" x14ac:dyDescent="0.25"/>
    <row r="1089" s="79" customFormat="1" ht="15" customHeight="1" x14ac:dyDescent="0.25"/>
    <row r="1090" s="79" customFormat="1" ht="15" customHeight="1" x14ac:dyDescent="0.25"/>
    <row r="1091" s="79" customFormat="1" ht="15" customHeight="1" x14ac:dyDescent="0.25"/>
    <row r="1092" s="79" customFormat="1" ht="15" customHeight="1" x14ac:dyDescent="0.25"/>
    <row r="1093" s="79" customFormat="1" ht="15" customHeight="1" x14ac:dyDescent="0.25"/>
    <row r="1094" s="79" customFormat="1" ht="15" customHeight="1" x14ac:dyDescent="0.25"/>
    <row r="1095" s="79" customFormat="1" ht="15" customHeight="1" x14ac:dyDescent="0.25"/>
    <row r="1096" s="79" customFormat="1" ht="15" customHeight="1" x14ac:dyDescent="0.25"/>
    <row r="1097" s="79" customFormat="1" ht="15" customHeight="1" x14ac:dyDescent="0.25"/>
    <row r="1098" s="79" customFormat="1" ht="15" customHeight="1" x14ac:dyDescent="0.25"/>
    <row r="1099" s="79" customFormat="1" ht="15" customHeight="1" x14ac:dyDescent="0.25"/>
    <row r="1100" s="79" customFormat="1" ht="15" customHeight="1" x14ac:dyDescent="0.25"/>
    <row r="1101" s="79" customFormat="1" ht="15" customHeight="1" x14ac:dyDescent="0.25"/>
    <row r="1102" s="79" customFormat="1" ht="15" customHeight="1" x14ac:dyDescent="0.25"/>
    <row r="1103" s="79" customFormat="1" ht="15" customHeight="1" x14ac:dyDescent="0.25"/>
    <row r="1104" s="79" customFormat="1" ht="15" customHeight="1" x14ac:dyDescent="0.25"/>
    <row r="1105" s="79" customFormat="1" ht="15" customHeight="1" x14ac:dyDescent="0.25"/>
    <row r="1106" s="79" customFormat="1" ht="15" customHeight="1" x14ac:dyDescent="0.25"/>
    <row r="1107" s="79" customFormat="1" ht="15" customHeight="1" x14ac:dyDescent="0.25"/>
    <row r="1108" s="79" customFormat="1" ht="15" customHeight="1" x14ac:dyDescent="0.25"/>
    <row r="1109" s="79" customFormat="1" ht="15" customHeight="1" x14ac:dyDescent="0.25"/>
    <row r="1110" s="79" customFormat="1" ht="15" customHeight="1" x14ac:dyDescent="0.25"/>
    <row r="1111" s="79" customFormat="1" ht="15" customHeight="1" x14ac:dyDescent="0.25"/>
    <row r="1112" s="79" customFormat="1" ht="15" customHeight="1" x14ac:dyDescent="0.25"/>
    <row r="1113" s="79" customFormat="1" ht="15" customHeight="1" x14ac:dyDescent="0.25"/>
    <row r="1114" s="79" customFormat="1" ht="15" customHeight="1" x14ac:dyDescent="0.25"/>
    <row r="1115" s="79" customFormat="1" ht="15" customHeight="1" x14ac:dyDescent="0.25"/>
    <row r="1116" s="79" customFormat="1" ht="15" customHeight="1" x14ac:dyDescent="0.25"/>
    <row r="1117" s="79" customFormat="1" ht="15" customHeight="1" x14ac:dyDescent="0.25"/>
    <row r="1118" s="79" customFormat="1" ht="15" customHeight="1" x14ac:dyDescent="0.25"/>
    <row r="1119" s="79" customFormat="1" ht="15" customHeight="1" x14ac:dyDescent="0.25"/>
    <row r="1120" s="79" customFormat="1" ht="15" customHeight="1" x14ac:dyDescent="0.25"/>
    <row r="1121" s="79" customFormat="1" ht="15" customHeight="1" x14ac:dyDescent="0.25"/>
    <row r="1122" s="79" customFormat="1" ht="15" customHeight="1" x14ac:dyDescent="0.25"/>
    <row r="1123" s="79" customFormat="1" ht="15" customHeight="1" x14ac:dyDescent="0.25"/>
    <row r="1124" s="79" customFormat="1" ht="15" customHeight="1" x14ac:dyDescent="0.25"/>
    <row r="1125" s="79" customFormat="1" ht="15" customHeight="1" x14ac:dyDescent="0.25"/>
    <row r="1126" s="79" customFormat="1" ht="15" customHeight="1" x14ac:dyDescent="0.25"/>
    <row r="1127" s="79" customFormat="1" ht="15" customHeight="1" x14ac:dyDescent="0.25"/>
    <row r="1128" s="79" customFormat="1" ht="15" customHeight="1" x14ac:dyDescent="0.25"/>
    <row r="1129" s="79" customFormat="1" ht="15" customHeight="1" x14ac:dyDescent="0.25"/>
    <row r="1130" s="79" customFormat="1" ht="15" customHeight="1" x14ac:dyDescent="0.25"/>
    <row r="1131" s="79" customFormat="1" ht="15" customHeight="1" x14ac:dyDescent="0.25"/>
    <row r="1132" s="79" customFormat="1" ht="15" customHeight="1" x14ac:dyDescent="0.25"/>
    <row r="1133" s="79" customFormat="1" ht="15" customHeight="1" x14ac:dyDescent="0.25"/>
    <row r="1134" s="79" customFormat="1" ht="15" customHeight="1" x14ac:dyDescent="0.25"/>
    <row r="1135" s="79" customFormat="1" ht="15" customHeight="1" x14ac:dyDescent="0.25"/>
    <row r="1136" s="79" customFormat="1" ht="15" customHeight="1" x14ac:dyDescent="0.25"/>
    <row r="1137" s="79" customFormat="1" ht="15" customHeight="1" x14ac:dyDescent="0.25"/>
    <row r="1138" s="79" customFormat="1" ht="15" customHeight="1" x14ac:dyDescent="0.25"/>
    <row r="1139" s="79" customFormat="1" ht="15" customHeight="1" x14ac:dyDescent="0.25"/>
    <row r="1140" s="79" customFormat="1" ht="15" customHeight="1" x14ac:dyDescent="0.25"/>
    <row r="1141" s="79" customFormat="1" ht="15" customHeight="1" x14ac:dyDescent="0.25"/>
    <row r="1142" s="79" customFormat="1" ht="15" customHeight="1" x14ac:dyDescent="0.25"/>
    <row r="1143" s="79" customFormat="1" ht="15" customHeight="1" x14ac:dyDescent="0.25"/>
    <row r="1144" s="79" customFormat="1" ht="15" customHeight="1" x14ac:dyDescent="0.25"/>
    <row r="1145" s="79" customFormat="1" ht="15" customHeight="1" x14ac:dyDescent="0.25"/>
    <row r="1146" s="79" customFormat="1" ht="15" customHeight="1" x14ac:dyDescent="0.25"/>
    <row r="1147" s="79" customFormat="1" ht="15" customHeight="1" x14ac:dyDescent="0.25"/>
    <row r="1148" s="79" customFormat="1" ht="15" customHeight="1" x14ac:dyDescent="0.25"/>
    <row r="1149" s="79" customFormat="1" ht="15" customHeight="1" x14ac:dyDescent="0.25"/>
    <row r="1150" s="79" customFormat="1" ht="15" customHeight="1" x14ac:dyDescent="0.25"/>
    <row r="1151" s="79" customFormat="1" ht="15" customHeight="1" x14ac:dyDescent="0.25"/>
    <row r="1152" s="79" customFormat="1" ht="15" customHeight="1" x14ac:dyDescent="0.25"/>
    <row r="1153" s="79" customFormat="1" ht="15" customHeight="1" x14ac:dyDescent="0.25"/>
    <row r="1154" s="79" customFormat="1" ht="15" customHeight="1" x14ac:dyDescent="0.25"/>
    <row r="1155" s="79" customFormat="1" ht="15" customHeight="1" x14ac:dyDescent="0.25"/>
    <row r="1156" s="79" customFormat="1" ht="15" customHeight="1" x14ac:dyDescent="0.25"/>
    <row r="1157" s="79" customFormat="1" ht="15" customHeight="1" x14ac:dyDescent="0.25"/>
    <row r="1158" s="79" customFormat="1" ht="15" customHeight="1" x14ac:dyDescent="0.25"/>
    <row r="1159" s="79" customFormat="1" ht="15" customHeight="1" x14ac:dyDescent="0.25"/>
    <row r="1160" s="79" customFormat="1" ht="15" customHeight="1" x14ac:dyDescent="0.25"/>
    <row r="1161" s="79" customFormat="1" ht="15" customHeight="1" x14ac:dyDescent="0.25"/>
    <row r="1162" s="79" customFormat="1" ht="15" customHeight="1" x14ac:dyDescent="0.25"/>
    <row r="1163" s="79" customFormat="1" ht="15" customHeight="1" x14ac:dyDescent="0.25"/>
    <row r="1164" s="79" customFormat="1" ht="15" customHeight="1" x14ac:dyDescent="0.25"/>
    <row r="1165" s="79" customFormat="1" ht="15" customHeight="1" x14ac:dyDescent="0.25"/>
    <row r="1166" s="79" customFormat="1" ht="15" customHeight="1" x14ac:dyDescent="0.25"/>
    <row r="1167" s="79" customFormat="1" ht="15" customHeight="1" x14ac:dyDescent="0.25"/>
    <row r="1168" s="79" customFormat="1" ht="15" customHeight="1" x14ac:dyDescent="0.25"/>
    <row r="1169" s="79" customFormat="1" ht="15" customHeight="1" x14ac:dyDescent="0.25"/>
    <row r="1170" s="79" customFormat="1" ht="15" customHeight="1" x14ac:dyDescent="0.25"/>
    <row r="1171" s="79" customFormat="1" ht="15" customHeight="1" x14ac:dyDescent="0.25"/>
    <row r="1172" s="79" customFormat="1" ht="15" customHeight="1" x14ac:dyDescent="0.25"/>
    <row r="1173" s="79" customFormat="1" ht="15" customHeight="1" x14ac:dyDescent="0.25"/>
    <row r="1174" s="79" customFormat="1" ht="15" customHeight="1" x14ac:dyDescent="0.25"/>
    <row r="1175" s="79" customFormat="1" ht="15" customHeight="1" x14ac:dyDescent="0.25"/>
    <row r="1176" s="79" customFormat="1" ht="15" customHeight="1" x14ac:dyDescent="0.25"/>
    <row r="1177" s="79" customFormat="1" ht="15" customHeight="1" x14ac:dyDescent="0.25"/>
    <row r="1178" s="79" customFormat="1" ht="15" customHeight="1" x14ac:dyDescent="0.25"/>
    <row r="1179" s="79" customFormat="1" ht="15" customHeight="1" x14ac:dyDescent="0.25"/>
    <row r="1180" s="79" customFormat="1" ht="15" customHeight="1" x14ac:dyDescent="0.25"/>
    <row r="1181" s="79" customFormat="1" ht="15" customHeight="1" x14ac:dyDescent="0.25"/>
    <row r="1182" s="79" customFormat="1" ht="15" customHeight="1" x14ac:dyDescent="0.25"/>
    <row r="1183" s="79" customFormat="1" ht="15" customHeight="1" x14ac:dyDescent="0.25"/>
    <row r="1184" s="79" customFormat="1" ht="15" customHeight="1" x14ac:dyDescent="0.25"/>
    <row r="1185" s="79" customFormat="1" ht="15" customHeight="1" x14ac:dyDescent="0.25"/>
    <row r="1186" s="79" customFormat="1" ht="15" customHeight="1" x14ac:dyDescent="0.25"/>
    <row r="1187" s="79" customFormat="1" ht="15" customHeight="1" x14ac:dyDescent="0.25"/>
    <row r="1188" s="79" customFormat="1" ht="15" customHeight="1" x14ac:dyDescent="0.25"/>
    <row r="1189" s="79" customFormat="1" ht="15" customHeight="1" x14ac:dyDescent="0.25"/>
    <row r="1190" s="79" customFormat="1" ht="15" customHeight="1" x14ac:dyDescent="0.25"/>
    <row r="1191" s="79" customFormat="1" ht="15" customHeight="1" x14ac:dyDescent="0.25"/>
    <row r="1192" s="79" customFormat="1" ht="15" customHeight="1" x14ac:dyDescent="0.25"/>
    <row r="1193" s="79" customFormat="1" ht="15" customHeight="1" x14ac:dyDescent="0.25"/>
    <row r="1194" s="79" customFormat="1" ht="15" customHeight="1" x14ac:dyDescent="0.25"/>
    <row r="1195" s="79" customFormat="1" ht="15" customHeight="1" x14ac:dyDescent="0.25"/>
    <row r="1196" s="79" customFormat="1" ht="15" customHeight="1" x14ac:dyDescent="0.25"/>
    <row r="1197" s="79" customFormat="1" ht="15" customHeight="1" x14ac:dyDescent="0.25"/>
    <row r="1198" s="79" customFormat="1" ht="15" customHeight="1" x14ac:dyDescent="0.25"/>
    <row r="1199" s="79" customFormat="1" ht="15" customHeight="1" x14ac:dyDescent="0.25"/>
    <row r="1200" s="79" customFormat="1" ht="15" customHeight="1" x14ac:dyDescent="0.25"/>
    <row r="1201" s="79" customFormat="1" ht="15" customHeight="1" x14ac:dyDescent="0.25"/>
    <row r="1202" s="79" customFormat="1" ht="15" customHeight="1" x14ac:dyDescent="0.25"/>
    <row r="1203" s="79" customFormat="1" ht="15" customHeight="1" x14ac:dyDescent="0.25"/>
    <row r="1204" s="79" customFormat="1" ht="15" customHeight="1" x14ac:dyDescent="0.25"/>
    <row r="1205" s="79" customFormat="1" ht="15" customHeight="1" x14ac:dyDescent="0.25"/>
    <row r="1206" s="79" customFormat="1" ht="15" customHeight="1" x14ac:dyDescent="0.25"/>
    <row r="1207" s="79" customFormat="1" ht="15" customHeight="1" x14ac:dyDescent="0.25"/>
    <row r="1208" s="79" customFormat="1" ht="15" customHeight="1" x14ac:dyDescent="0.25"/>
    <row r="1209" s="79" customFormat="1" ht="15" customHeight="1" x14ac:dyDescent="0.25"/>
    <row r="1210" s="79" customFormat="1" ht="15" customHeight="1" x14ac:dyDescent="0.25"/>
    <row r="1211" s="79" customFormat="1" ht="15" customHeight="1" x14ac:dyDescent="0.25"/>
    <row r="1212" s="79" customFormat="1" ht="15" customHeight="1" x14ac:dyDescent="0.25"/>
    <row r="1213" s="79" customFormat="1" ht="15" customHeight="1" x14ac:dyDescent="0.25"/>
    <row r="1214" s="79" customFormat="1" ht="15" customHeight="1" x14ac:dyDescent="0.25"/>
    <row r="1215" s="79" customFormat="1" ht="15" customHeight="1" x14ac:dyDescent="0.25"/>
    <row r="1216" s="79" customFormat="1" ht="15" customHeight="1" x14ac:dyDescent="0.25"/>
    <row r="1217" s="79" customFormat="1" ht="15" customHeight="1" x14ac:dyDescent="0.25"/>
    <row r="1218" s="79" customFormat="1" ht="15" customHeight="1" x14ac:dyDescent="0.25"/>
    <row r="1219" s="79" customFormat="1" ht="15" customHeight="1" x14ac:dyDescent="0.25"/>
    <row r="1220" s="79" customFormat="1" ht="15" customHeight="1" x14ac:dyDescent="0.25"/>
    <row r="1221" s="79" customFormat="1" ht="15" customHeight="1" x14ac:dyDescent="0.25"/>
    <row r="1222" s="79" customFormat="1" ht="15" customHeight="1" x14ac:dyDescent="0.25"/>
    <row r="1223" s="79" customFormat="1" ht="15" customHeight="1" x14ac:dyDescent="0.25"/>
    <row r="1224" s="79" customFormat="1" ht="15" customHeight="1" x14ac:dyDescent="0.25"/>
    <row r="1225" s="79" customFormat="1" ht="15" customHeight="1" x14ac:dyDescent="0.25"/>
    <row r="1226" s="79" customFormat="1" ht="15" customHeight="1" x14ac:dyDescent="0.25"/>
    <row r="1227" s="79" customFormat="1" ht="15" customHeight="1" x14ac:dyDescent="0.25"/>
    <row r="1228" s="79" customFormat="1" ht="15" customHeight="1" x14ac:dyDescent="0.25"/>
    <row r="1229" s="79" customFormat="1" ht="15" customHeight="1" x14ac:dyDescent="0.25"/>
    <row r="1230" s="79" customFormat="1" ht="15" customHeight="1" x14ac:dyDescent="0.25"/>
    <row r="1231" s="79" customFormat="1" ht="15" customHeight="1" x14ac:dyDescent="0.25"/>
    <row r="1232" s="79" customFormat="1" ht="15" customHeight="1" x14ac:dyDescent="0.25"/>
    <row r="1233" s="79" customFormat="1" ht="15" customHeight="1" x14ac:dyDescent="0.25"/>
    <row r="1234" s="79" customFormat="1" ht="15" customHeight="1" x14ac:dyDescent="0.25"/>
    <row r="1235" s="79" customFormat="1" ht="15" customHeight="1" x14ac:dyDescent="0.25"/>
    <row r="1236" s="79" customFormat="1" ht="15" customHeight="1" x14ac:dyDescent="0.25"/>
    <row r="1237" s="79" customFormat="1" ht="15" customHeight="1" x14ac:dyDescent="0.25"/>
    <row r="1238" s="79" customFormat="1" ht="15" customHeight="1" x14ac:dyDescent="0.25"/>
    <row r="1239" s="79" customFormat="1" ht="15" customHeight="1" x14ac:dyDescent="0.25"/>
    <row r="1240" s="79" customFormat="1" ht="15" customHeight="1" x14ac:dyDescent="0.25"/>
    <row r="1241" s="79" customFormat="1" ht="15" customHeight="1" x14ac:dyDescent="0.25"/>
    <row r="1242" s="79" customFormat="1" ht="15" customHeight="1" x14ac:dyDescent="0.25"/>
    <row r="1243" s="79" customFormat="1" ht="15" customHeight="1" x14ac:dyDescent="0.25"/>
    <row r="1244" s="79" customFormat="1" ht="15" customHeight="1" x14ac:dyDescent="0.25"/>
    <row r="1245" s="79" customFormat="1" ht="15" customHeight="1" x14ac:dyDescent="0.25"/>
    <row r="1246" s="79" customFormat="1" ht="15" customHeight="1" x14ac:dyDescent="0.25"/>
    <row r="1247" s="79" customFormat="1" ht="15" customHeight="1" x14ac:dyDescent="0.25"/>
    <row r="1248" s="79" customFormat="1" ht="15" customHeight="1" x14ac:dyDescent="0.25"/>
    <row r="1249" s="79" customFormat="1" ht="15" customHeight="1" x14ac:dyDescent="0.25"/>
    <row r="1250" s="79" customFormat="1" ht="15" customHeight="1" x14ac:dyDescent="0.25"/>
    <row r="1251" s="79" customFormat="1" ht="15" customHeight="1" x14ac:dyDescent="0.25"/>
    <row r="1252" s="79" customFormat="1" ht="15" customHeight="1" x14ac:dyDescent="0.25"/>
    <row r="1253" s="79" customFormat="1" ht="15" customHeight="1" x14ac:dyDescent="0.25"/>
    <row r="1254" s="79" customFormat="1" ht="15" customHeight="1" x14ac:dyDescent="0.25"/>
    <row r="1255" s="79" customFormat="1" ht="15" customHeight="1" x14ac:dyDescent="0.25"/>
    <row r="1256" s="79" customFormat="1" ht="15" customHeight="1" x14ac:dyDescent="0.25"/>
    <row r="1257" s="79" customFormat="1" ht="15" customHeight="1" x14ac:dyDescent="0.25"/>
    <row r="1258" s="79" customFormat="1" ht="15" customHeight="1" x14ac:dyDescent="0.25"/>
    <row r="1259" s="79" customFormat="1" ht="15" customHeight="1" x14ac:dyDescent="0.25"/>
    <row r="1260" s="79" customFormat="1" ht="15" customHeight="1" x14ac:dyDescent="0.25"/>
    <row r="1261" s="79" customFormat="1" ht="15" customHeight="1" x14ac:dyDescent="0.25"/>
    <row r="1262" s="79" customFormat="1" ht="15" customHeight="1" x14ac:dyDescent="0.25"/>
    <row r="1263" s="79" customFormat="1" ht="15" customHeight="1" x14ac:dyDescent="0.25"/>
    <row r="1264" s="79" customFormat="1" ht="15" customHeight="1" x14ac:dyDescent="0.25"/>
    <row r="1265" s="79" customFormat="1" ht="15" customHeight="1" x14ac:dyDescent="0.25"/>
    <row r="1266" s="79" customFormat="1" ht="15" customHeight="1" x14ac:dyDescent="0.25"/>
    <row r="1267" s="79" customFormat="1" ht="15" customHeight="1" x14ac:dyDescent="0.25"/>
    <row r="1268" s="79" customFormat="1" ht="15" customHeight="1" x14ac:dyDescent="0.25"/>
    <row r="1269" s="79" customFormat="1" ht="15" customHeight="1" x14ac:dyDescent="0.25"/>
    <row r="1270" s="79" customFormat="1" ht="15" customHeight="1" x14ac:dyDescent="0.25"/>
    <row r="1271" s="79" customFormat="1" ht="15" customHeight="1" x14ac:dyDescent="0.25"/>
    <row r="1272" s="79" customFormat="1" ht="15" customHeight="1" x14ac:dyDescent="0.25"/>
    <row r="1273" s="79" customFormat="1" ht="15" customHeight="1" x14ac:dyDescent="0.25"/>
    <row r="1274" s="79" customFormat="1" ht="15" customHeight="1" x14ac:dyDescent="0.25"/>
    <row r="1275" s="79" customFormat="1" ht="15" customHeight="1" x14ac:dyDescent="0.25"/>
    <row r="1276" s="79" customFormat="1" ht="15" customHeight="1" x14ac:dyDescent="0.25"/>
    <row r="1277" s="79" customFormat="1" ht="15" customHeight="1" x14ac:dyDescent="0.25"/>
    <row r="1278" s="79" customFormat="1" ht="15" customHeight="1" x14ac:dyDescent="0.25"/>
    <row r="1279" s="79" customFormat="1" ht="15" customHeight="1" x14ac:dyDescent="0.25"/>
    <row r="1280" s="79" customFormat="1" ht="15" customHeight="1" x14ac:dyDescent="0.25"/>
    <row r="1281" s="79" customFormat="1" ht="15" customHeight="1" x14ac:dyDescent="0.25"/>
    <row r="1282" s="79" customFormat="1" ht="15" customHeight="1" x14ac:dyDescent="0.25"/>
    <row r="1283" s="79" customFormat="1" ht="15" customHeight="1" x14ac:dyDescent="0.25"/>
    <row r="1284" s="79" customFormat="1" ht="15" customHeight="1" x14ac:dyDescent="0.25"/>
    <row r="1285" s="79" customFormat="1" ht="15" customHeight="1" x14ac:dyDescent="0.25"/>
    <row r="1286" s="79" customFormat="1" ht="15" customHeight="1" x14ac:dyDescent="0.25"/>
    <row r="1287" s="79" customFormat="1" ht="15" customHeight="1" x14ac:dyDescent="0.25"/>
    <row r="1288" s="79" customFormat="1" ht="15" customHeight="1" x14ac:dyDescent="0.25"/>
    <row r="1289" s="79" customFormat="1" ht="15" customHeight="1" x14ac:dyDescent="0.25"/>
    <row r="1290" s="79" customFormat="1" ht="15" customHeight="1" x14ac:dyDescent="0.25"/>
    <row r="1291" s="79" customFormat="1" ht="15" customHeight="1" x14ac:dyDescent="0.25"/>
    <row r="1292" s="79" customFormat="1" ht="15" customHeight="1" x14ac:dyDescent="0.25"/>
    <row r="1293" s="79" customFormat="1" ht="15" customHeight="1" x14ac:dyDescent="0.25"/>
    <row r="1294" s="79" customFormat="1" ht="15" customHeight="1" x14ac:dyDescent="0.25"/>
    <row r="1295" s="79" customFormat="1" ht="15" customHeight="1" x14ac:dyDescent="0.25"/>
    <row r="1296" s="79" customFormat="1" ht="15" customHeight="1" x14ac:dyDescent="0.25"/>
    <row r="1297" s="79" customFormat="1" ht="15" customHeight="1" x14ac:dyDescent="0.25"/>
    <row r="1298" s="79" customFormat="1" ht="15" customHeight="1" x14ac:dyDescent="0.25"/>
    <row r="1299" s="79" customFormat="1" ht="15" customHeight="1" x14ac:dyDescent="0.25"/>
    <row r="1300" s="79" customFormat="1" ht="15" customHeight="1" x14ac:dyDescent="0.25"/>
    <row r="1301" s="79" customFormat="1" ht="15" customHeight="1" x14ac:dyDescent="0.25"/>
    <row r="1302" s="79" customFormat="1" ht="15" customHeight="1" x14ac:dyDescent="0.25"/>
    <row r="1303" s="79" customFormat="1" ht="15" customHeight="1" x14ac:dyDescent="0.25"/>
    <row r="1304" s="79" customFormat="1" ht="15" customHeight="1" x14ac:dyDescent="0.25"/>
    <row r="1305" s="79" customFormat="1" ht="15" customHeight="1" x14ac:dyDescent="0.25"/>
    <row r="1306" s="79" customFormat="1" ht="15" customHeight="1" x14ac:dyDescent="0.25"/>
    <row r="1307" s="79" customFormat="1" ht="15" customHeight="1" x14ac:dyDescent="0.25"/>
    <row r="1308" s="79" customFormat="1" ht="15" customHeight="1" x14ac:dyDescent="0.25"/>
    <row r="1309" s="79" customFormat="1" ht="15" customHeight="1" x14ac:dyDescent="0.25"/>
    <row r="1310" s="79" customFormat="1" ht="15" customHeight="1" x14ac:dyDescent="0.25"/>
    <row r="1311" s="79" customFormat="1" ht="15" customHeight="1" x14ac:dyDescent="0.25"/>
    <row r="1312" s="79" customFormat="1" ht="15" customHeight="1" x14ac:dyDescent="0.25"/>
    <row r="1313" s="79" customFormat="1" ht="15" customHeight="1" x14ac:dyDescent="0.25"/>
    <row r="1314" s="79" customFormat="1" ht="15" customHeight="1" x14ac:dyDescent="0.25"/>
    <row r="1315" s="79" customFormat="1" ht="15" customHeight="1" x14ac:dyDescent="0.25"/>
    <row r="1316" s="79" customFormat="1" ht="15" customHeight="1" x14ac:dyDescent="0.25"/>
    <row r="1317" s="79" customFormat="1" ht="15" customHeight="1" x14ac:dyDescent="0.25"/>
    <row r="1318" s="79" customFormat="1" ht="15" customHeight="1" x14ac:dyDescent="0.25"/>
    <row r="1319" s="79" customFormat="1" ht="15" customHeight="1" x14ac:dyDescent="0.25"/>
    <row r="1320" s="79" customFormat="1" ht="15" customHeight="1" x14ac:dyDescent="0.25"/>
    <row r="1321" s="79" customFormat="1" ht="15" customHeight="1" x14ac:dyDescent="0.25"/>
    <row r="1322" s="79" customFormat="1" ht="15" customHeight="1" x14ac:dyDescent="0.25"/>
    <row r="1323" s="79" customFormat="1" ht="15" customHeight="1" x14ac:dyDescent="0.25"/>
    <row r="1324" s="79" customFormat="1" ht="15" customHeight="1" x14ac:dyDescent="0.25"/>
    <row r="1325" s="79" customFormat="1" ht="15" customHeight="1" x14ac:dyDescent="0.25"/>
    <row r="1326" s="79" customFormat="1" ht="15" customHeight="1" x14ac:dyDescent="0.25"/>
    <row r="1327" s="79" customFormat="1" ht="15" customHeight="1" x14ac:dyDescent="0.25"/>
    <row r="1328" s="79" customFormat="1" ht="15" customHeight="1" x14ac:dyDescent="0.25"/>
    <row r="1329" s="79" customFormat="1" ht="15" customHeight="1" x14ac:dyDescent="0.25"/>
    <row r="1330" s="79" customFormat="1" ht="15" customHeight="1" x14ac:dyDescent="0.25"/>
    <row r="1331" s="79" customFormat="1" ht="15" customHeight="1" x14ac:dyDescent="0.25"/>
    <row r="1332" s="79" customFormat="1" ht="15" customHeight="1" x14ac:dyDescent="0.25"/>
    <row r="1333" s="79" customFormat="1" ht="15" customHeight="1" x14ac:dyDescent="0.25"/>
    <row r="1334" s="79" customFormat="1" ht="15" customHeight="1" x14ac:dyDescent="0.25"/>
    <row r="1335" s="79" customFormat="1" ht="15" customHeight="1" x14ac:dyDescent="0.25"/>
    <row r="1336" s="79" customFormat="1" ht="15" customHeight="1" x14ac:dyDescent="0.25"/>
    <row r="1337" s="79" customFormat="1" ht="15" customHeight="1" x14ac:dyDescent="0.25"/>
    <row r="1338" s="79" customFormat="1" ht="15" customHeight="1" x14ac:dyDescent="0.25"/>
    <row r="1339" s="79" customFormat="1" ht="15" customHeight="1" x14ac:dyDescent="0.25"/>
    <row r="1340" s="79" customFormat="1" ht="15" customHeight="1" x14ac:dyDescent="0.25"/>
    <row r="1341" s="79" customFormat="1" ht="15" customHeight="1" x14ac:dyDescent="0.25"/>
    <row r="1342" s="79" customFormat="1" ht="15" customHeight="1" x14ac:dyDescent="0.25"/>
    <row r="1343" s="79" customFormat="1" ht="15" customHeight="1" x14ac:dyDescent="0.25"/>
    <row r="1344" s="79" customFormat="1" ht="15" customHeight="1" x14ac:dyDescent="0.25"/>
    <row r="1345" s="79" customFormat="1" ht="15" customHeight="1" x14ac:dyDescent="0.25"/>
    <row r="1346" s="79" customFormat="1" ht="15" customHeight="1" x14ac:dyDescent="0.25"/>
    <row r="1347" s="79" customFormat="1" ht="15" customHeight="1" x14ac:dyDescent="0.25"/>
    <row r="1348" s="79" customFormat="1" ht="15" customHeight="1" x14ac:dyDescent="0.25"/>
    <row r="1349" s="79" customFormat="1" ht="15" customHeight="1" x14ac:dyDescent="0.25"/>
    <row r="1350" s="79" customFormat="1" ht="15" customHeight="1" x14ac:dyDescent="0.25"/>
    <row r="1351" s="79" customFormat="1" ht="15" customHeight="1" x14ac:dyDescent="0.25"/>
    <row r="1352" s="79" customFormat="1" ht="15" customHeight="1" x14ac:dyDescent="0.25"/>
    <row r="1353" s="79" customFormat="1" ht="15" customHeight="1" x14ac:dyDescent="0.25"/>
    <row r="1354" s="79" customFormat="1" ht="15" customHeight="1" x14ac:dyDescent="0.25"/>
    <row r="1355" s="79" customFormat="1" ht="15" customHeight="1" x14ac:dyDescent="0.25"/>
    <row r="1356" s="79" customFormat="1" ht="15" customHeight="1" x14ac:dyDescent="0.25"/>
    <row r="1357" s="79" customFormat="1" ht="15" customHeight="1" x14ac:dyDescent="0.25"/>
    <row r="1358" s="79" customFormat="1" ht="15" customHeight="1" x14ac:dyDescent="0.25"/>
    <row r="1359" s="79" customFormat="1" ht="15" customHeight="1" x14ac:dyDescent="0.25"/>
    <row r="1360" s="79" customFormat="1" ht="15" customHeight="1" x14ac:dyDescent="0.25"/>
    <row r="1361" s="79" customFormat="1" ht="15" customHeight="1" x14ac:dyDescent="0.25"/>
    <row r="1362" s="79" customFormat="1" ht="15" customHeight="1" x14ac:dyDescent="0.25"/>
    <row r="1363" s="79" customFormat="1" ht="15" customHeight="1" x14ac:dyDescent="0.25"/>
    <row r="1364" s="79" customFormat="1" ht="15" customHeight="1" x14ac:dyDescent="0.25"/>
    <row r="1365" s="79" customFormat="1" ht="15" customHeight="1" x14ac:dyDescent="0.25"/>
    <row r="1366" s="79" customFormat="1" ht="15" customHeight="1" x14ac:dyDescent="0.25"/>
    <row r="1367" s="79" customFormat="1" ht="15" customHeight="1" x14ac:dyDescent="0.25"/>
    <row r="1368" s="79" customFormat="1" ht="15" customHeight="1" x14ac:dyDescent="0.25"/>
    <row r="1369" s="79" customFormat="1" ht="15" customHeight="1" x14ac:dyDescent="0.25"/>
    <row r="1370" s="79" customFormat="1" ht="15" customHeight="1" x14ac:dyDescent="0.25"/>
    <row r="1371" s="79" customFormat="1" ht="15" customHeight="1" x14ac:dyDescent="0.25"/>
    <row r="1372" s="79" customFormat="1" ht="15" customHeight="1" x14ac:dyDescent="0.25"/>
    <row r="1373" s="79" customFormat="1" ht="15" customHeight="1" x14ac:dyDescent="0.25"/>
    <row r="1374" s="79" customFormat="1" ht="15" customHeight="1" x14ac:dyDescent="0.25"/>
    <row r="1375" s="79" customFormat="1" ht="15" customHeight="1" x14ac:dyDescent="0.25"/>
    <row r="1376" s="79" customFormat="1" ht="15" customHeight="1" x14ac:dyDescent="0.25"/>
    <row r="1377" s="79" customFormat="1" ht="15" customHeight="1" x14ac:dyDescent="0.25"/>
    <row r="1378" s="79" customFormat="1" ht="15" customHeight="1" x14ac:dyDescent="0.25"/>
    <row r="1379" s="79" customFormat="1" ht="15" customHeight="1" x14ac:dyDescent="0.25"/>
    <row r="1380" s="79" customFormat="1" ht="15" customHeight="1" x14ac:dyDescent="0.25"/>
    <row r="1381" s="79" customFormat="1" ht="15" customHeight="1" x14ac:dyDescent="0.25"/>
    <row r="1382" s="79" customFormat="1" ht="15" customHeight="1" x14ac:dyDescent="0.25"/>
    <row r="1383" s="79" customFormat="1" ht="15" customHeight="1" x14ac:dyDescent="0.25"/>
    <row r="1384" s="79" customFormat="1" ht="15" customHeight="1" x14ac:dyDescent="0.25"/>
    <row r="1385" s="79" customFormat="1" ht="15" customHeight="1" x14ac:dyDescent="0.25"/>
    <row r="1386" s="79" customFormat="1" ht="15" customHeight="1" x14ac:dyDescent="0.25"/>
    <row r="1387" s="79" customFormat="1" ht="15" customHeight="1" x14ac:dyDescent="0.25"/>
    <row r="1388" s="79" customFormat="1" ht="15" customHeight="1" x14ac:dyDescent="0.25"/>
    <row r="1389" s="79" customFormat="1" ht="15" customHeight="1" x14ac:dyDescent="0.25"/>
    <row r="1390" s="79" customFormat="1" ht="15" customHeight="1" x14ac:dyDescent="0.25"/>
    <row r="1391" s="79" customFormat="1" ht="15" customHeight="1" x14ac:dyDescent="0.25"/>
    <row r="1392" s="79" customFormat="1" ht="15" customHeight="1" x14ac:dyDescent="0.25"/>
    <row r="1393" s="79" customFormat="1" ht="15" customHeight="1" x14ac:dyDescent="0.25"/>
    <row r="1394" s="79" customFormat="1" ht="15" customHeight="1" x14ac:dyDescent="0.25"/>
    <row r="1395" s="79" customFormat="1" ht="15" customHeight="1" x14ac:dyDescent="0.25"/>
    <row r="1396" s="79" customFormat="1" ht="15" customHeight="1" x14ac:dyDescent="0.25"/>
    <row r="1397" s="79" customFormat="1" ht="15" customHeight="1" x14ac:dyDescent="0.25"/>
    <row r="1398" s="79" customFormat="1" ht="15" customHeight="1" x14ac:dyDescent="0.25"/>
    <row r="1399" s="79" customFormat="1" ht="15" customHeight="1" x14ac:dyDescent="0.25"/>
    <row r="1400" s="79" customFormat="1" ht="15" customHeight="1" x14ac:dyDescent="0.25"/>
    <row r="1401" s="79" customFormat="1" ht="15" customHeight="1" x14ac:dyDescent="0.25"/>
    <row r="1402" s="79" customFormat="1" ht="15" customHeight="1" x14ac:dyDescent="0.25"/>
    <row r="1403" s="79" customFormat="1" ht="15" customHeight="1" x14ac:dyDescent="0.25"/>
    <row r="1404" s="79" customFormat="1" ht="15" customHeight="1" x14ac:dyDescent="0.25"/>
    <row r="1405" s="79" customFormat="1" ht="15" customHeight="1" x14ac:dyDescent="0.25"/>
    <row r="1406" s="79" customFormat="1" ht="15" customHeight="1" x14ac:dyDescent="0.25"/>
    <row r="1407" s="79" customFormat="1" ht="15" customHeight="1" x14ac:dyDescent="0.25"/>
    <row r="1408" s="79" customFormat="1" ht="15" customHeight="1" x14ac:dyDescent="0.25"/>
    <row r="1409" s="79" customFormat="1" ht="15" customHeight="1" x14ac:dyDescent="0.25"/>
    <row r="1410" s="79" customFormat="1" ht="15" customHeight="1" x14ac:dyDescent="0.25"/>
    <row r="1411" s="79" customFormat="1" ht="15" customHeight="1" x14ac:dyDescent="0.25"/>
    <row r="1412" s="79" customFormat="1" ht="15" customHeight="1" x14ac:dyDescent="0.25"/>
    <row r="1413" s="79" customFormat="1" ht="15" customHeight="1" x14ac:dyDescent="0.25"/>
    <row r="1414" s="79" customFormat="1" ht="15" customHeight="1" x14ac:dyDescent="0.25"/>
    <row r="1415" s="79" customFormat="1" ht="15" customHeight="1" x14ac:dyDescent="0.25"/>
    <row r="1416" s="79" customFormat="1" ht="15" customHeight="1" x14ac:dyDescent="0.25"/>
    <row r="1417" s="79" customFormat="1" ht="15" customHeight="1" x14ac:dyDescent="0.25"/>
    <row r="1418" s="79" customFormat="1" ht="15" customHeight="1" x14ac:dyDescent="0.25"/>
    <row r="1419" s="79" customFormat="1" ht="15" customHeight="1" x14ac:dyDescent="0.25"/>
    <row r="1420" s="79" customFormat="1" ht="15" customHeight="1" x14ac:dyDescent="0.25"/>
    <row r="1421" s="79" customFormat="1" ht="15" customHeight="1" x14ac:dyDescent="0.25"/>
    <row r="1422" s="79" customFormat="1" ht="15" customHeight="1" x14ac:dyDescent="0.25"/>
    <row r="1423" s="79" customFormat="1" ht="15" customHeight="1" x14ac:dyDescent="0.25"/>
    <row r="1424" s="79" customFormat="1" ht="15" customHeight="1" x14ac:dyDescent="0.25"/>
    <row r="1425" s="79" customFormat="1" ht="15" customHeight="1" x14ac:dyDescent="0.25"/>
    <row r="1426" s="79" customFormat="1" ht="15" customHeight="1" x14ac:dyDescent="0.25"/>
    <row r="1427" s="79" customFormat="1" ht="15" customHeight="1" x14ac:dyDescent="0.25"/>
    <row r="1428" s="79" customFormat="1" ht="15" customHeight="1" x14ac:dyDescent="0.25"/>
    <row r="1429" s="79" customFormat="1" ht="15" customHeight="1" x14ac:dyDescent="0.25"/>
    <row r="1430" s="79" customFormat="1" ht="15" customHeight="1" x14ac:dyDescent="0.25"/>
    <row r="1431" s="79" customFormat="1" ht="15" customHeight="1" x14ac:dyDescent="0.25"/>
    <row r="1432" s="79" customFormat="1" ht="15" customHeight="1" x14ac:dyDescent="0.25"/>
    <row r="1433" s="79" customFormat="1" ht="15" customHeight="1" x14ac:dyDescent="0.25"/>
    <row r="1434" s="79" customFormat="1" ht="15" customHeight="1" x14ac:dyDescent="0.25"/>
    <row r="1435" s="79" customFormat="1" ht="15" customHeight="1" x14ac:dyDescent="0.25"/>
    <row r="1436" s="79" customFormat="1" ht="15" customHeight="1" x14ac:dyDescent="0.25"/>
    <row r="1437" s="79" customFormat="1" ht="15" customHeight="1" x14ac:dyDescent="0.25"/>
    <row r="1438" s="79" customFormat="1" ht="15" customHeight="1" x14ac:dyDescent="0.25"/>
    <row r="1439" s="79" customFormat="1" ht="15" customHeight="1" x14ac:dyDescent="0.25"/>
    <row r="1440" s="79" customFormat="1" ht="15" customHeight="1" x14ac:dyDescent="0.25"/>
    <row r="1441" s="79" customFormat="1" ht="15" customHeight="1" x14ac:dyDescent="0.25"/>
    <row r="1442" s="79" customFormat="1" ht="15" customHeight="1" x14ac:dyDescent="0.25"/>
    <row r="1443" s="79" customFormat="1" ht="15" customHeight="1" x14ac:dyDescent="0.25"/>
    <row r="1444" s="79" customFormat="1" ht="15" customHeight="1" x14ac:dyDescent="0.25"/>
    <row r="1445" s="79" customFormat="1" ht="15" customHeight="1" x14ac:dyDescent="0.25"/>
    <row r="1446" s="79" customFormat="1" ht="15" customHeight="1" x14ac:dyDescent="0.25"/>
    <row r="1447" s="79" customFormat="1" ht="15" customHeight="1" x14ac:dyDescent="0.25"/>
    <row r="1448" s="79" customFormat="1" ht="15" customHeight="1" x14ac:dyDescent="0.25"/>
    <row r="1449" s="79" customFormat="1" ht="15" customHeight="1" x14ac:dyDescent="0.25"/>
    <row r="1450" s="79" customFormat="1" ht="15" customHeight="1" x14ac:dyDescent="0.25"/>
    <row r="1451" s="79" customFormat="1" ht="15" customHeight="1" x14ac:dyDescent="0.25"/>
    <row r="1452" s="79" customFormat="1" ht="15" customHeight="1" x14ac:dyDescent="0.25"/>
    <row r="1453" s="79" customFormat="1" ht="15" customHeight="1" x14ac:dyDescent="0.25"/>
    <row r="1454" s="79" customFormat="1" ht="15" customHeight="1" x14ac:dyDescent="0.25"/>
    <row r="1455" s="79" customFormat="1" ht="15" customHeight="1" x14ac:dyDescent="0.25"/>
    <row r="1456" s="79" customFormat="1" ht="15" customHeight="1" x14ac:dyDescent="0.25"/>
    <row r="1457" s="79" customFormat="1" ht="15" customHeight="1" x14ac:dyDescent="0.25"/>
    <row r="1458" s="79" customFormat="1" ht="15" customHeight="1" x14ac:dyDescent="0.25"/>
    <row r="1459" s="79" customFormat="1" ht="15" customHeight="1" x14ac:dyDescent="0.25"/>
    <row r="1460" s="79" customFormat="1" ht="15" customHeight="1" x14ac:dyDescent="0.25"/>
    <row r="1461" s="79" customFormat="1" ht="15" customHeight="1" x14ac:dyDescent="0.25"/>
    <row r="1462" s="79" customFormat="1" ht="15" customHeight="1" x14ac:dyDescent="0.25"/>
    <row r="1463" s="79" customFormat="1" ht="15" customHeight="1" x14ac:dyDescent="0.25"/>
    <row r="1464" s="79" customFormat="1" ht="15" customHeight="1" x14ac:dyDescent="0.25"/>
    <row r="1465" s="79" customFormat="1" ht="15" customHeight="1" x14ac:dyDescent="0.25"/>
    <row r="1466" s="79" customFormat="1" ht="15" customHeight="1" x14ac:dyDescent="0.25"/>
    <row r="1467" s="79" customFormat="1" ht="15" customHeight="1" x14ac:dyDescent="0.25"/>
    <row r="1468" s="79" customFormat="1" ht="15" customHeight="1" x14ac:dyDescent="0.25"/>
    <row r="1469" s="79" customFormat="1" ht="15" customHeight="1" x14ac:dyDescent="0.25"/>
    <row r="1470" s="79" customFormat="1" ht="15" customHeight="1" x14ac:dyDescent="0.25"/>
    <row r="1471" s="79" customFormat="1" ht="15" customHeight="1" x14ac:dyDescent="0.25"/>
    <row r="1472" s="79" customFormat="1" ht="15" customHeight="1" x14ac:dyDescent="0.25"/>
    <row r="1473" s="79" customFormat="1" ht="15" customHeight="1" x14ac:dyDescent="0.25"/>
    <row r="1474" s="79" customFormat="1" ht="15" customHeight="1" x14ac:dyDescent="0.25"/>
    <row r="1475" s="79" customFormat="1" ht="15" customHeight="1" x14ac:dyDescent="0.25"/>
    <row r="1476" s="79" customFormat="1" ht="15" customHeight="1" x14ac:dyDescent="0.25"/>
    <row r="1477" s="79" customFormat="1" ht="15" customHeight="1" x14ac:dyDescent="0.25"/>
    <row r="1478" s="79" customFormat="1" ht="15" customHeight="1" x14ac:dyDescent="0.25"/>
    <row r="1479" s="79" customFormat="1" ht="15" customHeight="1" x14ac:dyDescent="0.25"/>
    <row r="1480" s="79" customFormat="1" ht="15" customHeight="1" x14ac:dyDescent="0.25"/>
    <row r="1481" s="79" customFormat="1" ht="15" customHeight="1" x14ac:dyDescent="0.25"/>
    <row r="1482" s="79" customFormat="1" ht="15" customHeight="1" x14ac:dyDescent="0.25"/>
    <row r="1483" s="79" customFormat="1" ht="15" customHeight="1" x14ac:dyDescent="0.25"/>
    <row r="1484" s="79" customFormat="1" ht="15" customHeight="1" x14ac:dyDescent="0.25"/>
    <row r="1485" s="79" customFormat="1" ht="15" customHeight="1" x14ac:dyDescent="0.25"/>
    <row r="1486" s="79" customFormat="1" ht="15" customHeight="1" x14ac:dyDescent="0.25"/>
    <row r="1487" s="79" customFormat="1" ht="15" customHeight="1" x14ac:dyDescent="0.25"/>
    <row r="1488" s="79" customFormat="1" ht="15" customHeight="1" x14ac:dyDescent="0.25"/>
    <row r="1489" s="79" customFormat="1" ht="15" customHeight="1" x14ac:dyDescent="0.25"/>
    <row r="1490" s="79" customFormat="1" ht="15" customHeight="1" x14ac:dyDescent="0.25"/>
    <row r="1491" s="79" customFormat="1" ht="15" customHeight="1" x14ac:dyDescent="0.25"/>
    <row r="1492" s="79" customFormat="1" ht="15" customHeight="1" x14ac:dyDescent="0.25"/>
    <row r="1493" s="79" customFormat="1" ht="15" customHeight="1" x14ac:dyDescent="0.25"/>
    <row r="1494" s="79" customFormat="1" ht="15" customHeight="1" x14ac:dyDescent="0.25"/>
    <row r="1495" s="79" customFormat="1" ht="15" customHeight="1" x14ac:dyDescent="0.25"/>
    <row r="1496" s="79" customFormat="1" ht="15" customHeight="1" x14ac:dyDescent="0.25"/>
    <row r="1497" s="79" customFormat="1" ht="15" customHeight="1" x14ac:dyDescent="0.25"/>
    <row r="1498" s="79" customFormat="1" ht="15" customHeight="1" x14ac:dyDescent="0.25"/>
    <row r="1499" s="79" customFormat="1" ht="15" customHeight="1" x14ac:dyDescent="0.25"/>
    <row r="1500" s="79" customFormat="1" ht="15" customHeight="1" x14ac:dyDescent="0.25"/>
    <row r="1501" s="79" customFormat="1" ht="15" customHeight="1" x14ac:dyDescent="0.25"/>
    <row r="1502" s="79" customFormat="1" ht="15" customHeight="1" x14ac:dyDescent="0.25"/>
    <row r="1503" s="79" customFormat="1" ht="15" customHeight="1" x14ac:dyDescent="0.25"/>
    <row r="1504" s="79" customFormat="1" ht="15" customHeight="1" x14ac:dyDescent="0.25"/>
    <row r="1505" s="79" customFormat="1" ht="15" customHeight="1" x14ac:dyDescent="0.25"/>
    <row r="1506" s="79" customFormat="1" ht="15" customHeight="1" x14ac:dyDescent="0.25"/>
    <row r="1507" s="79" customFormat="1" ht="15" customHeight="1" x14ac:dyDescent="0.25"/>
    <row r="1508" s="79" customFormat="1" ht="15" customHeight="1" x14ac:dyDescent="0.25"/>
    <row r="1509" s="79" customFormat="1" ht="15" customHeight="1" x14ac:dyDescent="0.25"/>
    <row r="1510" s="79" customFormat="1" ht="15" customHeight="1" x14ac:dyDescent="0.25"/>
    <row r="1511" s="79" customFormat="1" ht="15" customHeight="1" x14ac:dyDescent="0.25"/>
    <row r="1512" s="79" customFormat="1" ht="15" customHeight="1" x14ac:dyDescent="0.25"/>
    <row r="1513" s="79" customFormat="1" ht="15" customHeight="1" x14ac:dyDescent="0.25"/>
    <row r="1514" s="79" customFormat="1" ht="15" customHeight="1" x14ac:dyDescent="0.25"/>
  </sheetData>
  <sheetProtection selectLockedCells="1"/>
  <mergeCells count="5">
    <mergeCell ref="C2:AG2"/>
    <mergeCell ref="AH2:AH3"/>
    <mergeCell ref="AI2:AL3"/>
    <mergeCell ref="AM2:AP3"/>
    <mergeCell ref="AQ2:AR3"/>
  </mergeCells>
  <conditionalFormatting sqref="C17:C18 C9:AG11 C5:AG7">
    <cfRule type="expression" priority="1842" stopIfTrue="1">
      <formula>C5=""</formula>
    </cfRule>
    <cfRule type="expression" dxfId="12289" priority="1843" stopIfTrue="1">
      <formula>C5=CléPersonnalisée2</formula>
    </cfRule>
    <cfRule type="expression" dxfId="12288" priority="1844" stopIfTrue="1">
      <formula>C5=CléPersonnalisée1</formula>
    </cfRule>
    <cfRule type="expression" dxfId="12287" priority="1845" stopIfTrue="1">
      <formula>C5=CléMaladie</formula>
    </cfRule>
    <cfRule type="expression" dxfId="12286" priority="1846" stopIfTrue="1">
      <formula>C5=CléPersonnelle</formula>
    </cfRule>
    <cfRule type="expression" dxfId="12285" priority="1847" stopIfTrue="1">
      <formula>C5=CléCongés</formula>
    </cfRule>
  </conditionalFormatting>
  <conditionalFormatting sqref="AH5:AH6 AH9:AH11">
    <cfRule type="dataBar" priority="1848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{5309B4CB-0BCD-480F-B7E2-DF3006DAA133}</x14:id>
        </ext>
      </extLst>
    </cfRule>
  </conditionalFormatting>
  <conditionalFormatting sqref="AI5:AL6 AI9:AL11">
    <cfRule type="expression" priority="1836" stopIfTrue="1">
      <formula>AI5=""</formula>
    </cfRule>
    <cfRule type="expression" dxfId="12284" priority="1837" stopIfTrue="1">
      <formula>AI5=CléPersonnalisée2</formula>
    </cfRule>
    <cfRule type="expression" dxfId="12283" priority="1838" stopIfTrue="1">
      <formula>AI5=CléPersonnalisée1</formula>
    </cfRule>
    <cfRule type="expression" dxfId="12282" priority="1839" stopIfTrue="1">
      <formula>AI5=CléMaladie</formula>
    </cfRule>
    <cfRule type="expression" dxfId="12281" priority="1840" stopIfTrue="1">
      <formula>AI5=CléPersonnelle</formula>
    </cfRule>
    <cfRule type="expression" dxfId="12280" priority="1841" stopIfTrue="1">
      <formula>AI5=CléCongés</formula>
    </cfRule>
  </conditionalFormatting>
  <conditionalFormatting sqref="AM5:AP6 AM9:AP10">
    <cfRule type="expression" priority="1830" stopIfTrue="1">
      <formula>AM5=""</formula>
    </cfRule>
    <cfRule type="expression" dxfId="12279" priority="1831" stopIfTrue="1">
      <formula>AM5=CléPersonnalisée2</formula>
    </cfRule>
    <cfRule type="expression" dxfId="12278" priority="1832" stopIfTrue="1">
      <formula>AM5=CléPersonnalisée1</formula>
    </cfRule>
    <cfRule type="expression" dxfId="12277" priority="1833" stopIfTrue="1">
      <formula>AM5=CléMaladie</formula>
    </cfRule>
    <cfRule type="expression" dxfId="12276" priority="1834" stopIfTrue="1">
      <formula>AM5=CléPersonnelle</formula>
    </cfRule>
    <cfRule type="expression" dxfId="12275" priority="1835" stopIfTrue="1">
      <formula>AM5=CléCongés</formula>
    </cfRule>
  </conditionalFormatting>
  <conditionalFormatting sqref="AQ32:AR32 AQ44:AR44 AQ5:AR6 AQ9:AR10">
    <cfRule type="expression" priority="1824" stopIfTrue="1">
      <formula>AQ5=""</formula>
    </cfRule>
    <cfRule type="expression" dxfId="12274" priority="1825" stopIfTrue="1">
      <formula>AQ5=CléPersonnalisée2</formula>
    </cfRule>
    <cfRule type="expression" dxfId="12273" priority="1826" stopIfTrue="1">
      <formula>AQ5=CléPersonnalisée1</formula>
    </cfRule>
    <cfRule type="expression" dxfId="12272" priority="1827" stopIfTrue="1">
      <formula>AQ5=CléMaladie</formula>
    </cfRule>
    <cfRule type="expression" dxfId="12271" priority="1828" stopIfTrue="1">
      <formula>AQ5=CléPersonnelle</formula>
    </cfRule>
    <cfRule type="expression" dxfId="12270" priority="1829" stopIfTrue="1">
      <formula>AQ5=CléCongés</formula>
    </cfRule>
  </conditionalFormatting>
  <conditionalFormatting sqref="AP7:AP8">
    <cfRule type="expression" priority="1818" stopIfTrue="1">
      <formula>AP7=""</formula>
    </cfRule>
    <cfRule type="expression" dxfId="12269" priority="1819" stopIfTrue="1">
      <formula>AP7=CléPersonnalisée2</formula>
    </cfRule>
    <cfRule type="expression" dxfId="12268" priority="1820" stopIfTrue="1">
      <formula>AP7=CléPersonnalisée1</formula>
    </cfRule>
    <cfRule type="expression" dxfId="12267" priority="1821" stopIfTrue="1">
      <formula>AP7=CléMaladie</formula>
    </cfRule>
    <cfRule type="expression" dxfId="12266" priority="1822" stopIfTrue="1">
      <formula>AP7=CléPersonnelle</formula>
    </cfRule>
    <cfRule type="expression" dxfId="12265" priority="1823" stopIfTrue="1">
      <formula>AP7=CléCongés</formula>
    </cfRule>
  </conditionalFormatting>
  <conditionalFormatting sqref="AR7 AQ8:AR8">
    <cfRule type="expression" priority="1812" stopIfTrue="1">
      <formula>AQ7=""</formula>
    </cfRule>
    <cfRule type="expression" dxfId="12264" priority="1813" stopIfTrue="1">
      <formula>AQ7=CléPersonnalisée2</formula>
    </cfRule>
    <cfRule type="expression" dxfId="12263" priority="1814" stopIfTrue="1">
      <formula>AQ7=CléPersonnalisée1</formula>
    </cfRule>
    <cfRule type="expression" dxfId="12262" priority="1815" stopIfTrue="1">
      <formula>AQ7=CléMaladie</formula>
    </cfRule>
    <cfRule type="expression" dxfId="12261" priority="1816" stopIfTrue="1">
      <formula>AQ7=CléPersonnelle</formula>
    </cfRule>
    <cfRule type="expression" dxfId="12260" priority="1817" stopIfTrue="1">
      <formula>AQ7=CléCongés</formula>
    </cfRule>
  </conditionalFormatting>
  <conditionalFormatting sqref="AM11 AP11">
    <cfRule type="expression" priority="1806" stopIfTrue="1">
      <formula>AM11=""</formula>
    </cfRule>
    <cfRule type="expression" dxfId="12259" priority="1807" stopIfTrue="1">
      <formula>AM11=CléPersonnalisée2</formula>
    </cfRule>
    <cfRule type="expression" dxfId="12258" priority="1808" stopIfTrue="1">
      <formula>AM11=CléPersonnalisée1</formula>
    </cfRule>
    <cfRule type="expression" dxfId="12257" priority="1809" stopIfTrue="1">
      <formula>AM11=CléMaladie</formula>
    </cfRule>
    <cfRule type="expression" dxfId="12256" priority="1810" stopIfTrue="1">
      <formula>AM11=CléPersonnelle</formula>
    </cfRule>
    <cfRule type="expression" dxfId="12255" priority="1811" stopIfTrue="1">
      <formula>AM11=CléCongés</formula>
    </cfRule>
  </conditionalFormatting>
  <conditionalFormatting sqref="AQ48:AR48">
    <cfRule type="expression" priority="1800" stopIfTrue="1">
      <formula>AQ48=""</formula>
    </cfRule>
    <cfRule type="expression" dxfId="12254" priority="1801" stopIfTrue="1">
      <formula>AQ48=CléPersonnalisée2</formula>
    </cfRule>
    <cfRule type="expression" dxfId="12253" priority="1802" stopIfTrue="1">
      <formula>AQ48=CléPersonnalisée1</formula>
    </cfRule>
    <cfRule type="expression" dxfId="12252" priority="1803" stopIfTrue="1">
      <formula>AQ48=CléMaladie</formula>
    </cfRule>
    <cfRule type="expression" dxfId="12251" priority="1804" stopIfTrue="1">
      <formula>AQ48=CléPersonnelle</formula>
    </cfRule>
    <cfRule type="expression" dxfId="12250" priority="1805" stopIfTrue="1">
      <formula>AQ48=CléCongés</formula>
    </cfRule>
  </conditionalFormatting>
  <conditionalFormatting sqref="AQ52:AR52">
    <cfRule type="expression" priority="1794" stopIfTrue="1">
      <formula>AQ52=""</formula>
    </cfRule>
    <cfRule type="expression" dxfId="12249" priority="1795" stopIfTrue="1">
      <formula>AQ52=CléPersonnalisée2</formula>
    </cfRule>
    <cfRule type="expression" dxfId="12248" priority="1796" stopIfTrue="1">
      <formula>AQ52=CléPersonnalisée1</formula>
    </cfRule>
    <cfRule type="expression" dxfId="12247" priority="1797" stopIfTrue="1">
      <formula>AQ52=CléMaladie</formula>
    </cfRule>
    <cfRule type="expression" dxfId="12246" priority="1798" stopIfTrue="1">
      <formula>AQ52=CléPersonnelle</formula>
    </cfRule>
    <cfRule type="expression" dxfId="12245" priority="1799" stopIfTrue="1">
      <formula>AQ52=CléCongés</formula>
    </cfRule>
  </conditionalFormatting>
  <conditionalFormatting sqref="AQ56:AR56 AQ60:AR60">
    <cfRule type="expression" priority="1788" stopIfTrue="1">
      <formula>AQ56=""</formula>
    </cfRule>
    <cfRule type="expression" dxfId="12244" priority="1789" stopIfTrue="1">
      <formula>AQ56=CléPersonnalisée2</formula>
    </cfRule>
    <cfRule type="expression" dxfId="12243" priority="1790" stopIfTrue="1">
      <formula>AQ56=CléPersonnalisée1</formula>
    </cfRule>
    <cfRule type="expression" dxfId="12242" priority="1791" stopIfTrue="1">
      <formula>AQ56=CléMaladie</formula>
    </cfRule>
    <cfRule type="expression" dxfId="12241" priority="1792" stopIfTrue="1">
      <formula>AQ56=CléPersonnelle</formula>
    </cfRule>
    <cfRule type="expression" dxfId="12240" priority="1793" stopIfTrue="1">
      <formula>AQ56=CléCongés</formula>
    </cfRule>
  </conditionalFormatting>
  <conditionalFormatting sqref="AQ64:AR64 AQ68:AR68">
    <cfRule type="expression" priority="1782" stopIfTrue="1">
      <formula>AQ64=""</formula>
    </cfRule>
    <cfRule type="expression" dxfId="12239" priority="1783" stopIfTrue="1">
      <formula>AQ64=CléPersonnalisée2</formula>
    </cfRule>
    <cfRule type="expression" dxfId="12238" priority="1784" stopIfTrue="1">
      <formula>AQ64=CléPersonnalisée1</formula>
    </cfRule>
    <cfRule type="expression" dxfId="12237" priority="1785" stopIfTrue="1">
      <formula>AQ64=CléMaladie</formula>
    </cfRule>
    <cfRule type="expression" dxfId="12236" priority="1786" stopIfTrue="1">
      <formula>AQ64=CléPersonnelle</formula>
    </cfRule>
    <cfRule type="expression" dxfId="12235" priority="1787" stopIfTrue="1">
      <formula>AQ64=CléCongés</formula>
    </cfRule>
  </conditionalFormatting>
  <conditionalFormatting sqref="AQ72:AR72 AQ76:AR76 AQ84:AR84 AQ88:AR88 AQ92:AR92 AQ80:AR80">
    <cfRule type="expression" priority="1776" stopIfTrue="1">
      <formula>AQ72=""</formula>
    </cfRule>
    <cfRule type="expression" dxfId="12234" priority="1777" stopIfTrue="1">
      <formula>AQ72=CléPersonnalisée2</formula>
    </cfRule>
    <cfRule type="expression" dxfId="12233" priority="1778" stopIfTrue="1">
      <formula>AQ72=CléPersonnalisée1</formula>
    </cfRule>
    <cfRule type="expression" dxfId="12232" priority="1779" stopIfTrue="1">
      <formula>AQ72=CléMaladie</formula>
    </cfRule>
    <cfRule type="expression" dxfId="12231" priority="1780" stopIfTrue="1">
      <formula>AQ72=CléPersonnelle</formula>
    </cfRule>
    <cfRule type="expression" dxfId="12230" priority="1781" stopIfTrue="1">
      <formula>AQ72=CléCongés</formula>
    </cfRule>
  </conditionalFormatting>
  <conditionalFormatting sqref="D17:AG18 C19:AG19">
    <cfRule type="expression" priority="1770" stopIfTrue="1">
      <formula>C17=""</formula>
    </cfRule>
    <cfRule type="expression" dxfId="12229" priority="1771" stopIfTrue="1">
      <formula>C17=CléPersonnalisée2</formula>
    </cfRule>
    <cfRule type="expression" dxfId="12228" priority="1772" stopIfTrue="1">
      <formula>C17=CléPersonnalisée1</formula>
    </cfRule>
    <cfRule type="expression" dxfId="12227" priority="1773" stopIfTrue="1">
      <formula>C17=CléMaladie</formula>
    </cfRule>
    <cfRule type="expression" dxfId="12226" priority="1774" stopIfTrue="1">
      <formula>C17=CléPersonnelle</formula>
    </cfRule>
    <cfRule type="expression" dxfId="12225" priority="1775" stopIfTrue="1">
      <formula>C17=CléCongés</formula>
    </cfRule>
  </conditionalFormatting>
  <conditionalFormatting sqref="AJ17:AL19">
    <cfRule type="expression" priority="1764" stopIfTrue="1">
      <formula>AJ17=""</formula>
    </cfRule>
    <cfRule type="expression" dxfId="12224" priority="1765" stopIfTrue="1">
      <formula>AJ17=CléPersonnalisée2</formula>
    </cfRule>
    <cfRule type="expression" dxfId="12223" priority="1766" stopIfTrue="1">
      <formula>AJ17=CléPersonnalisée1</formula>
    </cfRule>
    <cfRule type="expression" dxfId="12222" priority="1767" stopIfTrue="1">
      <formula>AJ17=CléMaladie</formula>
    </cfRule>
    <cfRule type="expression" dxfId="12221" priority="1768" stopIfTrue="1">
      <formula>AJ17=CléPersonnelle</formula>
    </cfRule>
    <cfRule type="expression" dxfId="12220" priority="1769" stopIfTrue="1">
      <formula>AJ17=CléCongés</formula>
    </cfRule>
  </conditionalFormatting>
  <conditionalFormatting sqref="C21:AG23">
    <cfRule type="expression" priority="1758" stopIfTrue="1">
      <formula>C21=""</formula>
    </cfRule>
    <cfRule type="expression" dxfId="12219" priority="1759" stopIfTrue="1">
      <formula>C21=CléPersonnalisée2</formula>
    </cfRule>
    <cfRule type="expression" dxfId="12218" priority="1760" stopIfTrue="1">
      <formula>C21=CléPersonnalisée1</formula>
    </cfRule>
    <cfRule type="expression" dxfId="12217" priority="1761" stopIfTrue="1">
      <formula>C21=CléMaladie</formula>
    </cfRule>
    <cfRule type="expression" dxfId="12216" priority="1762" stopIfTrue="1">
      <formula>C21=CléPersonnelle</formula>
    </cfRule>
    <cfRule type="expression" dxfId="12215" priority="1763" stopIfTrue="1">
      <formula>C21=CléCongés</formula>
    </cfRule>
  </conditionalFormatting>
  <conditionalFormatting sqref="AJ21:AL23">
    <cfRule type="expression" priority="1752" stopIfTrue="1">
      <formula>AJ21=""</formula>
    </cfRule>
    <cfRule type="expression" dxfId="12214" priority="1753" stopIfTrue="1">
      <formula>AJ21=CléPersonnalisée2</formula>
    </cfRule>
    <cfRule type="expression" dxfId="12213" priority="1754" stopIfTrue="1">
      <formula>AJ21=CléPersonnalisée1</formula>
    </cfRule>
    <cfRule type="expression" dxfId="12212" priority="1755" stopIfTrue="1">
      <formula>AJ21=CléMaladie</formula>
    </cfRule>
    <cfRule type="expression" dxfId="12211" priority="1756" stopIfTrue="1">
      <formula>AJ21=CléPersonnelle</formula>
    </cfRule>
    <cfRule type="expression" dxfId="12210" priority="1757" stopIfTrue="1">
      <formula>AJ21=CléCongés</formula>
    </cfRule>
  </conditionalFormatting>
  <conditionalFormatting sqref="C25:AG27">
    <cfRule type="expression" priority="1745" stopIfTrue="1">
      <formula>C25=""</formula>
    </cfRule>
    <cfRule type="expression" dxfId="12209" priority="1746" stopIfTrue="1">
      <formula>C25=CléPersonnalisée2</formula>
    </cfRule>
    <cfRule type="expression" dxfId="12208" priority="1747" stopIfTrue="1">
      <formula>C25=CléPersonnalisée1</formula>
    </cfRule>
    <cfRule type="expression" dxfId="12207" priority="1748" stopIfTrue="1">
      <formula>C25=CléMaladie</formula>
    </cfRule>
    <cfRule type="expression" dxfId="12206" priority="1749" stopIfTrue="1">
      <formula>C25=CléPersonnelle</formula>
    </cfRule>
    <cfRule type="expression" dxfId="12205" priority="1750" stopIfTrue="1">
      <formula>C25=CléCongés</formula>
    </cfRule>
  </conditionalFormatting>
  <conditionalFormatting sqref="AH27">
    <cfRule type="dataBar" priority="1751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{1A0B068B-8ABB-4E3D-B8DA-7C01624DB024}</x14:id>
        </ext>
      </extLst>
    </cfRule>
  </conditionalFormatting>
  <conditionalFormatting sqref="AI27:AL27 AJ25:AL26">
    <cfRule type="expression" priority="1739" stopIfTrue="1">
      <formula>AI25=""</formula>
    </cfRule>
    <cfRule type="expression" dxfId="12204" priority="1740" stopIfTrue="1">
      <formula>AI25=CléPersonnalisée2</formula>
    </cfRule>
    <cfRule type="expression" dxfId="12203" priority="1741" stopIfTrue="1">
      <formula>AI25=CléPersonnalisée1</formula>
    </cfRule>
    <cfRule type="expression" dxfId="12202" priority="1742" stopIfTrue="1">
      <formula>AI25=CléMaladie</formula>
    </cfRule>
    <cfRule type="expression" dxfId="12201" priority="1743" stopIfTrue="1">
      <formula>AI25=CléPersonnelle</formula>
    </cfRule>
    <cfRule type="expression" dxfId="12200" priority="1744" stopIfTrue="1">
      <formula>AI25=CléCongés</formula>
    </cfRule>
  </conditionalFormatting>
  <conditionalFormatting sqref="AM25:AP26">
    <cfRule type="expression" priority="1733" stopIfTrue="1">
      <formula>AM25=""</formula>
    </cfRule>
    <cfRule type="expression" dxfId="12199" priority="1734" stopIfTrue="1">
      <formula>AM25=CléPersonnalisée2</formula>
    </cfRule>
    <cfRule type="expression" dxfId="12198" priority="1735" stopIfTrue="1">
      <formula>AM25=CléPersonnalisée1</formula>
    </cfRule>
    <cfRule type="expression" dxfId="12197" priority="1736" stopIfTrue="1">
      <formula>AM25=CléMaladie</formula>
    </cfRule>
    <cfRule type="expression" dxfId="12196" priority="1737" stopIfTrue="1">
      <formula>AM25=CléPersonnelle</formula>
    </cfRule>
    <cfRule type="expression" dxfId="12195" priority="1738" stopIfTrue="1">
      <formula>AM25=CléCongés</formula>
    </cfRule>
  </conditionalFormatting>
  <conditionalFormatting sqref="AQ25:AR26">
    <cfRule type="expression" priority="1727" stopIfTrue="1">
      <formula>AQ25=""</formula>
    </cfRule>
    <cfRule type="expression" dxfId="12194" priority="1728" stopIfTrue="1">
      <formula>AQ25=CléPersonnalisée2</formula>
    </cfRule>
    <cfRule type="expression" dxfId="12193" priority="1729" stopIfTrue="1">
      <formula>AQ25=CléPersonnalisée1</formula>
    </cfRule>
    <cfRule type="expression" dxfId="12192" priority="1730" stopIfTrue="1">
      <formula>AQ25=CléMaladie</formula>
    </cfRule>
    <cfRule type="expression" dxfId="12191" priority="1731" stopIfTrue="1">
      <formula>AQ25=CléPersonnelle</formula>
    </cfRule>
    <cfRule type="expression" dxfId="12190" priority="1732" stopIfTrue="1">
      <formula>AQ25=CléCongés</formula>
    </cfRule>
  </conditionalFormatting>
  <conditionalFormatting sqref="AM27 AP27">
    <cfRule type="expression" priority="1721" stopIfTrue="1">
      <formula>AM27=""</formula>
    </cfRule>
    <cfRule type="expression" dxfId="12189" priority="1722" stopIfTrue="1">
      <formula>AM27=CléPersonnalisée2</formula>
    </cfRule>
    <cfRule type="expression" dxfId="12188" priority="1723" stopIfTrue="1">
      <formula>AM27=CléPersonnalisée1</formula>
    </cfRule>
    <cfRule type="expression" dxfId="12187" priority="1724" stopIfTrue="1">
      <formula>AM27=CléMaladie</formula>
    </cfRule>
    <cfRule type="expression" dxfId="12186" priority="1725" stopIfTrue="1">
      <formula>AM27=CléPersonnelle</formula>
    </cfRule>
    <cfRule type="expression" dxfId="12185" priority="1726" stopIfTrue="1">
      <formula>AM27=CléCongés</formula>
    </cfRule>
  </conditionalFormatting>
  <conditionalFormatting sqref="C29:AG31">
    <cfRule type="expression" priority="1714" stopIfTrue="1">
      <formula>C29=""</formula>
    </cfRule>
    <cfRule type="expression" dxfId="12184" priority="1715" stopIfTrue="1">
      <formula>C29=CléPersonnalisée2</formula>
    </cfRule>
    <cfRule type="expression" dxfId="12183" priority="1716" stopIfTrue="1">
      <formula>C29=CléPersonnalisée1</formula>
    </cfRule>
    <cfRule type="expression" dxfId="12182" priority="1717" stopIfTrue="1">
      <formula>C29=CléMaladie</formula>
    </cfRule>
    <cfRule type="expression" dxfId="12181" priority="1718" stopIfTrue="1">
      <formula>C29=CléPersonnelle</formula>
    </cfRule>
    <cfRule type="expression" dxfId="12180" priority="1719" stopIfTrue="1">
      <formula>C29=CléCongés</formula>
    </cfRule>
  </conditionalFormatting>
  <conditionalFormatting sqref="AH31">
    <cfRule type="dataBar" priority="1720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{BBEB37D4-EB4B-4EC3-882C-0FD043CE88E1}</x14:id>
        </ext>
      </extLst>
    </cfRule>
  </conditionalFormatting>
  <conditionalFormatting sqref="AI31:AL31 AJ29:AL30">
    <cfRule type="expression" priority="1708" stopIfTrue="1">
      <formula>AI29=""</formula>
    </cfRule>
    <cfRule type="expression" dxfId="12179" priority="1709" stopIfTrue="1">
      <formula>AI29=CléPersonnalisée2</formula>
    </cfRule>
    <cfRule type="expression" dxfId="12178" priority="1710" stopIfTrue="1">
      <formula>AI29=CléPersonnalisée1</formula>
    </cfRule>
    <cfRule type="expression" dxfId="12177" priority="1711" stopIfTrue="1">
      <formula>AI29=CléMaladie</formula>
    </cfRule>
    <cfRule type="expression" dxfId="12176" priority="1712" stopIfTrue="1">
      <formula>AI29=CléPersonnelle</formula>
    </cfRule>
    <cfRule type="expression" dxfId="12175" priority="1713" stopIfTrue="1">
      <formula>AI29=CléCongés</formula>
    </cfRule>
  </conditionalFormatting>
  <conditionalFormatting sqref="AM29:AP30">
    <cfRule type="expression" priority="1702" stopIfTrue="1">
      <formula>AM29=""</formula>
    </cfRule>
    <cfRule type="expression" dxfId="12174" priority="1703" stopIfTrue="1">
      <formula>AM29=CléPersonnalisée2</formula>
    </cfRule>
    <cfRule type="expression" dxfId="12173" priority="1704" stopIfTrue="1">
      <formula>AM29=CléPersonnalisée1</formula>
    </cfRule>
    <cfRule type="expression" dxfId="12172" priority="1705" stopIfTrue="1">
      <formula>AM29=CléMaladie</formula>
    </cfRule>
    <cfRule type="expression" dxfId="12171" priority="1706" stopIfTrue="1">
      <formula>AM29=CléPersonnelle</formula>
    </cfRule>
    <cfRule type="expression" dxfId="12170" priority="1707" stopIfTrue="1">
      <formula>AM29=CléCongés</formula>
    </cfRule>
  </conditionalFormatting>
  <conditionalFormatting sqref="AQ29:AR30">
    <cfRule type="expression" priority="1696" stopIfTrue="1">
      <formula>AQ29=""</formula>
    </cfRule>
    <cfRule type="expression" dxfId="12169" priority="1697" stopIfTrue="1">
      <formula>AQ29=CléPersonnalisée2</formula>
    </cfRule>
    <cfRule type="expression" dxfId="12168" priority="1698" stopIfTrue="1">
      <formula>AQ29=CléPersonnalisée1</formula>
    </cfRule>
    <cfRule type="expression" dxfId="12167" priority="1699" stopIfTrue="1">
      <formula>AQ29=CléMaladie</formula>
    </cfRule>
    <cfRule type="expression" dxfId="12166" priority="1700" stopIfTrue="1">
      <formula>AQ29=CléPersonnelle</formula>
    </cfRule>
    <cfRule type="expression" dxfId="12165" priority="1701" stopIfTrue="1">
      <formula>AQ29=CléCongés</formula>
    </cfRule>
  </conditionalFormatting>
  <conditionalFormatting sqref="AM31 AP31">
    <cfRule type="expression" priority="1690" stopIfTrue="1">
      <formula>AM31=""</formula>
    </cfRule>
    <cfRule type="expression" dxfId="12164" priority="1691" stopIfTrue="1">
      <formula>AM31=CléPersonnalisée2</formula>
    </cfRule>
    <cfRule type="expression" dxfId="12163" priority="1692" stopIfTrue="1">
      <formula>AM31=CléPersonnalisée1</formula>
    </cfRule>
    <cfRule type="expression" dxfId="12162" priority="1693" stopIfTrue="1">
      <formula>AM31=CléMaladie</formula>
    </cfRule>
    <cfRule type="expression" dxfId="12161" priority="1694" stopIfTrue="1">
      <formula>AM31=CléPersonnelle</formula>
    </cfRule>
    <cfRule type="expression" dxfId="12160" priority="1695" stopIfTrue="1">
      <formula>AM31=CléCongés</formula>
    </cfRule>
  </conditionalFormatting>
  <conditionalFormatting sqref="C33:AG35">
    <cfRule type="expression" priority="1683" stopIfTrue="1">
      <formula>C33=""</formula>
    </cfRule>
    <cfRule type="expression" dxfId="12159" priority="1684" stopIfTrue="1">
      <formula>C33=CléPersonnalisée2</formula>
    </cfRule>
    <cfRule type="expression" dxfId="12158" priority="1685" stopIfTrue="1">
      <formula>C33=CléPersonnalisée1</formula>
    </cfRule>
    <cfRule type="expression" dxfId="12157" priority="1686" stopIfTrue="1">
      <formula>C33=CléMaladie</formula>
    </cfRule>
    <cfRule type="expression" dxfId="12156" priority="1687" stopIfTrue="1">
      <formula>C33=CléPersonnelle</formula>
    </cfRule>
    <cfRule type="expression" dxfId="12155" priority="1688" stopIfTrue="1">
      <formula>C33=CléCongés</formula>
    </cfRule>
  </conditionalFormatting>
  <conditionalFormatting sqref="AH35">
    <cfRule type="dataBar" priority="1689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{5659709C-A4E5-43EF-9106-CA9D689D17C9}</x14:id>
        </ext>
      </extLst>
    </cfRule>
  </conditionalFormatting>
  <conditionalFormatting sqref="AI35:AL35 AJ33:AL34">
    <cfRule type="expression" priority="1677" stopIfTrue="1">
      <formula>AI33=""</formula>
    </cfRule>
    <cfRule type="expression" dxfId="12154" priority="1678" stopIfTrue="1">
      <formula>AI33=CléPersonnalisée2</formula>
    </cfRule>
    <cfRule type="expression" dxfId="12153" priority="1679" stopIfTrue="1">
      <formula>AI33=CléPersonnalisée1</formula>
    </cfRule>
    <cfRule type="expression" dxfId="12152" priority="1680" stopIfTrue="1">
      <formula>AI33=CléMaladie</formula>
    </cfRule>
    <cfRule type="expression" dxfId="12151" priority="1681" stopIfTrue="1">
      <formula>AI33=CléPersonnelle</formula>
    </cfRule>
    <cfRule type="expression" dxfId="12150" priority="1682" stopIfTrue="1">
      <formula>AI33=CléCongés</formula>
    </cfRule>
  </conditionalFormatting>
  <conditionalFormatting sqref="AM33:AP34">
    <cfRule type="expression" priority="1671" stopIfTrue="1">
      <formula>AM33=""</formula>
    </cfRule>
    <cfRule type="expression" dxfId="12149" priority="1672" stopIfTrue="1">
      <formula>AM33=CléPersonnalisée2</formula>
    </cfRule>
    <cfRule type="expression" dxfId="12148" priority="1673" stopIfTrue="1">
      <formula>AM33=CléPersonnalisée1</formula>
    </cfRule>
    <cfRule type="expression" dxfId="12147" priority="1674" stopIfTrue="1">
      <formula>AM33=CléMaladie</formula>
    </cfRule>
    <cfRule type="expression" dxfId="12146" priority="1675" stopIfTrue="1">
      <formula>AM33=CléPersonnelle</formula>
    </cfRule>
    <cfRule type="expression" dxfId="12145" priority="1676" stopIfTrue="1">
      <formula>AM33=CléCongés</formula>
    </cfRule>
  </conditionalFormatting>
  <conditionalFormatting sqref="AQ33:AR34">
    <cfRule type="expression" priority="1665" stopIfTrue="1">
      <formula>AQ33=""</formula>
    </cfRule>
    <cfRule type="expression" dxfId="12144" priority="1666" stopIfTrue="1">
      <formula>AQ33=CléPersonnalisée2</formula>
    </cfRule>
    <cfRule type="expression" dxfId="12143" priority="1667" stopIfTrue="1">
      <formula>AQ33=CléPersonnalisée1</formula>
    </cfRule>
    <cfRule type="expression" dxfId="12142" priority="1668" stopIfTrue="1">
      <formula>AQ33=CléMaladie</formula>
    </cfRule>
    <cfRule type="expression" dxfId="12141" priority="1669" stopIfTrue="1">
      <formula>AQ33=CléPersonnelle</formula>
    </cfRule>
    <cfRule type="expression" dxfId="12140" priority="1670" stopIfTrue="1">
      <formula>AQ33=CléCongés</formula>
    </cfRule>
  </conditionalFormatting>
  <conditionalFormatting sqref="AM35 AP35">
    <cfRule type="expression" priority="1659" stopIfTrue="1">
      <formula>AM35=""</formula>
    </cfRule>
    <cfRule type="expression" dxfId="12139" priority="1660" stopIfTrue="1">
      <formula>AM35=CléPersonnalisée2</formula>
    </cfRule>
    <cfRule type="expression" dxfId="12138" priority="1661" stopIfTrue="1">
      <formula>AM35=CléPersonnalisée1</formula>
    </cfRule>
    <cfRule type="expression" dxfId="12137" priority="1662" stopIfTrue="1">
      <formula>AM35=CléMaladie</formula>
    </cfRule>
    <cfRule type="expression" dxfId="12136" priority="1663" stopIfTrue="1">
      <formula>AM35=CléPersonnelle</formula>
    </cfRule>
    <cfRule type="expression" dxfId="12135" priority="1664" stopIfTrue="1">
      <formula>AM35=CléCongés</formula>
    </cfRule>
  </conditionalFormatting>
  <conditionalFormatting sqref="C37:AG39">
    <cfRule type="expression" priority="1652" stopIfTrue="1">
      <formula>C37=""</formula>
    </cfRule>
    <cfRule type="expression" dxfId="12134" priority="1653" stopIfTrue="1">
      <formula>C37=CléPersonnalisée2</formula>
    </cfRule>
    <cfRule type="expression" dxfId="12133" priority="1654" stopIfTrue="1">
      <formula>C37=CléPersonnalisée1</formula>
    </cfRule>
    <cfRule type="expression" dxfId="12132" priority="1655" stopIfTrue="1">
      <formula>C37=CléMaladie</formula>
    </cfRule>
    <cfRule type="expression" dxfId="12131" priority="1656" stopIfTrue="1">
      <formula>C37=CléPersonnelle</formula>
    </cfRule>
    <cfRule type="expression" dxfId="12130" priority="1657" stopIfTrue="1">
      <formula>C37=CléCongés</formula>
    </cfRule>
  </conditionalFormatting>
  <conditionalFormatting sqref="AH39">
    <cfRule type="dataBar" priority="1658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{A00F5979-5CDC-4B14-B71E-FA92E855F298}</x14:id>
        </ext>
      </extLst>
    </cfRule>
  </conditionalFormatting>
  <conditionalFormatting sqref="AI39:AL39 AJ37:AL38">
    <cfRule type="expression" priority="1646" stopIfTrue="1">
      <formula>AI37=""</formula>
    </cfRule>
    <cfRule type="expression" dxfId="12129" priority="1647" stopIfTrue="1">
      <formula>AI37=CléPersonnalisée2</formula>
    </cfRule>
    <cfRule type="expression" dxfId="12128" priority="1648" stopIfTrue="1">
      <formula>AI37=CléPersonnalisée1</formula>
    </cfRule>
    <cfRule type="expression" dxfId="12127" priority="1649" stopIfTrue="1">
      <formula>AI37=CléMaladie</formula>
    </cfRule>
    <cfRule type="expression" dxfId="12126" priority="1650" stopIfTrue="1">
      <formula>AI37=CléPersonnelle</formula>
    </cfRule>
    <cfRule type="expression" dxfId="12125" priority="1651" stopIfTrue="1">
      <formula>AI37=CléCongés</formula>
    </cfRule>
  </conditionalFormatting>
  <conditionalFormatting sqref="AM37:AP38">
    <cfRule type="expression" priority="1640" stopIfTrue="1">
      <formula>AM37=""</formula>
    </cfRule>
    <cfRule type="expression" dxfId="12124" priority="1641" stopIfTrue="1">
      <formula>AM37=CléPersonnalisée2</formula>
    </cfRule>
    <cfRule type="expression" dxfId="12123" priority="1642" stopIfTrue="1">
      <formula>AM37=CléPersonnalisée1</formula>
    </cfRule>
    <cfRule type="expression" dxfId="12122" priority="1643" stopIfTrue="1">
      <formula>AM37=CléMaladie</formula>
    </cfRule>
    <cfRule type="expression" dxfId="12121" priority="1644" stopIfTrue="1">
      <formula>AM37=CléPersonnelle</formula>
    </cfRule>
    <cfRule type="expression" dxfId="12120" priority="1645" stopIfTrue="1">
      <formula>AM37=CléCongés</formula>
    </cfRule>
  </conditionalFormatting>
  <conditionalFormatting sqref="AQ37:AR38">
    <cfRule type="expression" priority="1634" stopIfTrue="1">
      <formula>AQ37=""</formula>
    </cfRule>
    <cfRule type="expression" dxfId="12119" priority="1635" stopIfTrue="1">
      <formula>AQ37=CléPersonnalisée2</formula>
    </cfRule>
    <cfRule type="expression" dxfId="12118" priority="1636" stopIfTrue="1">
      <formula>AQ37=CléPersonnalisée1</formula>
    </cfRule>
    <cfRule type="expression" dxfId="12117" priority="1637" stopIfTrue="1">
      <formula>AQ37=CléMaladie</formula>
    </cfRule>
    <cfRule type="expression" dxfId="12116" priority="1638" stopIfTrue="1">
      <formula>AQ37=CléPersonnelle</formula>
    </cfRule>
    <cfRule type="expression" dxfId="12115" priority="1639" stopIfTrue="1">
      <formula>AQ37=CléCongés</formula>
    </cfRule>
  </conditionalFormatting>
  <conditionalFormatting sqref="AM39 AP39">
    <cfRule type="expression" priority="1628" stopIfTrue="1">
      <formula>AM39=""</formula>
    </cfRule>
    <cfRule type="expression" dxfId="12114" priority="1629" stopIfTrue="1">
      <formula>AM39=CléPersonnalisée2</formula>
    </cfRule>
    <cfRule type="expression" dxfId="12113" priority="1630" stopIfTrue="1">
      <formula>AM39=CléPersonnalisée1</formula>
    </cfRule>
    <cfRule type="expression" dxfId="12112" priority="1631" stopIfTrue="1">
      <formula>AM39=CléMaladie</formula>
    </cfRule>
    <cfRule type="expression" dxfId="12111" priority="1632" stopIfTrue="1">
      <formula>AM39=CléPersonnelle</formula>
    </cfRule>
    <cfRule type="expression" dxfId="12110" priority="1633" stopIfTrue="1">
      <formula>AM39=CléCongés</formula>
    </cfRule>
  </conditionalFormatting>
  <conditionalFormatting sqref="C41:AG43">
    <cfRule type="expression" priority="1621" stopIfTrue="1">
      <formula>C41=""</formula>
    </cfRule>
    <cfRule type="expression" dxfId="12109" priority="1622" stopIfTrue="1">
      <formula>C41=CléPersonnalisée2</formula>
    </cfRule>
    <cfRule type="expression" dxfId="12108" priority="1623" stopIfTrue="1">
      <formula>C41=CléPersonnalisée1</formula>
    </cfRule>
    <cfRule type="expression" dxfId="12107" priority="1624" stopIfTrue="1">
      <formula>C41=CléMaladie</formula>
    </cfRule>
    <cfRule type="expression" dxfId="12106" priority="1625" stopIfTrue="1">
      <formula>C41=CléPersonnelle</formula>
    </cfRule>
    <cfRule type="expression" dxfId="12105" priority="1626" stopIfTrue="1">
      <formula>C41=CléCongés</formula>
    </cfRule>
  </conditionalFormatting>
  <conditionalFormatting sqref="AH43">
    <cfRule type="dataBar" priority="1627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{E21CC317-0CD1-49E8-9173-B5422A70DC11}</x14:id>
        </ext>
      </extLst>
    </cfRule>
  </conditionalFormatting>
  <conditionalFormatting sqref="AI43:AL43 AJ41:AL42">
    <cfRule type="expression" priority="1615" stopIfTrue="1">
      <formula>AI41=""</formula>
    </cfRule>
    <cfRule type="expression" dxfId="12104" priority="1616" stopIfTrue="1">
      <formula>AI41=CléPersonnalisée2</formula>
    </cfRule>
    <cfRule type="expression" dxfId="12103" priority="1617" stopIfTrue="1">
      <formula>AI41=CléPersonnalisée1</formula>
    </cfRule>
    <cfRule type="expression" dxfId="12102" priority="1618" stopIfTrue="1">
      <formula>AI41=CléMaladie</formula>
    </cfRule>
    <cfRule type="expression" dxfId="12101" priority="1619" stopIfTrue="1">
      <formula>AI41=CléPersonnelle</formula>
    </cfRule>
    <cfRule type="expression" dxfId="12100" priority="1620" stopIfTrue="1">
      <formula>AI41=CléCongés</formula>
    </cfRule>
  </conditionalFormatting>
  <conditionalFormatting sqref="AM41:AP42">
    <cfRule type="expression" priority="1609" stopIfTrue="1">
      <formula>AM41=""</formula>
    </cfRule>
    <cfRule type="expression" dxfId="12099" priority="1610" stopIfTrue="1">
      <formula>AM41=CléPersonnalisée2</formula>
    </cfRule>
    <cfRule type="expression" dxfId="12098" priority="1611" stopIfTrue="1">
      <formula>AM41=CléPersonnalisée1</formula>
    </cfRule>
    <cfRule type="expression" dxfId="12097" priority="1612" stopIfTrue="1">
      <formula>AM41=CléMaladie</formula>
    </cfRule>
    <cfRule type="expression" dxfId="12096" priority="1613" stopIfTrue="1">
      <formula>AM41=CléPersonnelle</formula>
    </cfRule>
    <cfRule type="expression" dxfId="12095" priority="1614" stopIfTrue="1">
      <formula>AM41=CléCongés</formula>
    </cfRule>
  </conditionalFormatting>
  <conditionalFormatting sqref="AQ41:AR42">
    <cfRule type="expression" priority="1603" stopIfTrue="1">
      <formula>AQ41=""</formula>
    </cfRule>
    <cfRule type="expression" dxfId="12094" priority="1604" stopIfTrue="1">
      <formula>AQ41=CléPersonnalisée2</formula>
    </cfRule>
    <cfRule type="expression" dxfId="12093" priority="1605" stopIfTrue="1">
      <formula>AQ41=CléPersonnalisée1</formula>
    </cfRule>
    <cfRule type="expression" dxfId="12092" priority="1606" stopIfTrue="1">
      <formula>AQ41=CléMaladie</formula>
    </cfRule>
    <cfRule type="expression" dxfId="12091" priority="1607" stopIfTrue="1">
      <formula>AQ41=CléPersonnelle</formula>
    </cfRule>
    <cfRule type="expression" dxfId="12090" priority="1608" stopIfTrue="1">
      <formula>AQ41=CléCongés</formula>
    </cfRule>
  </conditionalFormatting>
  <conditionalFormatting sqref="AM43 AP43">
    <cfRule type="expression" priority="1597" stopIfTrue="1">
      <formula>AM43=""</formula>
    </cfRule>
    <cfRule type="expression" dxfId="12089" priority="1598" stopIfTrue="1">
      <formula>AM43=CléPersonnalisée2</formula>
    </cfRule>
    <cfRule type="expression" dxfId="12088" priority="1599" stopIfTrue="1">
      <formula>AM43=CléPersonnalisée1</formula>
    </cfRule>
    <cfRule type="expression" dxfId="12087" priority="1600" stopIfTrue="1">
      <formula>AM43=CléMaladie</formula>
    </cfRule>
    <cfRule type="expression" dxfId="12086" priority="1601" stopIfTrue="1">
      <formula>AM43=CléPersonnelle</formula>
    </cfRule>
    <cfRule type="expression" dxfId="12085" priority="1602" stopIfTrue="1">
      <formula>AM43=CléCongés</formula>
    </cfRule>
  </conditionalFormatting>
  <conditionalFormatting sqref="C45:AG47">
    <cfRule type="expression" priority="1590" stopIfTrue="1">
      <formula>C45=""</formula>
    </cfRule>
    <cfRule type="expression" dxfId="12084" priority="1591" stopIfTrue="1">
      <formula>C45=CléPersonnalisée2</formula>
    </cfRule>
    <cfRule type="expression" dxfId="12083" priority="1592" stopIfTrue="1">
      <formula>C45=CléPersonnalisée1</formula>
    </cfRule>
    <cfRule type="expression" dxfId="12082" priority="1593" stopIfTrue="1">
      <formula>C45=CléMaladie</formula>
    </cfRule>
    <cfRule type="expression" dxfId="12081" priority="1594" stopIfTrue="1">
      <formula>C45=CléPersonnelle</formula>
    </cfRule>
    <cfRule type="expression" dxfId="12080" priority="1595" stopIfTrue="1">
      <formula>C45=CléCongés</formula>
    </cfRule>
  </conditionalFormatting>
  <conditionalFormatting sqref="AH47">
    <cfRule type="dataBar" priority="1596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{C28DDE5B-D2FC-4B56-ABAB-F7677D514C13}</x14:id>
        </ext>
      </extLst>
    </cfRule>
  </conditionalFormatting>
  <conditionalFormatting sqref="AI47:AL47 AJ45:AL46">
    <cfRule type="expression" priority="1584" stopIfTrue="1">
      <formula>AI45=""</formula>
    </cfRule>
    <cfRule type="expression" dxfId="12079" priority="1585" stopIfTrue="1">
      <formula>AI45=CléPersonnalisée2</formula>
    </cfRule>
    <cfRule type="expression" dxfId="12078" priority="1586" stopIfTrue="1">
      <formula>AI45=CléPersonnalisée1</formula>
    </cfRule>
    <cfRule type="expression" dxfId="12077" priority="1587" stopIfTrue="1">
      <formula>AI45=CléMaladie</formula>
    </cfRule>
    <cfRule type="expression" dxfId="12076" priority="1588" stopIfTrue="1">
      <formula>AI45=CléPersonnelle</formula>
    </cfRule>
    <cfRule type="expression" dxfId="12075" priority="1589" stopIfTrue="1">
      <formula>AI45=CléCongés</formula>
    </cfRule>
  </conditionalFormatting>
  <conditionalFormatting sqref="AM45:AP46">
    <cfRule type="expression" priority="1578" stopIfTrue="1">
      <formula>AM45=""</formula>
    </cfRule>
    <cfRule type="expression" dxfId="12074" priority="1579" stopIfTrue="1">
      <formula>AM45=CléPersonnalisée2</formula>
    </cfRule>
    <cfRule type="expression" dxfId="12073" priority="1580" stopIfTrue="1">
      <formula>AM45=CléPersonnalisée1</formula>
    </cfRule>
    <cfRule type="expression" dxfId="12072" priority="1581" stopIfTrue="1">
      <formula>AM45=CléMaladie</formula>
    </cfRule>
    <cfRule type="expression" dxfId="12071" priority="1582" stopIfTrue="1">
      <formula>AM45=CléPersonnelle</formula>
    </cfRule>
    <cfRule type="expression" dxfId="12070" priority="1583" stopIfTrue="1">
      <formula>AM45=CléCongés</formula>
    </cfRule>
  </conditionalFormatting>
  <conditionalFormatting sqref="AQ45:AR46">
    <cfRule type="expression" priority="1572" stopIfTrue="1">
      <formula>AQ45=""</formula>
    </cfRule>
    <cfRule type="expression" dxfId="12069" priority="1573" stopIfTrue="1">
      <formula>AQ45=CléPersonnalisée2</formula>
    </cfRule>
    <cfRule type="expression" dxfId="12068" priority="1574" stopIfTrue="1">
      <formula>AQ45=CléPersonnalisée1</formula>
    </cfRule>
    <cfRule type="expression" dxfId="12067" priority="1575" stopIfTrue="1">
      <formula>AQ45=CléMaladie</formula>
    </cfRule>
    <cfRule type="expression" dxfId="12066" priority="1576" stopIfTrue="1">
      <formula>AQ45=CléPersonnelle</formula>
    </cfRule>
    <cfRule type="expression" dxfId="12065" priority="1577" stopIfTrue="1">
      <formula>AQ45=CléCongés</formula>
    </cfRule>
  </conditionalFormatting>
  <conditionalFormatting sqref="AM47 AP47">
    <cfRule type="expression" priority="1566" stopIfTrue="1">
      <formula>AM47=""</formula>
    </cfRule>
    <cfRule type="expression" dxfId="12064" priority="1567" stopIfTrue="1">
      <formula>AM47=CléPersonnalisée2</formula>
    </cfRule>
    <cfRule type="expression" dxfId="12063" priority="1568" stopIfTrue="1">
      <formula>AM47=CléPersonnalisée1</formula>
    </cfRule>
    <cfRule type="expression" dxfId="12062" priority="1569" stopIfTrue="1">
      <formula>AM47=CléMaladie</formula>
    </cfRule>
    <cfRule type="expression" dxfId="12061" priority="1570" stopIfTrue="1">
      <formula>AM47=CléPersonnelle</formula>
    </cfRule>
    <cfRule type="expression" dxfId="12060" priority="1571" stopIfTrue="1">
      <formula>AM47=CléCongés</formula>
    </cfRule>
  </conditionalFormatting>
  <conditionalFormatting sqref="C49:AG51">
    <cfRule type="expression" priority="1559" stopIfTrue="1">
      <formula>C49=""</formula>
    </cfRule>
    <cfRule type="expression" dxfId="12059" priority="1560" stopIfTrue="1">
      <formula>C49=CléPersonnalisée2</formula>
    </cfRule>
    <cfRule type="expression" dxfId="12058" priority="1561" stopIfTrue="1">
      <formula>C49=CléPersonnalisée1</formula>
    </cfRule>
    <cfRule type="expression" dxfId="12057" priority="1562" stopIfTrue="1">
      <formula>C49=CléMaladie</formula>
    </cfRule>
    <cfRule type="expression" dxfId="12056" priority="1563" stopIfTrue="1">
      <formula>C49=CléPersonnelle</formula>
    </cfRule>
    <cfRule type="expression" dxfId="12055" priority="1564" stopIfTrue="1">
      <formula>C49=CléCongés</formula>
    </cfRule>
  </conditionalFormatting>
  <conditionalFormatting sqref="AH51">
    <cfRule type="dataBar" priority="1565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{3A562D53-69C2-4612-A72F-B0D6663CB4C2}</x14:id>
        </ext>
      </extLst>
    </cfRule>
  </conditionalFormatting>
  <conditionalFormatting sqref="AI51:AL51 AJ49:AL50">
    <cfRule type="expression" priority="1553" stopIfTrue="1">
      <formula>AI49=""</formula>
    </cfRule>
    <cfRule type="expression" dxfId="12054" priority="1554" stopIfTrue="1">
      <formula>AI49=CléPersonnalisée2</formula>
    </cfRule>
    <cfRule type="expression" dxfId="12053" priority="1555" stopIfTrue="1">
      <formula>AI49=CléPersonnalisée1</formula>
    </cfRule>
    <cfRule type="expression" dxfId="12052" priority="1556" stopIfTrue="1">
      <formula>AI49=CléMaladie</formula>
    </cfRule>
    <cfRule type="expression" dxfId="12051" priority="1557" stopIfTrue="1">
      <formula>AI49=CléPersonnelle</formula>
    </cfRule>
    <cfRule type="expression" dxfId="12050" priority="1558" stopIfTrue="1">
      <formula>AI49=CléCongés</formula>
    </cfRule>
  </conditionalFormatting>
  <conditionalFormatting sqref="AM49:AP50">
    <cfRule type="expression" priority="1547" stopIfTrue="1">
      <formula>AM49=""</formula>
    </cfRule>
    <cfRule type="expression" dxfId="12049" priority="1548" stopIfTrue="1">
      <formula>AM49=CléPersonnalisée2</formula>
    </cfRule>
    <cfRule type="expression" dxfId="12048" priority="1549" stopIfTrue="1">
      <formula>AM49=CléPersonnalisée1</formula>
    </cfRule>
    <cfRule type="expression" dxfId="12047" priority="1550" stopIfTrue="1">
      <formula>AM49=CléMaladie</formula>
    </cfRule>
    <cfRule type="expression" dxfId="12046" priority="1551" stopIfTrue="1">
      <formula>AM49=CléPersonnelle</formula>
    </cfRule>
    <cfRule type="expression" dxfId="12045" priority="1552" stopIfTrue="1">
      <formula>AM49=CléCongés</formula>
    </cfRule>
  </conditionalFormatting>
  <conditionalFormatting sqref="AQ49:AR50">
    <cfRule type="expression" priority="1541" stopIfTrue="1">
      <formula>AQ49=""</formula>
    </cfRule>
    <cfRule type="expression" dxfId="12044" priority="1542" stopIfTrue="1">
      <formula>AQ49=CléPersonnalisée2</formula>
    </cfRule>
    <cfRule type="expression" dxfId="12043" priority="1543" stopIfTrue="1">
      <formula>AQ49=CléPersonnalisée1</formula>
    </cfRule>
    <cfRule type="expression" dxfId="12042" priority="1544" stopIfTrue="1">
      <formula>AQ49=CléMaladie</formula>
    </cfRule>
    <cfRule type="expression" dxfId="12041" priority="1545" stopIfTrue="1">
      <formula>AQ49=CléPersonnelle</formula>
    </cfRule>
    <cfRule type="expression" dxfId="12040" priority="1546" stopIfTrue="1">
      <formula>AQ49=CléCongés</formula>
    </cfRule>
  </conditionalFormatting>
  <conditionalFormatting sqref="AM51 AP51">
    <cfRule type="expression" priority="1535" stopIfTrue="1">
      <formula>AM51=""</formula>
    </cfRule>
    <cfRule type="expression" dxfId="12039" priority="1536" stopIfTrue="1">
      <formula>AM51=CléPersonnalisée2</formula>
    </cfRule>
    <cfRule type="expression" dxfId="12038" priority="1537" stopIfTrue="1">
      <formula>AM51=CléPersonnalisée1</formula>
    </cfRule>
    <cfRule type="expression" dxfId="12037" priority="1538" stopIfTrue="1">
      <formula>AM51=CléMaladie</formula>
    </cfRule>
    <cfRule type="expression" dxfId="12036" priority="1539" stopIfTrue="1">
      <formula>AM51=CléPersonnelle</formula>
    </cfRule>
    <cfRule type="expression" dxfId="12035" priority="1540" stopIfTrue="1">
      <formula>AM51=CléCongés</formula>
    </cfRule>
  </conditionalFormatting>
  <conditionalFormatting sqref="C53:AG55">
    <cfRule type="expression" priority="1528" stopIfTrue="1">
      <formula>C53=""</formula>
    </cfRule>
    <cfRule type="expression" dxfId="12034" priority="1529" stopIfTrue="1">
      <formula>C53=CléPersonnalisée2</formula>
    </cfRule>
    <cfRule type="expression" dxfId="12033" priority="1530" stopIfTrue="1">
      <formula>C53=CléPersonnalisée1</formula>
    </cfRule>
    <cfRule type="expression" dxfId="12032" priority="1531" stopIfTrue="1">
      <formula>C53=CléMaladie</formula>
    </cfRule>
    <cfRule type="expression" dxfId="12031" priority="1532" stopIfTrue="1">
      <formula>C53=CléPersonnelle</formula>
    </cfRule>
    <cfRule type="expression" dxfId="12030" priority="1533" stopIfTrue="1">
      <formula>C53=CléCongés</formula>
    </cfRule>
  </conditionalFormatting>
  <conditionalFormatting sqref="AH55">
    <cfRule type="dataBar" priority="1534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{83E965C6-E84E-4C67-A1BE-A739A4FA5D01}</x14:id>
        </ext>
      </extLst>
    </cfRule>
  </conditionalFormatting>
  <conditionalFormatting sqref="AI55:AL55 AJ53:AL54">
    <cfRule type="expression" priority="1522" stopIfTrue="1">
      <formula>AI53=""</formula>
    </cfRule>
    <cfRule type="expression" dxfId="12029" priority="1523" stopIfTrue="1">
      <formula>AI53=CléPersonnalisée2</formula>
    </cfRule>
    <cfRule type="expression" dxfId="12028" priority="1524" stopIfTrue="1">
      <formula>AI53=CléPersonnalisée1</formula>
    </cfRule>
    <cfRule type="expression" dxfId="12027" priority="1525" stopIfTrue="1">
      <formula>AI53=CléMaladie</formula>
    </cfRule>
    <cfRule type="expression" dxfId="12026" priority="1526" stopIfTrue="1">
      <formula>AI53=CléPersonnelle</formula>
    </cfRule>
    <cfRule type="expression" dxfId="12025" priority="1527" stopIfTrue="1">
      <formula>AI53=CléCongés</formula>
    </cfRule>
  </conditionalFormatting>
  <conditionalFormatting sqref="AM53:AP54">
    <cfRule type="expression" priority="1516" stopIfTrue="1">
      <formula>AM53=""</formula>
    </cfRule>
    <cfRule type="expression" dxfId="12024" priority="1517" stopIfTrue="1">
      <formula>AM53=CléPersonnalisée2</formula>
    </cfRule>
    <cfRule type="expression" dxfId="12023" priority="1518" stopIfTrue="1">
      <formula>AM53=CléPersonnalisée1</formula>
    </cfRule>
    <cfRule type="expression" dxfId="12022" priority="1519" stopIfTrue="1">
      <formula>AM53=CléMaladie</formula>
    </cfRule>
    <cfRule type="expression" dxfId="12021" priority="1520" stopIfTrue="1">
      <formula>AM53=CléPersonnelle</formula>
    </cfRule>
    <cfRule type="expression" dxfId="12020" priority="1521" stopIfTrue="1">
      <formula>AM53=CléCongés</formula>
    </cfRule>
  </conditionalFormatting>
  <conditionalFormatting sqref="AQ53:AR54">
    <cfRule type="expression" priority="1510" stopIfTrue="1">
      <formula>AQ53=""</formula>
    </cfRule>
    <cfRule type="expression" dxfId="12019" priority="1511" stopIfTrue="1">
      <formula>AQ53=CléPersonnalisée2</formula>
    </cfRule>
    <cfRule type="expression" dxfId="12018" priority="1512" stopIfTrue="1">
      <formula>AQ53=CléPersonnalisée1</formula>
    </cfRule>
    <cfRule type="expression" dxfId="12017" priority="1513" stopIfTrue="1">
      <formula>AQ53=CléMaladie</formula>
    </cfRule>
    <cfRule type="expression" dxfId="12016" priority="1514" stopIfTrue="1">
      <formula>AQ53=CléPersonnelle</formula>
    </cfRule>
    <cfRule type="expression" dxfId="12015" priority="1515" stopIfTrue="1">
      <formula>AQ53=CléCongés</formula>
    </cfRule>
  </conditionalFormatting>
  <conditionalFormatting sqref="AM55 AP55">
    <cfRule type="expression" priority="1504" stopIfTrue="1">
      <formula>AM55=""</formula>
    </cfRule>
    <cfRule type="expression" dxfId="12014" priority="1505" stopIfTrue="1">
      <formula>AM55=CléPersonnalisée2</formula>
    </cfRule>
    <cfRule type="expression" dxfId="12013" priority="1506" stopIfTrue="1">
      <formula>AM55=CléPersonnalisée1</formula>
    </cfRule>
    <cfRule type="expression" dxfId="12012" priority="1507" stopIfTrue="1">
      <formula>AM55=CléMaladie</formula>
    </cfRule>
    <cfRule type="expression" dxfId="12011" priority="1508" stopIfTrue="1">
      <formula>AM55=CléPersonnelle</formula>
    </cfRule>
    <cfRule type="expression" dxfId="12010" priority="1509" stopIfTrue="1">
      <formula>AM55=CléCongés</formula>
    </cfRule>
  </conditionalFormatting>
  <conditionalFormatting sqref="C61:AG63">
    <cfRule type="expression" priority="1497" stopIfTrue="1">
      <formula>C61=""</formula>
    </cfRule>
    <cfRule type="expression" dxfId="12009" priority="1498" stopIfTrue="1">
      <formula>C61=CléPersonnalisée2</formula>
    </cfRule>
    <cfRule type="expression" dxfId="12008" priority="1499" stopIfTrue="1">
      <formula>C61=CléPersonnalisée1</formula>
    </cfRule>
    <cfRule type="expression" dxfId="12007" priority="1500" stopIfTrue="1">
      <formula>C61=CléMaladie</formula>
    </cfRule>
    <cfRule type="expression" dxfId="12006" priority="1501" stopIfTrue="1">
      <formula>C61=CléPersonnelle</formula>
    </cfRule>
    <cfRule type="expression" dxfId="12005" priority="1502" stopIfTrue="1">
      <formula>C61=CléCongés</formula>
    </cfRule>
  </conditionalFormatting>
  <conditionalFormatting sqref="AH63">
    <cfRule type="dataBar" priority="1503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{70783585-64A3-4221-B008-D86CA4494EA0}</x14:id>
        </ext>
      </extLst>
    </cfRule>
  </conditionalFormatting>
  <conditionalFormatting sqref="AI63:AL63 AJ61:AL62">
    <cfRule type="expression" priority="1491" stopIfTrue="1">
      <formula>AI61=""</formula>
    </cfRule>
    <cfRule type="expression" dxfId="12004" priority="1492" stopIfTrue="1">
      <formula>AI61=CléPersonnalisée2</formula>
    </cfRule>
    <cfRule type="expression" dxfId="12003" priority="1493" stopIfTrue="1">
      <formula>AI61=CléPersonnalisée1</formula>
    </cfRule>
    <cfRule type="expression" dxfId="12002" priority="1494" stopIfTrue="1">
      <formula>AI61=CléMaladie</formula>
    </cfRule>
    <cfRule type="expression" dxfId="12001" priority="1495" stopIfTrue="1">
      <formula>AI61=CléPersonnelle</formula>
    </cfRule>
    <cfRule type="expression" dxfId="12000" priority="1496" stopIfTrue="1">
      <formula>AI61=CléCongés</formula>
    </cfRule>
  </conditionalFormatting>
  <conditionalFormatting sqref="AM61:AP62">
    <cfRule type="expression" priority="1485" stopIfTrue="1">
      <formula>AM61=""</formula>
    </cfRule>
    <cfRule type="expression" dxfId="11999" priority="1486" stopIfTrue="1">
      <formula>AM61=CléPersonnalisée2</formula>
    </cfRule>
    <cfRule type="expression" dxfId="11998" priority="1487" stopIfTrue="1">
      <formula>AM61=CléPersonnalisée1</formula>
    </cfRule>
    <cfRule type="expression" dxfId="11997" priority="1488" stopIfTrue="1">
      <formula>AM61=CléMaladie</formula>
    </cfRule>
    <cfRule type="expression" dxfId="11996" priority="1489" stopIfTrue="1">
      <formula>AM61=CléPersonnelle</formula>
    </cfRule>
    <cfRule type="expression" dxfId="11995" priority="1490" stopIfTrue="1">
      <formula>AM61=CléCongés</formula>
    </cfRule>
  </conditionalFormatting>
  <conditionalFormatting sqref="AQ61:AR62">
    <cfRule type="expression" priority="1479" stopIfTrue="1">
      <formula>AQ61=""</formula>
    </cfRule>
    <cfRule type="expression" dxfId="11994" priority="1480" stopIfTrue="1">
      <formula>AQ61=CléPersonnalisée2</formula>
    </cfRule>
    <cfRule type="expression" dxfId="11993" priority="1481" stopIfTrue="1">
      <formula>AQ61=CléPersonnalisée1</formula>
    </cfRule>
    <cfRule type="expression" dxfId="11992" priority="1482" stopIfTrue="1">
      <formula>AQ61=CléMaladie</formula>
    </cfRule>
    <cfRule type="expression" dxfId="11991" priority="1483" stopIfTrue="1">
      <formula>AQ61=CléPersonnelle</formula>
    </cfRule>
    <cfRule type="expression" dxfId="11990" priority="1484" stopIfTrue="1">
      <formula>AQ61=CléCongés</formula>
    </cfRule>
  </conditionalFormatting>
  <conditionalFormatting sqref="AM63 AP63">
    <cfRule type="expression" priority="1473" stopIfTrue="1">
      <formula>AM63=""</formula>
    </cfRule>
    <cfRule type="expression" dxfId="11989" priority="1474" stopIfTrue="1">
      <formula>AM63=CléPersonnalisée2</formula>
    </cfRule>
    <cfRule type="expression" dxfId="11988" priority="1475" stopIfTrue="1">
      <formula>AM63=CléPersonnalisée1</formula>
    </cfRule>
    <cfRule type="expression" dxfId="11987" priority="1476" stopIfTrue="1">
      <formula>AM63=CléMaladie</formula>
    </cfRule>
    <cfRule type="expression" dxfId="11986" priority="1477" stopIfTrue="1">
      <formula>AM63=CléPersonnelle</formula>
    </cfRule>
    <cfRule type="expression" dxfId="11985" priority="1478" stopIfTrue="1">
      <formula>AM63=CléCongés</formula>
    </cfRule>
  </conditionalFormatting>
  <conditionalFormatting sqref="C69:AG71">
    <cfRule type="expression" priority="1466" stopIfTrue="1">
      <formula>C69=""</formula>
    </cfRule>
    <cfRule type="expression" dxfId="11984" priority="1467" stopIfTrue="1">
      <formula>C69=CléPersonnalisée2</formula>
    </cfRule>
    <cfRule type="expression" dxfId="11983" priority="1468" stopIfTrue="1">
      <formula>C69=CléPersonnalisée1</formula>
    </cfRule>
    <cfRule type="expression" dxfId="11982" priority="1469" stopIfTrue="1">
      <formula>C69=CléMaladie</formula>
    </cfRule>
    <cfRule type="expression" dxfId="11981" priority="1470" stopIfTrue="1">
      <formula>C69=CléPersonnelle</formula>
    </cfRule>
    <cfRule type="expression" dxfId="11980" priority="1471" stopIfTrue="1">
      <formula>C69=CléCongés</formula>
    </cfRule>
  </conditionalFormatting>
  <conditionalFormatting sqref="AH71">
    <cfRule type="dataBar" priority="1472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{FF0AEF03-8959-458C-ABA3-36EF7DAE2071}</x14:id>
        </ext>
      </extLst>
    </cfRule>
  </conditionalFormatting>
  <conditionalFormatting sqref="AI71:AL71 AJ69:AL70">
    <cfRule type="expression" priority="1460" stopIfTrue="1">
      <formula>AI69=""</formula>
    </cfRule>
    <cfRule type="expression" dxfId="11979" priority="1461" stopIfTrue="1">
      <formula>AI69=CléPersonnalisée2</formula>
    </cfRule>
    <cfRule type="expression" dxfId="11978" priority="1462" stopIfTrue="1">
      <formula>AI69=CléPersonnalisée1</formula>
    </cfRule>
    <cfRule type="expression" dxfId="11977" priority="1463" stopIfTrue="1">
      <formula>AI69=CléMaladie</formula>
    </cfRule>
    <cfRule type="expression" dxfId="11976" priority="1464" stopIfTrue="1">
      <formula>AI69=CléPersonnelle</formula>
    </cfRule>
    <cfRule type="expression" dxfId="11975" priority="1465" stopIfTrue="1">
      <formula>AI69=CléCongés</formula>
    </cfRule>
  </conditionalFormatting>
  <conditionalFormatting sqref="AM69:AP70">
    <cfRule type="expression" priority="1454" stopIfTrue="1">
      <formula>AM69=""</formula>
    </cfRule>
    <cfRule type="expression" dxfId="11974" priority="1455" stopIfTrue="1">
      <formula>AM69=CléPersonnalisée2</formula>
    </cfRule>
    <cfRule type="expression" dxfId="11973" priority="1456" stopIfTrue="1">
      <formula>AM69=CléPersonnalisée1</formula>
    </cfRule>
    <cfRule type="expression" dxfId="11972" priority="1457" stopIfTrue="1">
      <formula>AM69=CléMaladie</formula>
    </cfRule>
    <cfRule type="expression" dxfId="11971" priority="1458" stopIfTrue="1">
      <formula>AM69=CléPersonnelle</formula>
    </cfRule>
    <cfRule type="expression" dxfId="11970" priority="1459" stopIfTrue="1">
      <formula>AM69=CléCongés</formula>
    </cfRule>
  </conditionalFormatting>
  <conditionalFormatting sqref="AQ69:AR70">
    <cfRule type="expression" priority="1448" stopIfTrue="1">
      <formula>AQ69=""</formula>
    </cfRule>
    <cfRule type="expression" dxfId="11969" priority="1449" stopIfTrue="1">
      <formula>AQ69=CléPersonnalisée2</formula>
    </cfRule>
    <cfRule type="expression" dxfId="11968" priority="1450" stopIfTrue="1">
      <formula>AQ69=CléPersonnalisée1</formula>
    </cfRule>
    <cfRule type="expression" dxfId="11967" priority="1451" stopIfTrue="1">
      <formula>AQ69=CléMaladie</formula>
    </cfRule>
    <cfRule type="expression" dxfId="11966" priority="1452" stopIfTrue="1">
      <formula>AQ69=CléPersonnelle</formula>
    </cfRule>
    <cfRule type="expression" dxfId="11965" priority="1453" stopIfTrue="1">
      <formula>AQ69=CléCongés</formula>
    </cfRule>
  </conditionalFormatting>
  <conditionalFormatting sqref="AM71 AP71">
    <cfRule type="expression" priority="1442" stopIfTrue="1">
      <formula>AM71=""</formula>
    </cfRule>
    <cfRule type="expression" dxfId="11964" priority="1443" stopIfTrue="1">
      <formula>AM71=CléPersonnalisée2</formula>
    </cfRule>
    <cfRule type="expression" dxfId="11963" priority="1444" stopIfTrue="1">
      <formula>AM71=CléPersonnalisée1</formula>
    </cfRule>
    <cfRule type="expression" dxfId="11962" priority="1445" stopIfTrue="1">
      <formula>AM71=CléMaladie</formula>
    </cfRule>
    <cfRule type="expression" dxfId="11961" priority="1446" stopIfTrue="1">
      <formula>AM71=CléPersonnelle</formula>
    </cfRule>
    <cfRule type="expression" dxfId="11960" priority="1447" stopIfTrue="1">
      <formula>AM71=CléCongés</formula>
    </cfRule>
  </conditionalFormatting>
  <conditionalFormatting sqref="AI23">
    <cfRule type="expression" priority="1430" stopIfTrue="1">
      <formula>AI23=""</formula>
    </cfRule>
    <cfRule type="expression" dxfId="11959" priority="1431" stopIfTrue="1">
      <formula>AI23=CléPersonnalisée2</formula>
    </cfRule>
    <cfRule type="expression" dxfId="11958" priority="1432" stopIfTrue="1">
      <formula>AI23=CléPersonnalisée1</formula>
    </cfRule>
    <cfRule type="expression" dxfId="11957" priority="1433" stopIfTrue="1">
      <formula>AI23=CléMaladie</formula>
    </cfRule>
    <cfRule type="expression" dxfId="11956" priority="1434" stopIfTrue="1">
      <formula>AI23=CléPersonnelle</formula>
    </cfRule>
    <cfRule type="expression" dxfId="11955" priority="1435" stopIfTrue="1">
      <formula>AI23=CléCongés</formula>
    </cfRule>
  </conditionalFormatting>
  <conditionalFormatting sqref="AI19">
    <cfRule type="expression" priority="1436" stopIfTrue="1">
      <formula>AI19=""</formula>
    </cfRule>
    <cfRule type="expression" dxfId="11954" priority="1437" stopIfTrue="1">
      <formula>AI19=CléPersonnalisée2</formula>
    </cfRule>
    <cfRule type="expression" dxfId="11953" priority="1438" stopIfTrue="1">
      <formula>AI19=CléPersonnalisée1</formula>
    </cfRule>
    <cfRule type="expression" dxfId="11952" priority="1439" stopIfTrue="1">
      <formula>AI19=CléMaladie</formula>
    </cfRule>
    <cfRule type="expression" dxfId="11951" priority="1440" stopIfTrue="1">
      <formula>AI19=CléPersonnelle</formula>
    </cfRule>
    <cfRule type="expression" dxfId="11950" priority="1441" stopIfTrue="1">
      <formula>AI19=CléCongés</formula>
    </cfRule>
  </conditionalFormatting>
  <conditionalFormatting sqref="AI25:AI26">
    <cfRule type="expression" priority="1362" stopIfTrue="1">
      <formula>AI25=""</formula>
    </cfRule>
    <cfRule type="expression" dxfId="11949" priority="1363" stopIfTrue="1">
      <formula>AI25=CléPersonnalisée2</formula>
    </cfRule>
    <cfRule type="expression" dxfId="11948" priority="1364" stopIfTrue="1">
      <formula>AI25=CléPersonnalisée1</formula>
    </cfRule>
    <cfRule type="expression" dxfId="11947" priority="1365" stopIfTrue="1">
      <formula>AI25=CléMaladie</formula>
    </cfRule>
    <cfRule type="expression" dxfId="11946" priority="1366" stopIfTrue="1">
      <formula>AI25=CléPersonnelle</formula>
    </cfRule>
    <cfRule type="expression" dxfId="11945" priority="1367" stopIfTrue="1">
      <formula>AI25=CléCongés</formula>
    </cfRule>
  </conditionalFormatting>
  <conditionalFormatting sqref="AH19">
    <cfRule type="dataBar" priority="1429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{7367741F-1CEC-4C07-8D39-48FB88E911BE}</x14:id>
        </ext>
      </extLst>
    </cfRule>
  </conditionalFormatting>
  <conditionalFormatting sqref="AH23">
    <cfRule type="dataBar" priority="1428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{07CB5C54-4535-4708-81AC-BFBE9A26B7C9}</x14:id>
        </ext>
      </extLst>
    </cfRule>
  </conditionalFormatting>
  <conditionalFormatting sqref="AM17:AP18">
    <cfRule type="expression" priority="1422" stopIfTrue="1">
      <formula>AM17=""</formula>
    </cfRule>
    <cfRule type="expression" dxfId="11944" priority="1423" stopIfTrue="1">
      <formula>AM17=CléPersonnalisée2</formula>
    </cfRule>
    <cfRule type="expression" dxfId="11943" priority="1424" stopIfTrue="1">
      <formula>AM17=CléPersonnalisée1</formula>
    </cfRule>
    <cfRule type="expression" dxfId="11942" priority="1425" stopIfTrue="1">
      <formula>AM17=CléMaladie</formula>
    </cfRule>
    <cfRule type="expression" dxfId="11941" priority="1426" stopIfTrue="1">
      <formula>AM17=CléPersonnelle</formula>
    </cfRule>
    <cfRule type="expression" dxfId="11940" priority="1427" stopIfTrue="1">
      <formula>AM17=CléCongés</formula>
    </cfRule>
  </conditionalFormatting>
  <conditionalFormatting sqref="AQ17:AR18">
    <cfRule type="expression" priority="1416" stopIfTrue="1">
      <formula>AQ17=""</formula>
    </cfRule>
    <cfRule type="expression" dxfId="11939" priority="1417" stopIfTrue="1">
      <formula>AQ17=CléPersonnalisée2</formula>
    </cfRule>
    <cfRule type="expression" dxfId="11938" priority="1418" stopIfTrue="1">
      <formula>AQ17=CléPersonnalisée1</formula>
    </cfRule>
    <cfRule type="expression" dxfId="11937" priority="1419" stopIfTrue="1">
      <formula>AQ17=CléMaladie</formula>
    </cfRule>
    <cfRule type="expression" dxfId="11936" priority="1420" stopIfTrue="1">
      <formula>AQ17=CléPersonnelle</formula>
    </cfRule>
    <cfRule type="expression" dxfId="11935" priority="1421" stopIfTrue="1">
      <formula>AQ17=CléCongés</formula>
    </cfRule>
  </conditionalFormatting>
  <conditionalFormatting sqref="AM19 AP19">
    <cfRule type="expression" priority="1410" stopIfTrue="1">
      <formula>AM19=""</formula>
    </cfRule>
    <cfRule type="expression" dxfId="11934" priority="1411" stopIfTrue="1">
      <formula>AM19=CléPersonnalisée2</formula>
    </cfRule>
    <cfRule type="expression" dxfId="11933" priority="1412" stopIfTrue="1">
      <formula>AM19=CléPersonnalisée1</formula>
    </cfRule>
    <cfRule type="expression" dxfId="11932" priority="1413" stopIfTrue="1">
      <formula>AM19=CléMaladie</formula>
    </cfRule>
    <cfRule type="expression" dxfId="11931" priority="1414" stopIfTrue="1">
      <formula>AM19=CléPersonnelle</formula>
    </cfRule>
    <cfRule type="expression" dxfId="11930" priority="1415" stopIfTrue="1">
      <formula>AM19=CléCongés</formula>
    </cfRule>
  </conditionalFormatting>
  <conditionalFormatting sqref="AM21:AP22">
    <cfRule type="expression" priority="1404" stopIfTrue="1">
      <formula>AM21=""</formula>
    </cfRule>
    <cfRule type="expression" dxfId="11929" priority="1405" stopIfTrue="1">
      <formula>AM21=CléPersonnalisée2</formula>
    </cfRule>
    <cfRule type="expression" dxfId="11928" priority="1406" stopIfTrue="1">
      <formula>AM21=CléPersonnalisée1</formula>
    </cfRule>
    <cfRule type="expression" dxfId="11927" priority="1407" stopIfTrue="1">
      <formula>AM21=CléMaladie</formula>
    </cfRule>
    <cfRule type="expression" dxfId="11926" priority="1408" stopIfTrue="1">
      <formula>AM21=CléPersonnelle</formula>
    </cfRule>
    <cfRule type="expression" dxfId="11925" priority="1409" stopIfTrue="1">
      <formula>AM21=CléCongés</formula>
    </cfRule>
  </conditionalFormatting>
  <conditionalFormatting sqref="AQ21:AR22">
    <cfRule type="expression" priority="1398" stopIfTrue="1">
      <formula>AQ21=""</formula>
    </cfRule>
    <cfRule type="expression" dxfId="11924" priority="1399" stopIfTrue="1">
      <formula>AQ21=CléPersonnalisée2</formula>
    </cfRule>
    <cfRule type="expression" dxfId="11923" priority="1400" stopIfTrue="1">
      <formula>AQ21=CléPersonnalisée1</formula>
    </cfRule>
    <cfRule type="expression" dxfId="11922" priority="1401" stopIfTrue="1">
      <formula>AQ21=CléMaladie</formula>
    </cfRule>
    <cfRule type="expression" dxfId="11921" priority="1402" stopIfTrue="1">
      <formula>AQ21=CléPersonnelle</formula>
    </cfRule>
    <cfRule type="expression" dxfId="11920" priority="1403" stopIfTrue="1">
      <formula>AQ21=CléCongés</formula>
    </cfRule>
  </conditionalFormatting>
  <conditionalFormatting sqref="AM23 AP23">
    <cfRule type="expression" priority="1392" stopIfTrue="1">
      <formula>AM23=""</formula>
    </cfRule>
    <cfRule type="expression" dxfId="11919" priority="1393" stopIfTrue="1">
      <formula>AM23=CléPersonnalisée2</formula>
    </cfRule>
    <cfRule type="expression" dxfId="11918" priority="1394" stopIfTrue="1">
      <formula>AM23=CléPersonnalisée1</formula>
    </cfRule>
    <cfRule type="expression" dxfId="11917" priority="1395" stopIfTrue="1">
      <formula>AM23=CléMaladie</formula>
    </cfRule>
    <cfRule type="expression" dxfId="11916" priority="1396" stopIfTrue="1">
      <formula>AM23=CléPersonnelle</formula>
    </cfRule>
    <cfRule type="expression" dxfId="11915" priority="1397" stopIfTrue="1">
      <formula>AM23=CléCongés</formula>
    </cfRule>
  </conditionalFormatting>
  <conditionalFormatting sqref="AH17:AH18">
    <cfRule type="dataBar" priority="1391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{52896360-2E02-451C-9BE2-E66BC55452DA}</x14:id>
        </ext>
      </extLst>
    </cfRule>
  </conditionalFormatting>
  <conditionalFormatting sqref="AH21:AH22">
    <cfRule type="dataBar" priority="1390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{4A611853-EC87-42D9-BAB1-95E68748F889}</x14:id>
        </ext>
      </extLst>
    </cfRule>
  </conditionalFormatting>
  <conditionalFormatting sqref="AH25:AH26">
    <cfRule type="dataBar" priority="1389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{57159145-A2E2-49A5-9C54-A9DDABF08A53}</x14:id>
        </ext>
      </extLst>
    </cfRule>
  </conditionalFormatting>
  <conditionalFormatting sqref="AH29:AH30">
    <cfRule type="dataBar" priority="1388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{0B064884-6CF8-4113-AF87-75B8FC26BD49}</x14:id>
        </ext>
      </extLst>
    </cfRule>
  </conditionalFormatting>
  <conditionalFormatting sqref="AH33:AH34">
    <cfRule type="dataBar" priority="1387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{0EDDB1B3-50CF-40FF-A429-F8A6A5610408}</x14:id>
        </ext>
      </extLst>
    </cfRule>
  </conditionalFormatting>
  <conditionalFormatting sqref="AH37:AH38">
    <cfRule type="dataBar" priority="1386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{4810416D-D94E-4EE5-A311-3539FC5AF006}</x14:id>
        </ext>
      </extLst>
    </cfRule>
  </conditionalFormatting>
  <conditionalFormatting sqref="AH41:AH42">
    <cfRule type="dataBar" priority="1385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{F4C8F80A-8E19-4076-80A0-D7A916C9B430}</x14:id>
        </ext>
      </extLst>
    </cfRule>
  </conditionalFormatting>
  <conditionalFormatting sqref="AH45:AH46">
    <cfRule type="dataBar" priority="1384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{FFF5B89A-BD71-4A69-9855-624869035F94}</x14:id>
        </ext>
      </extLst>
    </cfRule>
  </conditionalFormatting>
  <conditionalFormatting sqref="AH49:AH50">
    <cfRule type="dataBar" priority="1383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{AB8BCADB-345B-44D4-8E4D-EDD0B538DB26}</x14:id>
        </ext>
      </extLst>
    </cfRule>
  </conditionalFormatting>
  <conditionalFormatting sqref="AH53:AH54">
    <cfRule type="dataBar" priority="1382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{7489D6ED-2511-4FCC-BED0-4CAAE45105E1}</x14:id>
        </ext>
      </extLst>
    </cfRule>
  </conditionalFormatting>
  <conditionalFormatting sqref="AH61:AH62">
    <cfRule type="dataBar" priority="1381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{46659A6F-C3FF-461D-94BE-A23ACEA785BC}</x14:id>
        </ext>
      </extLst>
    </cfRule>
  </conditionalFormatting>
  <conditionalFormatting sqref="AH69:AH70">
    <cfRule type="dataBar" priority="1380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{210C2637-A113-498B-B03D-430BE0692DBE}</x14:id>
        </ext>
      </extLst>
    </cfRule>
  </conditionalFormatting>
  <conditionalFormatting sqref="AM65:AP66">
    <cfRule type="expression" priority="1180" stopIfTrue="1">
      <formula>AM65=""</formula>
    </cfRule>
    <cfRule type="expression" dxfId="11914" priority="1181" stopIfTrue="1">
      <formula>AM65=CléPersonnalisée2</formula>
    </cfRule>
    <cfRule type="expression" dxfId="11913" priority="1182" stopIfTrue="1">
      <formula>AM65=CléPersonnalisée1</formula>
    </cfRule>
    <cfRule type="expression" dxfId="11912" priority="1183" stopIfTrue="1">
      <formula>AM65=CléMaladie</formula>
    </cfRule>
    <cfRule type="expression" dxfId="11911" priority="1184" stopIfTrue="1">
      <formula>AM65=CléPersonnelle</formula>
    </cfRule>
    <cfRule type="expression" dxfId="11910" priority="1185" stopIfTrue="1">
      <formula>AM65=CléCongés</formula>
    </cfRule>
  </conditionalFormatting>
  <conditionalFormatting sqref="AM67 AP67">
    <cfRule type="expression" priority="1168" stopIfTrue="1">
      <formula>AM67=""</formula>
    </cfRule>
    <cfRule type="expression" dxfId="11909" priority="1169" stopIfTrue="1">
      <formula>AM67=CléPersonnalisée2</formula>
    </cfRule>
    <cfRule type="expression" dxfId="11908" priority="1170" stopIfTrue="1">
      <formula>AM67=CléPersonnalisée1</formula>
    </cfRule>
    <cfRule type="expression" dxfId="11907" priority="1171" stopIfTrue="1">
      <formula>AM67=CléMaladie</formula>
    </cfRule>
    <cfRule type="expression" dxfId="11906" priority="1172" stopIfTrue="1">
      <formula>AM67=CléPersonnelle</formula>
    </cfRule>
    <cfRule type="expression" dxfId="11905" priority="1173" stopIfTrue="1">
      <formula>AM67=CléCongés</formula>
    </cfRule>
  </conditionalFormatting>
  <conditionalFormatting sqref="AI17:AI18">
    <cfRule type="expression" priority="1374" stopIfTrue="1">
      <formula>AI17=""</formula>
    </cfRule>
    <cfRule type="expression" dxfId="11904" priority="1375" stopIfTrue="1">
      <formula>AI17=CléPersonnalisée2</formula>
    </cfRule>
    <cfRule type="expression" dxfId="11903" priority="1376" stopIfTrue="1">
      <formula>AI17=CléPersonnalisée1</formula>
    </cfRule>
    <cfRule type="expression" dxfId="11902" priority="1377" stopIfTrue="1">
      <formula>AI17=CléMaladie</formula>
    </cfRule>
    <cfRule type="expression" dxfId="11901" priority="1378" stopIfTrue="1">
      <formula>AI17=CléPersonnelle</formula>
    </cfRule>
    <cfRule type="expression" dxfId="11900" priority="1379" stopIfTrue="1">
      <formula>AI17=CléCongés</formula>
    </cfRule>
  </conditionalFormatting>
  <conditionalFormatting sqref="AI21:AI22">
    <cfRule type="expression" priority="1368" stopIfTrue="1">
      <formula>AI21=""</formula>
    </cfRule>
    <cfRule type="expression" dxfId="11899" priority="1369" stopIfTrue="1">
      <formula>AI21=CléPersonnalisée2</formula>
    </cfRule>
    <cfRule type="expression" dxfId="11898" priority="1370" stopIfTrue="1">
      <formula>AI21=CléPersonnalisée1</formula>
    </cfRule>
    <cfRule type="expression" dxfId="11897" priority="1371" stopIfTrue="1">
      <formula>AI21=CléMaladie</formula>
    </cfRule>
    <cfRule type="expression" dxfId="11896" priority="1372" stopIfTrue="1">
      <formula>AI21=CléPersonnelle</formula>
    </cfRule>
    <cfRule type="expression" dxfId="11895" priority="1373" stopIfTrue="1">
      <formula>AI21=CléCongés</formula>
    </cfRule>
  </conditionalFormatting>
  <conditionalFormatting sqref="AI29:AI30">
    <cfRule type="expression" priority="1356" stopIfTrue="1">
      <formula>AI29=""</formula>
    </cfRule>
    <cfRule type="expression" dxfId="11894" priority="1357" stopIfTrue="1">
      <formula>AI29=CléPersonnalisée2</formula>
    </cfRule>
    <cfRule type="expression" dxfId="11893" priority="1358" stopIfTrue="1">
      <formula>AI29=CléPersonnalisée1</formula>
    </cfRule>
    <cfRule type="expression" dxfId="11892" priority="1359" stopIfTrue="1">
      <formula>AI29=CléMaladie</formula>
    </cfRule>
    <cfRule type="expression" dxfId="11891" priority="1360" stopIfTrue="1">
      <formula>AI29=CléPersonnelle</formula>
    </cfRule>
    <cfRule type="expression" dxfId="11890" priority="1361" stopIfTrue="1">
      <formula>AI29=CléCongés</formula>
    </cfRule>
  </conditionalFormatting>
  <conditionalFormatting sqref="AI33:AI34">
    <cfRule type="expression" priority="1350" stopIfTrue="1">
      <formula>AI33=""</formula>
    </cfRule>
    <cfRule type="expression" dxfId="11889" priority="1351" stopIfTrue="1">
      <formula>AI33=CléPersonnalisée2</formula>
    </cfRule>
    <cfRule type="expression" dxfId="11888" priority="1352" stopIfTrue="1">
      <formula>AI33=CléPersonnalisée1</formula>
    </cfRule>
    <cfRule type="expression" dxfId="11887" priority="1353" stopIfTrue="1">
      <formula>AI33=CléMaladie</formula>
    </cfRule>
    <cfRule type="expression" dxfId="11886" priority="1354" stopIfTrue="1">
      <formula>AI33=CléPersonnelle</formula>
    </cfRule>
    <cfRule type="expression" dxfId="11885" priority="1355" stopIfTrue="1">
      <formula>AI33=CléCongés</formula>
    </cfRule>
  </conditionalFormatting>
  <conditionalFormatting sqref="AI37:AI38">
    <cfRule type="expression" priority="1344" stopIfTrue="1">
      <formula>AI37=""</formula>
    </cfRule>
    <cfRule type="expression" dxfId="11884" priority="1345" stopIfTrue="1">
      <formula>AI37=CléPersonnalisée2</formula>
    </cfRule>
    <cfRule type="expression" dxfId="11883" priority="1346" stopIfTrue="1">
      <formula>AI37=CléPersonnalisée1</formula>
    </cfRule>
    <cfRule type="expression" dxfId="11882" priority="1347" stopIfTrue="1">
      <formula>AI37=CléMaladie</formula>
    </cfRule>
    <cfRule type="expression" dxfId="11881" priority="1348" stopIfTrue="1">
      <formula>AI37=CléPersonnelle</formula>
    </cfRule>
    <cfRule type="expression" dxfId="11880" priority="1349" stopIfTrue="1">
      <formula>AI37=CléCongés</formula>
    </cfRule>
  </conditionalFormatting>
  <conditionalFormatting sqref="AI41:AI42">
    <cfRule type="expression" priority="1338" stopIfTrue="1">
      <formula>AI41=""</formula>
    </cfRule>
    <cfRule type="expression" dxfId="11879" priority="1339" stopIfTrue="1">
      <formula>AI41=CléPersonnalisée2</formula>
    </cfRule>
    <cfRule type="expression" dxfId="11878" priority="1340" stopIfTrue="1">
      <formula>AI41=CléPersonnalisée1</formula>
    </cfRule>
    <cfRule type="expression" dxfId="11877" priority="1341" stopIfTrue="1">
      <formula>AI41=CléMaladie</formula>
    </cfRule>
    <cfRule type="expression" dxfId="11876" priority="1342" stopIfTrue="1">
      <formula>AI41=CléPersonnelle</formula>
    </cfRule>
    <cfRule type="expression" dxfId="11875" priority="1343" stopIfTrue="1">
      <formula>AI41=CléCongés</formula>
    </cfRule>
  </conditionalFormatting>
  <conditionalFormatting sqref="AI45:AI46">
    <cfRule type="expression" priority="1332" stopIfTrue="1">
      <formula>AI45=""</formula>
    </cfRule>
    <cfRule type="expression" dxfId="11874" priority="1333" stopIfTrue="1">
      <formula>AI45=CléPersonnalisée2</formula>
    </cfRule>
    <cfRule type="expression" dxfId="11873" priority="1334" stopIfTrue="1">
      <formula>AI45=CléPersonnalisée1</formula>
    </cfRule>
    <cfRule type="expression" dxfId="11872" priority="1335" stopIfTrue="1">
      <formula>AI45=CléMaladie</formula>
    </cfRule>
    <cfRule type="expression" dxfId="11871" priority="1336" stopIfTrue="1">
      <formula>AI45=CléPersonnelle</formula>
    </cfRule>
    <cfRule type="expression" dxfId="11870" priority="1337" stopIfTrue="1">
      <formula>AI45=CléCongés</formula>
    </cfRule>
  </conditionalFormatting>
  <conditionalFormatting sqref="AI49:AI50">
    <cfRule type="expression" priority="1326" stopIfTrue="1">
      <formula>AI49=""</formula>
    </cfRule>
    <cfRule type="expression" dxfId="11869" priority="1327" stopIfTrue="1">
      <formula>AI49=CléPersonnalisée2</formula>
    </cfRule>
    <cfRule type="expression" dxfId="11868" priority="1328" stopIfTrue="1">
      <formula>AI49=CléPersonnalisée1</formula>
    </cfRule>
    <cfRule type="expression" dxfId="11867" priority="1329" stopIfTrue="1">
      <formula>AI49=CléMaladie</formula>
    </cfRule>
    <cfRule type="expression" dxfId="11866" priority="1330" stopIfTrue="1">
      <formula>AI49=CléPersonnelle</formula>
    </cfRule>
    <cfRule type="expression" dxfId="11865" priority="1331" stopIfTrue="1">
      <formula>AI49=CléCongés</formula>
    </cfRule>
  </conditionalFormatting>
  <conditionalFormatting sqref="AI53:AI54">
    <cfRule type="expression" priority="1320" stopIfTrue="1">
      <formula>AI53=""</formula>
    </cfRule>
    <cfRule type="expression" dxfId="11864" priority="1321" stopIfTrue="1">
      <formula>AI53=CléPersonnalisée2</formula>
    </cfRule>
    <cfRule type="expression" dxfId="11863" priority="1322" stopIfTrue="1">
      <formula>AI53=CléPersonnalisée1</formula>
    </cfRule>
    <cfRule type="expression" dxfId="11862" priority="1323" stopIfTrue="1">
      <formula>AI53=CléMaladie</formula>
    </cfRule>
    <cfRule type="expression" dxfId="11861" priority="1324" stopIfTrue="1">
      <formula>AI53=CléPersonnelle</formula>
    </cfRule>
    <cfRule type="expression" dxfId="11860" priority="1325" stopIfTrue="1">
      <formula>AI53=CléCongés</formula>
    </cfRule>
  </conditionalFormatting>
  <conditionalFormatting sqref="AI61:AI62">
    <cfRule type="expression" priority="1314" stopIfTrue="1">
      <formula>AI61=""</formula>
    </cfRule>
    <cfRule type="expression" dxfId="11859" priority="1315" stopIfTrue="1">
      <formula>AI61=CléPersonnalisée2</formula>
    </cfRule>
    <cfRule type="expression" dxfId="11858" priority="1316" stopIfTrue="1">
      <formula>AI61=CléPersonnalisée1</formula>
    </cfRule>
    <cfRule type="expression" dxfId="11857" priority="1317" stopIfTrue="1">
      <formula>AI61=CléMaladie</formula>
    </cfRule>
    <cfRule type="expression" dxfId="11856" priority="1318" stopIfTrue="1">
      <formula>AI61=CléPersonnelle</formula>
    </cfRule>
    <cfRule type="expression" dxfId="11855" priority="1319" stopIfTrue="1">
      <formula>AI61=CléCongés</formula>
    </cfRule>
  </conditionalFormatting>
  <conditionalFormatting sqref="AI69:AI70">
    <cfRule type="expression" priority="1308" stopIfTrue="1">
      <formula>AI69=""</formula>
    </cfRule>
    <cfRule type="expression" dxfId="11854" priority="1309" stopIfTrue="1">
      <formula>AI69=CléPersonnalisée2</formula>
    </cfRule>
    <cfRule type="expression" dxfId="11853" priority="1310" stopIfTrue="1">
      <formula>AI69=CléPersonnalisée1</formula>
    </cfRule>
    <cfRule type="expression" dxfId="11852" priority="1311" stopIfTrue="1">
      <formula>AI69=CléMaladie</formula>
    </cfRule>
    <cfRule type="expression" dxfId="11851" priority="1312" stopIfTrue="1">
      <formula>AI69=CléPersonnelle</formula>
    </cfRule>
    <cfRule type="expression" dxfId="11850" priority="1313" stopIfTrue="1">
      <formula>AI69=CléCongés</formula>
    </cfRule>
  </conditionalFormatting>
  <conditionalFormatting sqref="AN11">
    <cfRule type="expression" priority="1302" stopIfTrue="1">
      <formula>AN11=""</formula>
    </cfRule>
    <cfRule type="expression" dxfId="11849" priority="1303" stopIfTrue="1">
      <formula>AN11=CléPersonnalisée2</formula>
    </cfRule>
    <cfRule type="expression" dxfId="11848" priority="1304" stopIfTrue="1">
      <formula>AN11=CléPersonnalisée1</formula>
    </cfRule>
    <cfRule type="expression" dxfId="11847" priority="1305" stopIfTrue="1">
      <formula>AN11=CléMaladie</formula>
    </cfRule>
    <cfRule type="expression" dxfId="11846" priority="1306" stopIfTrue="1">
      <formula>AN11=CléPersonnelle</formula>
    </cfRule>
    <cfRule type="expression" dxfId="11845" priority="1307" stopIfTrue="1">
      <formula>AN11=CléCongés</formula>
    </cfRule>
  </conditionalFormatting>
  <conditionalFormatting sqref="AN19">
    <cfRule type="expression" priority="1296" stopIfTrue="1">
      <formula>AN19=""</formula>
    </cfRule>
    <cfRule type="expression" dxfId="11844" priority="1297" stopIfTrue="1">
      <formula>AN19=CléPersonnalisée2</formula>
    </cfRule>
    <cfRule type="expression" dxfId="11843" priority="1298" stopIfTrue="1">
      <formula>AN19=CléPersonnalisée1</formula>
    </cfRule>
    <cfRule type="expression" dxfId="11842" priority="1299" stopIfTrue="1">
      <formula>AN19=CléMaladie</formula>
    </cfRule>
    <cfRule type="expression" dxfId="11841" priority="1300" stopIfTrue="1">
      <formula>AN19=CléPersonnelle</formula>
    </cfRule>
    <cfRule type="expression" dxfId="11840" priority="1301" stopIfTrue="1">
      <formula>AN19=CléCongés</formula>
    </cfRule>
  </conditionalFormatting>
  <conditionalFormatting sqref="AN23">
    <cfRule type="expression" priority="1290" stopIfTrue="1">
      <formula>AN23=""</formula>
    </cfRule>
    <cfRule type="expression" dxfId="11839" priority="1291" stopIfTrue="1">
      <formula>AN23=CléPersonnalisée2</formula>
    </cfRule>
    <cfRule type="expression" dxfId="11838" priority="1292" stopIfTrue="1">
      <formula>AN23=CléPersonnalisée1</formula>
    </cfRule>
    <cfRule type="expression" dxfId="11837" priority="1293" stopIfTrue="1">
      <formula>AN23=CléMaladie</formula>
    </cfRule>
    <cfRule type="expression" dxfId="11836" priority="1294" stopIfTrue="1">
      <formula>AN23=CléPersonnelle</formula>
    </cfRule>
    <cfRule type="expression" dxfId="11835" priority="1295" stopIfTrue="1">
      <formula>AN23=CléCongés</formula>
    </cfRule>
  </conditionalFormatting>
  <conditionalFormatting sqref="AN27">
    <cfRule type="expression" priority="1284" stopIfTrue="1">
      <formula>AN27=""</formula>
    </cfRule>
    <cfRule type="expression" dxfId="11834" priority="1285" stopIfTrue="1">
      <formula>AN27=CléPersonnalisée2</formula>
    </cfRule>
    <cfRule type="expression" dxfId="11833" priority="1286" stopIfTrue="1">
      <formula>AN27=CléPersonnalisée1</formula>
    </cfRule>
    <cfRule type="expression" dxfId="11832" priority="1287" stopIfTrue="1">
      <formula>AN27=CléMaladie</formula>
    </cfRule>
    <cfRule type="expression" dxfId="11831" priority="1288" stopIfTrue="1">
      <formula>AN27=CléPersonnelle</formula>
    </cfRule>
    <cfRule type="expression" dxfId="11830" priority="1289" stopIfTrue="1">
      <formula>AN27=CléCongés</formula>
    </cfRule>
  </conditionalFormatting>
  <conditionalFormatting sqref="AN31">
    <cfRule type="expression" priority="1278" stopIfTrue="1">
      <formula>AN31=""</formula>
    </cfRule>
    <cfRule type="expression" dxfId="11829" priority="1279" stopIfTrue="1">
      <formula>AN31=CléPersonnalisée2</formula>
    </cfRule>
    <cfRule type="expression" dxfId="11828" priority="1280" stopIfTrue="1">
      <formula>AN31=CléPersonnalisée1</formula>
    </cfRule>
    <cfRule type="expression" dxfId="11827" priority="1281" stopIfTrue="1">
      <formula>AN31=CléMaladie</formula>
    </cfRule>
    <cfRule type="expression" dxfId="11826" priority="1282" stopIfTrue="1">
      <formula>AN31=CléPersonnelle</formula>
    </cfRule>
    <cfRule type="expression" dxfId="11825" priority="1283" stopIfTrue="1">
      <formula>AN31=CléCongés</formula>
    </cfRule>
  </conditionalFormatting>
  <conditionalFormatting sqref="AN35">
    <cfRule type="expression" priority="1272" stopIfTrue="1">
      <formula>AN35=""</formula>
    </cfRule>
    <cfRule type="expression" dxfId="11824" priority="1273" stopIfTrue="1">
      <formula>AN35=CléPersonnalisée2</formula>
    </cfRule>
    <cfRule type="expression" dxfId="11823" priority="1274" stopIfTrue="1">
      <formula>AN35=CléPersonnalisée1</formula>
    </cfRule>
    <cfRule type="expression" dxfId="11822" priority="1275" stopIfTrue="1">
      <formula>AN35=CléMaladie</formula>
    </cfRule>
    <cfRule type="expression" dxfId="11821" priority="1276" stopIfTrue="1">
      <formula>AN35=CléPersonnelle</formula>
    </cfRule>
    <cfRule type="expression" dxfId="11820" priority="1277" stopIfTrue="1">
      <formula>AN35=CléCongés</formula>
    </cfRule>
  </conditionalFormatting>
  <conditionalFormatting sqref="AN39">
    <cfRule type="expression" priority="1266" stopIfTrue="1">
      <formula>AN39=""</formula>
    </cfRule>
    <cfRule type="expression" dxfId="11819" priority="1267" stopIfTrue="1">
      <formula>AN39=CléPersonnalisée2</formula>
    </cfRule>
    <cfRule type="expression" dxfId="11818" priority="1268" stopIfTrue="1">
      <formula>AN39=CléPersonnalisée1</formula>
    </cfRule>
    <cfRule type="expression" dxfId="11817" priority="1269" stopIfTrue="1">
      <formula>AN39=CléMaladie</formula>
    </cfRule>
    <cfRule type="expression" dxfId="11816" priority="1270" stopIfTrue="1">
      <formula>AN39=CléPersonnelle</formula>
    </cfRule>
    <cfRule type="expression" dxfId="11815" priority="1271" stopIfTrue="1">
      <formula>AN39=CléCongés</formula>
    </cfRule>
  </conditionalFormatting>
  <conditionalFormatting sqref="AN43">
    <cfRule type="expression" priority="1260" stopIfTrue="1">
      <formula>AN43=""</formula>
    </cfRule>
    <cfRule type="expression" dxfId="11814" priority="1261" stopIfTrue="1">
      <formula>AN43=CléPersonnalisée2</formula>
    </cfRule>
    <cfRule type="expression" dxfId="11813" priority="1262" stopIfTrue="1">
      <formula>AN43=CléPersonnalisée1</formula>
    </cfRule>
    <cfRule type="expression" dxfId="11812" priority="1263" stopIfTrue="1">
      <formula>AN43=CléMaladie</formula>
    </cfRule>
    <cfRule type="expression" dxfId="11811" priority="1264" stopIfTrue="1">
      <formula>AN43=CléPersonnelle</formula>
    </cfRule>
    <cfRule type="expression" dxfId="11810" priority="1265" stopIfTrue="1">
      <formula>AN43=CléCongés</formula>
    </cfRule>
  </conditionalFormatting>
  <conditionalFormatting sqref="AN47">
    <cfRule type="expression" priority="1254" stopIfTrue="1">
      <formula>AN47=""</formula>
    </cfRule>
    <cfRule type="expression" dxfId="11809" priority="1255" stopIfTrue="1">
      <formula>AN47=CléPersonnalisée2</formula>
    </cfRule>
    <cfRule type="expression" dxfId="11808" priority="1256" stopIfTrue="1">
      <formula>AN47=CléPersonnalisée1</formula>
    </cfRule>
    <cfRule type="expression" dxfId="11807" priority="1257" stopIfTrue="1">
      <formula>AN47=CléMaladie</formula>
    </cfRule>
    <cfRule type="expression" dxfId="11806" priority="1258" stopIfTrue="1">
      <formula>AN47=CléPersonnelle</formula>
    </cfRule>
    <cfRule type="expression" dxfId="11805" priority="1259" stopIfTrue="1">
      <formula>AN47=CléCongés</formula>
    </cfRule>
  </conditionalFormatting>
  <conditionalFormatting sqref="AN51">
    <cfRule type="expression" priority="1248" stopIfTrue="1">
      <formula>AN51=""</formula>
    </cfRule>
    <cfRule type="expression" dxfId="11804" priority="1249" stopIfTrue="1">
      <formula>AN51=CléPersonnalisée2</formula>
    </cfRule>
    <cfRule type="expression" dxfId="11803" priority="1250" stopIfTrue="1">
      <formula>AN51=CléPersonnalisée1</formula>
    </cfRule>
    <cfRule type="expression" dxfId="11802" priority="1251" stopIfTrue="1">
      <formula>AN51=CléMaladie</formula>
    </cfRule>
    <cfRule type="expression" dxfId="11801" priority="1252" stopIfTrue="1">
      <formula>AN51=CléPersonnelle</formula>
    </cfRule>
    <cfRule type="expression" dxfId="11800" priority="1253" stopIfTrue="1">
      <formula>AN51=CléCongés</formula>
    </cfRule>
  </conditionalFormatting>
  <conditionalFormatting sqref="AN55">
    <cfRule type="expression" priority="1242" stopIfTrue="1">
      <formula>AN55=""</formula>
    </cfRule>
    <cfRule type="expression" dxfId="11799" priority="1243" stopIfTrue="1">
      <formula>AN55=CléPersonnalisée2</formula>
    </cfRule>
    <cfRule type="expression" dxfId="11798" priority="1244" stopIfTrue="1">
      <formula>AN55=CléPersonnalisée1</formula>
    </cfRule>
    <cfRule type="expression" dxfId="11797" priority="1245" stopIfTrue="1">
      <formula>AN55=CléMaladie</formula>
    </cfRule>
    <cfRule type="expression" dxfId="11796" priority="1246" stopIfTrue="1">
      <formula>AN55=CléPersonnelle</formula>
    </cfRule>
    <cfRule type="expression" dxfId="11795" priority="1247" stopIfTrue="1">
      <formula>AN55=CléCongés</formula>
    </cfRule>
  </conditionalFormatting>
  <conditionalFormatting sqref="AN63">
    <cfRule type="expression" priority="1236" stopIfTrue="1">
      <formula>AN63=""</formula>
    </cfRule>
    <cfRule type="expression" dxfId="11794" priority="1237" stopIfTrue="1">
      <formula>AN63=CléPersonnalisée2</formula>
    </cfRule>
    <cfRule type="expression" dxfId="11793" priority="1238" stopIfTrue="1">
      <formula>AN63=CléPersonnalisée1</formula>
    </cfRule>
    <cfRule type="expression" dxfId="11792" priority="1239" stopIfTrue="1">
      <formula>AN63=CléMaladie</formula>
    </cfRule>
    <cfRule type="expression" dxfId="11791" priority="1240" stopIfTrue="1">
      <formula>AN63=CléPersonnelle</formula>
    </cfRule>
    <cfRule type="expression" dxfId="11790" priority="1241" stopIfTrue="1">
      <formula>AN63=CléCongés</formula>
    </cfRule>
  </conditionalFormatting>
  <conditionalFormatting sqref="AN71">
    <cfRule type="expression" priority="1230" stopIfTrue="1">
      <formula>AN71=""</formula>
    </cfRule>
    <cfRule type="expression" dxfId="11789" priority="1231" stopIfTrue="1">
      <formula>AN71=CléPersonnalisée2</formula>
    </cfRule>
    <cfRule type="expression" dxfId="11788" priority="1232" stopIfTrue="1">
      <formula>AN71=CléPersonnalisée1</formula>
    </cfRule>
    <cfRule type="expression" dxfId="11787" priority="1233" stopIfTrue="1">
      <formula>AN71=CléMaladie</formula>
    </cfRule>
    <cfRule type="expression" dxfId="11786" priority="1234" stopIfTrue="1">
      <formula>AN71=CléPersonnelle</formula>
    </cfRule>
    <cfRule type="expression" dxfId="11785" priority="1235" stopIfTrue="1">
      <formula>AN71=CléCongés</formula>
    </cfRule>
  </conditionalFormatting>
  <conditionalFormatting sqref="AH7">
    <cfRule type="dataBar" priority="1229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{74F0D70F-72D8-486C-9908-12FD090DFC80}</x14:id>
        </ext>
      </extLst>
    </cfRule>
  </conditionalFormatting>
  <conditionalFormatting sqref="AI7:AL7">
    <cfRule type="expression" priority="1223" stopIfTrue="1">
      <formula>AI7=""</formula>
    </cfRule>
    <cfRule type="expression" dxfId="11784" priority="1224" stopIfTrue="1">
      <formula>AI7=CléPersonnalisée2</formula>
    </cfRule>
    <cfRule type="expression" dxfId="11783" priority="1225" stopIfTrue="1">
      <formula>AI7=CléPersonnalisée1</formula>
    </cfRule>
    <cfRule type="expression" dxfId="11782" priority="1226" stopIfTrue="1">
      <formula>AI7=CléMaladie</formula>
    </cfRule>
    <cfRule type="expression" dxfId="11781" priority="1227" stopIfTrue="1">
      <formula>AI7=CléPersonnelle</formula>
    </cfRule>
    <cfRule type="expression" dxfId="11780" priority="1228" stopIfTrue="1">
      <formula>AI7=CléCongés</formula>
    </cfRule>
  </conditionalFormatting>
  <conditionalFormatting sqref="AM7">
    <cfRule type="expression" priority="1217" stopIfTrue="1">
      <formula>AM7=""</formula>
    </cfRule>
    <cfRule type="expression" dxfId="11779" priority="1218" stopIfTrue="1">
      <formula>AM7=CléPersonnalisée2</formula>
    </cfRule>
    <cfRule type="expression" dxfId="11778" priority="1219" stopIfTrue="1">
      <formula>AM7=CléPersonnalisée1</formula>
    </cfRule>
    <cfRule type="expression" dxfId="11777" priority="1220" stopIfTrue="1">
      <formula>AM7=CléMaladie</formula>
    </cfRule>
    <cfRule type="expression" dxfId="11776" priority="1221" stopIfTrue="1">
      <formula>AM7=CléPersonnelle</formula>
    </cfRule>
    <cfRule type="expression" dxfId="11775" priority="1222" stopIfTrue="1">
      <formula>AM7=CléCongés</formula>
    </cfRule>
  </conditionalFormatting>
  <conditionalFormatting sqref="AO7">
    <cfRule type="expression" priority="1211" stopIfTrue="1">
      <formula>AO7=""</formula>
    </cfRule>
    <cfRule type="expression" dxfId="11774" priority="1212" stopIfTrue="1">
      <formula>AO7=CléPersonnalisée2</formula>
    </cfRule>
    <cfRule type="expression" dxfId="11773" priority="1213" stopIfTrue="1">
      <formula>AO7=CléPersonnalisée1</formula>
    </cfRule>
    <cfRule type="expression" dxfId="11772" priority="1214" stopIfTrue="1">
      <formula>AO7=CléMaladie</formula>
    </cfRule>
    <cfRule type="expression" dxfId="11771" priority="1215" stopIfTrue="1">
      <formula>AO7=CléPersonnelle</formula>
    </cfRule>
    <cfRule type="expression" dxfId="11770" priority="1216" stopIfTrue="1">
      <formula>AO7=CléCongés</formula>
    </cfRule>
  </conditionalFormatting>
  <conditionalFormatting sqref="AN7">
    <cfRule type="expression" priority="1205" stopIfTrue="1">
      <formula>AN7=""</formula>
    </cfRule>
    <cfRule type="expression" dxfId="11769" priority="1206" stopIfTrue="1">
      <formula>AN7=CléPersonnalisée2</formula>
    </cfRule>
    <cfRule type="expression" dxfId="11768" priority="1207" stopIfTrue="1">
      <formula>AN7=CléPersonnalisée1</formula>
    </cfRule>
    <cfRule type="expression" dxfId="11767" priority="1208" stopIfTrue="1">
      <formula>AN7=CléMaladie</formula>
    </cfRule>
    <cfRule type="expression" dxfId="11766" priority="1209" stopIfTrue="1">
      <formula>AN7=CléPersonnelle</formula>
    </cfRule>
    <cfRule type="expression" dxfId="11765" priority="1210" stopIfTrue="1">
      <formula>AN7=CléCongés</formula>
    </cfRule>
  </conditionalFormatting>
  <conditionalFormatting sqref="AQ7">
    <cfRule type="expression" priority="1199" stopIfTrue="1">
      <formula>AQ7=""</formula>
    </cfRule>
    <cfRule type="expression" dxfId="11764" priority="1200" stopIfTrue="1">
      <formula>AQ7=CléPersonnalisée2</formula>
    </cfRule>
    <cfRule type="expression" dxfId="11763" priority="1201" stopIfTrue="1">
      <formula>AQ7=CléPersonnalisée1</formula>
    </cfRule>
    <cfRule type="expression" dxfId="11762" priority="1202" stopIfTrue="1">
      <formula>AQ7=CléMaladie</formula>
    </cfRule>
    <cfRule type="expression" dxfId="11761" priority="1203" stopIfTrue="1">
      <formula>AQ7=CléPersonnelle</formula>
    </cfRule>
    <cfRule type="expression" dxfId="11760" priority="1204" stopIfTrue="1">
      <formula>AQ7=CléCongés</formula>
    </cfRule>
  </conditionalFormatting>
  <conditionalFormatting sqref="AQ71">
    <cfRule type="expression" priority="987" stopIfTrue="1">
      <formula>AQ71=""</formula>
    </cfRule>
    <cfRule type="expression" dxfId="11759" priority="988" stopIfTrue="1">
      <formula>AQ71=CléPersonnalisée2</formula>
    </cfRule>
    <cfRule type="expression" dxfId="11758" priority="989" stopIfTrue="1">
      <formula>AQ71=CléPersonnalisée1</formula>
    </cfRule>
    <cfRule type="expression" dxfId="11757" priority="990" stopIfTrue="1">
      <formula>AQ71=CléMaladie</formula>
    </cfRule>
    <cfRule type="expression" dxfId="11756" priority="991" stopIfTrue="1">
      <formula>AQ71=CléPersonnelle</formula>
    </cfRule>
    <cfRule type="expression" dxfId="11755" priority="992" stopIfTrue="1">
      <formula>AQ71=CléCongés</formula>
    </cfRule>
  </conditionalFormatting>
  <conditionalFormatting sqref="AQ75">
    <cfRule type="expression" priority="937" stopIfTrue="1">
      <formula>AQ75=""</formula>
    </cfRule>
    <cfRule type="expression" dxfId="11754" priority="938" stopIfTrue="1">
      <formula>AQ75=CléPersonnalisée2</formula>
    </cfRule>
    <cfRule type="expression" dxfId="11753" priority="939" stopIfTrue="1">
      <formula>AQ75=CléPersonnalisée1</formula>
    </cfRule>
    <cfRule type="expression" dxfId="11752" priority="940" stopIfTrue="1">
      <formula>AQ75=CléMaladie</formula>
    </cfRule>
    <cfRule type="expression" dxfId="11751" priority="941" stopIfTrue="1">
      <formula>AQ75=CléPersonnelle</formula>
    </cfRule>
    <cfRule type="expression" dxfId="11750" priority="942" stopIfTrue="1">
      <formula>AQ75=CléCongés</formula>
    </cfRule>
  </conditionalFormatting>
  <conditionalFormatting sqref="AQ83">
    <cfRule type="expression" priority="881" stopIfTrue="1">
      <formula>AQ83=""</formula>
    </cfRule>
    <cfRule type="expression" dxfId="11749" priority="882" stopIfTrue="1">
      <formula>AQ83=CléPersonnalisée2</formula>
    </cfRule>
    <cfRule type="expression" dxfId="11748" priority="883" stopIfTrue="1">
      <formula>AQ83=CléPersonnalisée1</formula>
    </cfRule>
    <cfRule type="expression" dxfId="11747" priority="884" stopIfTrue="1">
      <formula>AQ83=CléMaladie</formula>
    </cfRule>
    <cfRule type="expression" dxfId="11746" priority="885" stopIfTrue="1">
      <formula>AQ83=CléPersonnelle</formula>
    </cfRule>
    <cfRule type="expression" dxfId="11745" priority="886" stopIfTrue="1">
      <formula>AQ83=CléCongés</formula>
    </cfRule>
  </conditionalFormatting>
  <conditionalFormatting sqref="AQ91">
    <cfRule type="expression" priority="769" stopIfTrue="1">
      <formula>AQ91=""</formula>
    </cfRule>
    <cfRule type="expression" dxfId="11744" priority="770" stopIfTrue="1">
      <formula>AQ91=CléPersonnalisée2</formula>
    </cfRule>
    <cfRule type="expression" dxfId="11743" priority="771" stopIfTrue="1">
      <formula>AQ91=CléPersonnalisée1</formula>
    </cfRule>
    <cfRule type="expression" dxfId="11742" priority="772" stopIfTrue="1">
      <formula>AQ91=CléMaladie</formula>
    </cfRule>
    <cfRule type="expression" dxfId="11741" priority="773" stopIfTrue="1">
      <formula>AQ91=CléPersonnelle</formula>
    </cfRule>
    <cfRule type="expression" dxfId="11740" priority="774" stopIfTrue="1">
      <formula>AQ91=CléCongés</formula>
    </cfRule>
  </conditionalFormatting>
  <conditionalFormatting sqref="C65:AG67">
    <cfRule type="expression" priority="1192" stopIfTrue="1">
      <formula>C65=""</formula>
    </cfRule>
    <cfRule type="expression" dxfId="11739" priority="1193" stopIfTrue="1">
      <formula>C65=CléPersonnalisée2</formula>
    </cfRule>
    <cfRule type="expression" dxfId="11738" priority="1194" stopIfTrue="1">
      <formula>C65=CléPersonnalisée1</formula>
    </cfRule>
    <cfRule type="expression" dxfId="11737" priority="1195" stopIfTrue="1">
      <formula>C65=CléMaladie</formula>
    </cfRule>
    <cfRule type="expression" dxfId="11736" priority="1196" stopIfTrue="1">
      <formula>C65=CléPersonnelle</formula>
    </cfRule>
    <cfRule type="expression" dxfId="11735" priority="1197" stopIfTrue="1">
      <formula>C65=CléCongés</formula>
    </cfRule>
  </conditionalFormatting>
  <conditionalFormatting sqref="AH67">
    <cfRule type="dataBar" priority="1198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{EF06003B-7DE3-4C7D-A9AA-04460568BBFD}</x14:id>
        </ext>
      </extLst>
    </cfRule>
  </conditionalFormatting>
  <conditionalFormatting sqref="AI67:AL67 AJ65:AL66">
    <cfRule type="expression" priority="1186" stopIfTrue="1">
      <formula>AI65=""</formula>
    </cfRule>
    <cfRule type="expression" dxfId="11734" priority="1187" stopIfTrue="1">
      <formula>AI65=CléPersonnalisée2</formula>
    </cfRule>
    <cfRule type="expression" dxfId="11733" priority="1188" stopIfTrue="1">
      <formula>AI65=CléPersonnalisée1</formula>
    </cfRule>
    <cfRule type="expression" dxfId="11732" priority="1189" stopIfTrue="1">
      <formula>AI65=CléMaladie</formula>
    </cfRule>
    <cfRule type="expression" dxfId="11731" priority="1190" stopIfTrue="1">
      <formula>AI65=CléPersonnelle</formula>
    </cfRule>
    <cfRule type="expression" dxfId="11730" priority="1191" stopIfTrue="1">
      <formula>AI65=CléCongés</formula>
    </cfRule>
  </conditionalFormatting>
  <conditionalFormatting sqref="AQ65:AR66">
    <cfRule type="expression" priority="1174" stopIfTrue="1">
      <formula>AQ65=""</formula>
    </cfRule>
    <cfRule type="expression" dxfId="11729" priority="1175" stopIfTrue="1">
      <formula>AQ65=CléPersonnalisée2</formula>
    </cfRule>
    <cfRule type="expression" dxfId="11728" priority="1176" stopIfTrue="1">
      <formula>AQ65=CléPersonnalisée1</formula>
    </cfRule>
    <cfRule type="expression" dxfId="11727" priority="1177" stopIfTrue="1">
      <formula>AQ65=CléMaladie</formula>
    </cfRule>
    <cfRule type="expression" dxfId="11726" priority="1178" stopIfTrue="1">
      <formula>AQ65=CléPersonnelle</formula>
    </cfRule>
    <cfRule type="expression" dxfId="11725" priority="1179" stopIfTrue="1">
      <formula>AQ65=CléCongés</formula>
    </cfRule>
  </conditionalFormatting>
  <conditionalFormatting sqref="AH65:AH66">
    <cfRule type="dataBar" priority="1167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{609F203D-45DF-42DB-9EC3-2D1DFD660417}</x14:id>
        </ext>
      </extLst>
    </cfRule>
  </conditionalFormatting>
  <conditionalFormatting sqref="AI65:AI66">
    <cfRule type="expression" priority="1161" stopIfTrue="1">
      <formula>AI65=""</formula>
    </cfRule>
    <cfRule type="expression" dxfId="11724" priority="1162" stopIfTrue="1">
      <formula>AI65=CléPersonnalisée2</formula>
    </cfRule>
    <cfRule type="expression" dxfId="11723" priority="1163" stopIfTrue="1">
      <formula>AI65=CléPersonnalisée1</formula>
    </cfRule>
    <cfRule type="expression" dxfId="11722" priority="1164" stopIfTrue="1">
      <formula>AI65=CléMaladie</formula>
    </cfRule>
    <cfRule type="expression" dxfId="11721" priority="1165" stopIfTrue="1">
      <formula>AI65=CléPersonnelle</formula>
    </cfRule>
    <cfRule type="expression" dxfId="11720" priority="1166" stopIfTrue="1">
      <formula>AI65=CléCongés</formula>
    </cfRule>
  </conditionalFormatting>
  <conditionalFormatting sqref="AN67">
    <cfRule type="expression" priority="1155" stopIfTrue="1">
      <formula>AN67=""</formula>
    </cfRule>
    <cfRule type="expression" dxfId="11719" priority="1156" stopIfTrue="1">
      <formula>AN67=CléPersonnalisée2</formula>
    </cfRule>
    <cfRule type="expression" dxfId="11718" priority="1157" stopIfTrue="1">
      <formula>AN67=CléPersonnalisée1</formula>
    </cfRule>
    <cfRule type="expression" dxfId="11717" priority="1158" stopIfTrue="1">
      <formula>AN67=CléMaladie</formula>
    </cfRule>
    <cfRule type="expression" dxfId="11716" priority="1159" stopIfTrue="1">
      <formula>AN67=CléPersonnelle</formula>
    </cfRule>
    <cfRule type="expression" dxfId="11715" priority="1160" stopIfTrue="1">
      <formula>AN67=CléCongés</formula>
    </cfRule>
  </conditionalFormatting>
  <conditionalFormatting sqref="AR11">
    <cfRule type="expression" priority="1149" stopIfTrue="1">
      <formula>AR11=""</formula>
    </cfRule>
    <cfRule type="expression" dxfId="11714" priority="1150" stopIfTrue="1">
      <formula>AR11=CléPersonnalisée2</formula>
    </cfRule>
    <cfRule type="expression" dxfId="11713" priority="1151" stopIfTrue="1">
      <formula>AR11=CléPersonnalisée1</formula>
    </cfRule>
    <cfRule type="expression" dxfId="11712" priority="1152" stopIfTrue="1">
      <formula>AR11=CléMaladie</formula>
    </cfRule>
    <cfRule type="expression" dxfId="11711" priority="1153" stopIfTrue="1">
      <formula>AR11=CléPersonnelle</formula>
    </cfRule>
    <cfRule type="expression" dxfId="11710" priority="1154" stopIfTrue="1">
      <formula>AR11=CléCongés</formula>
    </cfRule>
  </conditionalFormatting>
  <conditionalFormatting sqref="AQ11">
    <cfRule type="expression" priority="1143" stopIfTrue="1">
      <formula>AQ11=""</formula>
    </cfRule>
    <cfRule type="expression" dxfId="11709" priority="1144" stopIfTrue="1">
      <formula>AQ11=CléPersonnalisée2</formula>
    </cfRule>
    <cfRule type="expression" dxfId="11708" priority="1145" stopIfTrue="1">
      <formula>AQ11=CléPersonnalisée1</formula>
    </cfRule>
    <cfRule type="expression" dxfId="11707" priority="1146" stopIfTrue="1">
      <formula>AQ11=CléMaladie</formula>
    </cfRule>
    <cfRule type="expression" dxfId="11706" priority="1147" stopIfTrue="1">
      <formula>AQ11=CléPersonnelle</formula>
    </cfRule>
    <cfRule type="expression" dxfId="11705" priority="1148" stopIfTrue="1">
      <formula>AQ11=CléCongés</formula>
    </cfRule>
  </conditionalFormatting>
  <conditionalFormatting sqref="AR19">
    <cfRule type="expression" priority="1137" stopIfTrue="1">
      <formula>AR19=""</formula>
    </cfRule>
    <cfRule type="expression" dxfId="11704" priority="1138" stopIfTrue="1">
      <formula>AR19=CléPersonnalisée2</formula>
    </cfRule>
    <cfRule type="expression" dxfId="11703" priority="1139" stopIfTrue="1">
      <formula>AR19=CléPersonnalisée1</formula>
    </cfRule>
    <cfRule type="expression" dxfId="11702" priority="1140" stopIfTrue="1">
      <formula>AR19=CléMaladie</formula>
    </cfRule>
    <cfRule type="expression" dxfId="11701" priority="1141" stopIfTrue="1">
      <formula>AR19=CléPersonnelle</formula>
    </cfRule>
    <cfRule type="expression" dxfId="11700" priority="1142" stopIfTrue="1">
      <formula>AR19=CléCongés</formula>
    </cfRule>
  </conditionalFormatting>
  <conditionalFormatting sqref="AQ19">
    <cfRule type="expression" priority="1131" stopIfTrue="1">
      <formula>AQ19=""</formula>
    </cfRule>
    <cfRule type="expression" dxfId="11699" priority="1132" stopIfTrue="1">
      <formula>AQ19=CléPersonnalisée2</formula>
    </cfRule>
    <cfRule type="expression" dxfId="11698" priority="1133" stopIfTrue="1">
      <formula>AQ19=CléPersonnalisée1</formula>
    </cfRule>
    <cfRule type="expression" dxfId="11697" priority="1134" stopIfTrue="1">
      <formula>AQ19=CléMaladie</formula>
    </cfRule>
    <cfRule type="expression" dxfId="11696" priority="1135" stopIfTrue="1">
      <formula>AQ19=CléPersonnelle</formula>
    </cfRule>
    <cfRule type="expression" dxfId="11695" priority="1136" stopIfTrue="1">
      <formula>AQ19=CléCongés</formula>
    </cfRule>
  </conditionalFormatting>
  <conditionalFormatting sqref="AR23">
    <cfRule type="expression" priority="1125" stopIfTrue="1">
      <formula>AR23=""</formula>
    </cfRule>
    <cfRule type="expression" dxfId="11694" priority="1126" stopIfTrue="1">
      <formula>AR23=CléPersonnalisée2</formula>
    </cfRule>
    <cfRule type="expression" dxfId="11693" priority="1127" stopIfTrue="1">
      <formula>AR23=CléPersonnalisée1</formula>
    </cfRule>
    <cfRule type="expression" dxfId="11692" priority="1128" stopIfTrue="1">
      <formula>AR23=CléMaladie</formula>
    </cfRule>
    <cfRule type="expression" dxfId="11691" priority="1129" stopIfTrue="1">
      <formula>AR23=CléPersonnelle</formula>
    </cfRule>
    <cfRule type="expression" dxfId="11690" priority="1130" stopIfTrue="1">
      <formula>AR23=CléCongés</formula>
    </cfRule>
  </conditionalFormatting>
  <conditionalFormatting sqref="AQ23">
    <cfRule type="expression" priority="1119" stopIfTrue="1">
      <formula>AQ23=""</formula>
    </cfRule>
    <cfRule type="expression" dxfId="11689" priority="1120" stopIfTrue="1">
      <formula>AQ23=CléPersonnalisée2</formula>
    </cfRule>
    <cfRule type="expression" dxfId="11688" priority="1121" stopIfTrue="1">
      <formula>AQ23=CléPersonnalisée1</formula>
    </cfRule>
    <cfRule type="expression" dxfId="11687" priority="1122" stopIfTrue="1">
      <formula>AQ23=CléMaladie</formula>
    </cfRule>
    <cfRule type="expression" dxfId="11686" priority="1123" stopIfTrue="1">
      <formula>AQ23=CléPersonnelle</formula>
    </cfRule>
    <cfRule type="expression" dxfId="11685" priority="1124" stopIfTrue="1">
      <formula>AQ23=CléCongés</formula>
    </cfRule>
  </conditionalFormatting>
  <conditionalFormatting sqref="AR27">
    <cfRule type="expression" priority="1113" stopIfTrue="1">
      <formula>AR27=""</formula>
    </cfRule>
    <cfRule type="expression" dxfId="11684" priority="1114" stopIfTrue="1">
      <formula>AR27=CléPersonnalisée2</formula>
    </cfRule>
    <cfRule type="expression" dxfId="11683" priority="1115" stopIfTrue="1">
      <formula>AR27=CléPersonnalisée1</formula>
    </cfRule>
    <cfRule type="expression" dxfId="11682" priority="1116" stopIfTrue="1">
      <formula>AR27=CléMaladie</formula>
    </cfRule>
    <cfRule type="expression" dxfId="11681" priority="1117" stopIfTrue="1">
      <formula>AR27=CléPersonnelle</formula>
    </cfRule>
    <cfRule type="expression" dxfId="11680" priority="1118" stopIfTrue="1">
      <formula>AR27=CléCongés</formula>
    </cfRule>
  </conditionalFormatting>
  <conditionalFormatting sqref="AQ27">
    <cfRule type="expression" priority="1107" stopIfTrue="1">
      <formula>AQ27=""</formula>
    </cfRule>
    <cfRule type="expression" dxfId="11679" priority="1108" stopIfTrue="1">
      <formula>AQ27=CléPersonnalisée2</formula>
    </cfRule>
    <cfRule type="expression" dxfId="11678" priority="1109" stopIfTrue="1">
      <formula>AQ27=CléPersonnalisée1</formula>
    </cfRule>
    <cfRule type="expression" dxfId="11677" priority="1110" stopIfTrue="1">
      <formula>AQ27=CléMaladie</formula>
    </cfRule>
    <cfRule type="expression" dxfId="11676" priority="1111" stopIfTrue="1">
      <formula>AQ27=CléPersonnelle</formula>
    </cfRule>
    <cfRule type="expression" dxfId="11675" priority="1112" stopIfTrue="1">
      <formula>AQ27=CléCongés</formula>
    </cfRule>
  </conditionalFormatting>
  <conditionalFormatting sqref="AR31">
    <cfRule type="expression" priority="1101" stopIfTrue="1">
      <formula>AR31=""</formula>
    </cfRule>
    <cfRule type="expression" dxfId="11674" priority="1102" stopIfTrue="1">
      <formula>AR31=CléPersonnalisée2</formula>
    </cfRule>
    <cfRule type="expression" dxfId="11673" priority="1103" stopIfTrue="1">
      <formula>AR31=CléPersonnalisée1</formula>
    </cfRule>
    <cfRule type="expression" dxfId="11672" priority="1104" stopIfTrue="1">
      <formula>AR31=CléMaladie</formula>
    </cfRule>
    <cfRule type="expression" dxfId="11671" priority="1105" stopIfTrue="1">
      <formula>AR31=CléPersonnelle</formula>
    </cfRule>
    <cfRule type="expression" dxfId="11670" priority="1106" stopIfTrue="1">
      <formula>AR31=CléCongés</formula>
    </cfRule>
  </conditionalFormatting>
  <conditionalFormatting sqref="AQ31">
    <cfRule type="expression" priority="1095" stopIfTrue="1">
      <formula>AQ31=""</formula>
    </cfRule>
    <cfRule type="expression" dxfId="11669" priority="1096" stopIfTrue="1">
      <formula>AQ31=CléPersonnalisée2</formula>
    </cfRule>
    <cfRule type="expression" dxfId="11668" priority="1097" stopIfTrue="1">
      <formula>AQ31=CléPersonnalisée1</formula>
    </cfRule>
    <cfRule type="expression" dxfId="11667" priority="1098" stopIfTrue="1">
      <formula>AQ31=CléMaladie</formula>
    </cfRule>
    <cfRule type="expression" dxfId="11666" priority="1099" stopIfTrue="1">
      <formula>AQ31=CléPersonnelle</formula>
    </cfRule>
    <cfRule type="expression" dxfId="11665" priority="1100" stopIfTrue="1">
      <formula>AQ31=CléCongés</formula>
    </cfRule>
  </conditionalFormatting>
  <conditionalFormatting sqref="AR35">
    <cfRule type="expression" priority="1089" stopIfTrue="1">
      <formula>AR35=""</formula>
    </cfRule>
    <cfRule type="expression" dxfId="11664" priority="1090" stopIfTrue="1">
      <formula>AR35=CléPersonnalisée2</formula>
    </cfRule>
    <cfRule type="expression" dxfId="11663" priority="1091" stopIfTrue="1">
      <formula>AR35=CléPersonnalisée1</formula>
    </cfRule>
    <cfRule type="expression" dxfId="11662" priority="1092" stopIfTrue="1">
      <formula>AR35=CléMaladie</formula>
    </cfRule>
    <cfRule type="expression" dxfId="11661" priority="1093" stopIfTrue="1">
      <formula>AR35=CléPersonnelle</formula>
    </cfRule>
    <cfRule type="expression" dxfId="11660" priority="1094" stopIfTrue="1">
      <formula>AR35=CléCongés</formula>
    </cfRule>
  </conditionalFormatting>
  <conditionalFormatting sqref="AQ35">
    <cfRule type="expression" priority="1083" stopIfTrue="1">
      <formula>AQ35=""</formula>
    </cfRule>
    <cfRule type="expression" dxfId="11659" priority="1084" stopIfTrue="1">
      <formula>AQ35=CléPersonnalisée2</formula>
    </cfRule>
    <cfRule type="expression" dxfId="11658" priority="1085" stopIfTrue="1">
      <formula>AQ35=CléPersonnalisée1</formula>
    </cfRule>
    <cfRule type="expression" dxfId="11657" priority="1086" stopIfTrue="1">
      <formula>AQ35=CléMaladie</formula>
    </cfRule>
    <cfRule type="expression" dxfId="11656" priority="1087" stopIfTrue="1">
      <formula>AQ35=CléPersonnelle</formula>
    </cfRule>
    <cfRule type="expression" dxfId="11655" priority="1088" stopIfTrue="1">
      <formula>AQ35=CléCongés</formula>
    </cfRule>
  </conditionalFormatting>
  <conditionalFormatting sqref="AR39">
    <cfRule type="expression" priority="1077" stopIfTrue="1">
      <formula>AR39=""</formula>
    </cfRule>
    <cfRule type="expression" dxfId="11654" priority="1078" stopIfTrue="1">
      <formula>AR39=CléPersonnalisée2</formula>
    </cfRule>
    <cfRule type="expression" dxfId="11653" priority="1079" stopIfTrue="1">
      <formula>AR39=CléPersonnalisée1</formula>
    </cfRule>
    <cfRule type="expression" dxfId="11652" priority="1080" stopIfTrue="1">
      <formula>AR39=CléMaladie</formula>
    </cfRule>
    <cfRule type="expression" dxfId="11651" priority="1081" stopIfTrue="1">
      <formula>AR39=CléPersonnelle</formula>
    </cfRule>
    <cfRule type="expression" dxfId="11650" priority="1082" stopIfTrue="1">
      <formula>AR39=CléCongés</formula>
    </cfRule>
  </conditionalFormatting>
  <conditionalFormatting sqref="AQ39">
    <cfRule type="expression" priority="1071" stopIfTrue="1">
      <formula>AQ39=""</formula>
    </cfRule>
    <cfRule type="expression" dxfId="11649" priority="1072" stopIfTrue="1">
      <formula>AQ39=CléPersonnalisée2</formula>
    </cfRule>
    <cfRule type="expression" dxfId="11648" priority="1073" stopIfTrue="1">
      <formula>AQ39=CléPersonnalisée1</formula>
    </cfRule>
    <cfRule type="expression" dxfId="11647" priority="1074" stopIfTrue="1">
      <formula>AQ39=CléMaladie</formula>
    </cfRule>
    <cfRule type="expression" dxfId="11646" priority="1075" stopIfTrue="1">
      <formula>AQ39=CléPersonnelle</formula>
    </cfRule>
    <cfRule type="expression" dxfId="11645" priority="1076" stopIfTrue="1">
      <formula>AQ39=CléCongés</formula>
    </cfRule>
  </conditionalFormatting>
  <conditionalFormatting sqref="AR43">
    <cfRule type="expression" priority="1065" stopIfTrue="1">
      <formula>AR43=""</formula>
    </cfRule>
    <cfRule type="expression" dxfId="11644" priority="1066" stopIfTrue="1">
      <formula>AR43=CléPersonnalisée2</formula>
    </cfRule>
    <cfRule type="expression" dxfId="11643" priority="1067" stopIfTrue="1">
      <formula>AR43=CléPersonnalisée1</formula>
    </cfRule>
    <cfRule type="expression" dxfId="11642" priority="1068" stopIfTrue="1">
      <formula>AR43=CléMaladie</formula>
    </cfRule>
    <cfRule type="expression" dxfId="11641" priority="1069" stopIfTrue="1">
      <formula>AR43=CléPersonnelle</formula>
    </cfRule>
    <cfRule type="expression" dxfId="11640" priority="1070" stopIfTrue="1">
      <formula>AR43=CléCongés</formula>
    </cfRule>
  </conditionalFormatting>
  <conditionalFormatting sqref="AQ43">
    <cfRule type="expression" priority="1059" stopIfTrue="1">
      <formula>AQ43=""</formula>
    </cfRule>
    <cfRule type="expression" dxfId="11639" priority="1060" stopIfTrue="1">
      <formula>AQ43=CléPersonnalisée2</formula>
    </cfRule>
    <cfRule type="expression" dxfId="11638" priority="1061" stopIfTrue="1">
      <formula>AQ43=CléPersonnalisée1</formula>
    </cfRule>
    <cfRule type="expression" dxfId="11637" priority="1062" stopIfTrue="1">
      <formula>AQ43=CléMaladie</formula>
    </cfRule>
    <cfRule type="expression" dxfId="11636" priority="1063" stopIfTrue="1">
      <formula>AQ43=CléPersonnelle</formula>
    </cfRule>
    <cfRule type="expression" dxfId="11635" priority="1064" stopIfTrue="1">
      <formula>AQ43=CléCongés</formula>
    </cfRule>
  </conditionalFormatting>
  <conditionalFormatting sqref="AR47">
    <cfRule type="expression" priority="1053" stopIfTrue="1">
      <formula>AR47=""</formula>
    </cfRule>
    <cfRule type="expression" dxfId="11634" priority="1054" stopIfTrue="1">
      <formula>AR47=CléPersonnalisée2</formula>
    </cfRule>
    <cfRule type="expression" dxfId="11633" priority="1055" stopIfTrue="1">
      <formula>AR47=CléPersonnalisée1</formula>
    </cfRule>
    <cfRule type="expression" dxfId="11632" priority="1056" stopIfTrue="1">
      <formula>AR47=CléMaladie</formula>
    </cfRule>
    <cfRule type="expression" dxfId="11631" priority="1057" stopIfTrue="1">
      <formula>AR47=CléPersonnelle</formula>
    </cfRule>
    <cfRule type="expression" dxfId="11630" priority="1058" stopIfTrue="1">
      <formula>AR47=CléCongés</formula>
    </cfRule>
  </conditionalFormatting>
  <conditionalFormatting sqref="AQ47">
    <cfRule type="expression" priority="1047" stopIfTrue="1">
      <formula>AQ47=""</formula>
    </cfRule>
    <cfRule type="expression" dxfId="11629" priority="1048" stopIfTrue="1">
      <formula>AQ47=CléPersonnalisée2</formula>
    </cfRule>
    <cfRule type="expression" dxfId="11628" priority="1049" stopIfTrue="1">
      <formula>AQ47=CléPersonnalisée1</formula>
    </cfRule>
    <cfRule type="expression" dxfId="11627" priority="1050" stopIfTrue="1">
      <formula>AQ47=CléMaladie</formula>
    </cfRule>
    <cfRule type="expression" dxfId="11626" priority="1051" stopIfTrue="1">
      <formula>AQ47=CléPersonnelle</formula>
    </cfRule>
    <cfRule type="expression" dxfId="11625" priority="1052" stopIfTrue="1">
      <formula>AQ47=CléCongés</formula>
    </cfRule>
  </conditionalFormatting>
  <conditionalFormatting sqref="AR51">
    <cfRule type="expression" priority="1041" stopIfTrue="1">
      <formula>AR51=""</formula>
    </cfRule>
    <cfRule type="expression" dxfId="11624" priority="1042" stopIfTrue="1">
      <formula>AR51=CléPersonnalisée2</formula>
    </cfRule>
    <cfRule type="expression" dxfId="11623" priority="1043" stopIfTrue="1">
      <formula>AR51=CléPersonnalisée1</formula>
    </cfRule>
    <cfRule type="expression" dxfId="11622" priority="1044" stopIfTrue="1">
      <formula>AR51=CléMaladie</formula>
    </cfRule>
    <cfRule type="expression" dxfId="11621" priority="1045" stopIfTrue="1">
      <formula>AR51=CléPersonnelle</formula>
    </cfRule>
    <cfRule type="expression" dxfId="11620" priority="1046" stopIfTrue="1">
      <formula>AR51=CléCongés</formula>
    </cfRule>
  </conditionalFormatting>
  <conditionalFormatting sqref="AQ51">
    <cfRule type="expression" priority="1035" stopIfTrue="1">
      <formula>AQ51=""</formula>
    </cfRule>
    <cfRule type="expression" dxfId="11619" priority="1036" stopIfTrue="1">
      <formula>AQ51=CléPersonnalisée2</formula>
    </cfRule>
    <cfRule type="expression" dxfId="11618" priority="1037" stopIfTrue="1">
      <formula>AQ51=CléPersonnalisée1</formula>
    </cfRule>
    <cfRule type="expression" dxfId="11617" priority="1038" stopIfTrue="1">
      <formula>AQ51=CléMaladie</formula>
    </cfRule>
    <cfRule type="expression" dxfId="11616" priority="1039" stopIfTrue="1">
      <formula>AQ51=CléPersonnelle</formula>
    </cfRule>
    <cfRule type="expression" dxfId="11615" priority="1040" stopIfTrue="1">
      <formula>AQ51=CléCongés</formula>
    </cfRule>
  </conditionalFormatting>
  <conditionalFormatting sqref="AR55">
    <cfRule type="expression" priority="1029" stopIfTrue="1">
      <formula>AR55=""</formula>
    </cfRule>
    <cfRule type="expression" dxfId="11614" priority="1030" stopIfTrue="1">
      <formula>AR55=CléPersonnalisée2</formula>
    </cfRule>
    <cfRule type="expression" dxfId="11613" priority="1031" stopIfTrue="1">
      <formula>AR55=CléPersonnalisée1</formula>
    </cfRule>
    <cfRule type="expression" dxfId="11612" priority="1032" stopIfTrue="1">
      <formula>AR55=CléMaladie</formula>
    </cfRule>
    <cfRule type="expression" dxfId="11611" priority="1033" stopIfTrue="1">
      <formula>AR55=CléPersonnelle</formula>
    </cfRule>
    <cfRule type="expression" dxfId="11610" priority="1034" stopIfTrue="1">
      <formula>AR55=CléCongés</formula>
    </cfRule>
  </conditionalFormatting>
  <conditionalFormatting sqref="AQ55">
    <cfRule type="expression" priority="1023" stopIfTrue="1">
      <formula>AQ55=""</formula>
    </cfRule>
    <cfRule type="expression" dxfId="11609" priority="1024" stopIfTrue="1">
      <formula>AQ55=CléPersonnalisée2</formula>
    </cfRule>
    <cfRule type="expression" dxfId="11608" priority="1025" stopIfTrue="1">
      <formula>AQ55=CléPersonnalisée1</formula>
    </cfRule>
    <cfRule type="expression" dxfId="11607" priority="1026" stopIfTrue="1">
      <formula>AQ55=CléMaladie</formula>
    </cfRule>
    <cfRule type="expression" dxfId="11606" priority="1027" stopIfTrue="1">
      <formula>AQ55=CléPersonnelle</formula>
    </cfRule>
    <cfRule type="expression" dxfId="11605" priority="1028" stopIfTrue="1">
      <formula>AQ55=CléCongés</formula>
    </cfRule>
  </conditionalFormatting>
  <conditionalFormatting sqref="AR63">
    <cfRule type="expression" priority="1017" stopIfTrue="1">
      <formula>AR63=""</formula>
    </cfRule>
    <cfRule type="expression" dxfId="11604" priority="1018" stopIfTrue="1">
      <formula>AR63=CléPersonnalisée2</formula>
    </cfRule>
    <cfRule type="expression" dxfId="11603" priority="1019" stopIfTrue="1">
      <formula>AR63=CléPersonnalisée1</formula>
    </cfRule>
    <cfRule type="expression" dxfId="11602" priority="1020" stopIfTrue="1">
      <formula>AR63=CléMaladie</formula>
    </cfRule>
    <cfRule type="expression" dxfId="11601" priority="1021" stopIfTrue="1">
      <formula>AR63=CléPersonnelle</formula>
    </cfRule>
    <cfRule type="expression" dxfId="11600" priority="1022" stopIfTrue="1">
      <formula>AR63=CléCongés</formula>
    </cfRule>
  </conditionalFormatting>
  <conditionalFormatting sqref="AQ63">
    <cfRule type="expression" priority="1011" stopIfTrue="1">
      <formula>AQ63=""</formula>
    </cfRule>
    <cfRule type="expression" dxfId="11599" priority="1012" stopIfTrue="1">
      <formula>AQ63=CléPersonnalisée2</formula>
    </cfRule>
    <cfRule type="expression" dxfId="11598" priority="1013" stopIfTrue="1">
      <formula>AQ63=CléPersonnalisée1</formula>
    </cfRule>
    <cfRule type="expression" dxfId="11597" priority="1014" stopIfTrue="1">
      <formula>AQ63=CléMaladie</formula>
    </cfRule>
    <cfRule type="expression" dxfId="11596" priority="1015" stopIfTrue="1">
      <formula>AQ63=CléPersonnelle</formula>
    </cfRule>
    <cfRule type="expression" dxfId="11595" priority="1016" stopIfTrue="1">
      <formula>AQ63=CléCongés</formula>
    </cfRule>
  </conditionalFormatting>
  <conditionalFormatting sqref="AR67">
    <cfRule type="expression" priority="1005" stopIfTrue="1">
      <formula>AR67=""</formula>
    </cfRule>
    <cfRule type="expression" dxfId="11594" priority="1006" stopIfTrue="1">
      <formula>AR67=CléPersonnalisée2</formula>
    </cfRule>
    <cfRule type="expression" dxfId="11593" priority="1007" stopIfTrue="1">
      <formula>AR67=CléPersonnalisée1</formula>
    </cfRule>
    <cfRule type="expression" dxfId="11592" priority="1008" stopIfTrue="1">
      <formula>AR67=CléMaladie</formula>
    </cfRule>
    <cfRule type="expression" dxfId="11591" priority="1009" stopIfTrue="1">
      <formula>AR67=CléPersonnelle</formula>
    </cfRule>
    <cfRule type="expression" dxfId="11590" priority="1010" stopIfTrue="1">
      <formula>AR67=CléCongés</formula>
    </cfRule>
  </conditionalFormatting>
  <conditionalFormatting sqref="AQ67">
    <cfRule type="expression" priority="999" stopIfTrue="1">
      <formula>AQ67=""</formula>
    </cfRule>
    <cfRule type="expression" dxfId="11589" priority="1000" stopIfTrue="1">
      <formula>AQ67=CléPersonnalisée2</formula>
    </cfRule>
    <cfRule type="expression" dxfId="11588" priority="1001" stopIfTrue="1">
      <formula>AQ67=CléPersonnalisée1</formula>
    </cfRule>
    <cfRule type="expression" dxfId="11587" priority="1002" stopIfTrue="1">
      <formula>AQ67=CléMaladie</formula>
    </cfRule>
    <cfRule type="expression" dxfId="11586" priority="1003" stopIfTrue="1">
      <formula>AQ67=CléPersonnelle</formula>
    </cfRule>
    <cfRule type="expression" dxfId="11585" priority="1004" stopIfTrue="1">
      <formula>AQ67=CléCongés</formula>
    </cfRule>
  </conditionalFormatting>
  <conditionalFormatting sqref="AR71">
    <cfRule type="expression" priority="993" stopIfTrue="1">
      <formula>AR71=""</formula>
    </cfRule>
    <cfRule type="expression" dxfId="11584" priority="994" stopIfTrue="1">
      <formula>AR71=CléPersonnalisée2</formula>
    </cfRule>
    <cfRule type="expression" dxfId="11583" priority="995" stopIfTrue="1">
      <formula>AR71=CléPersonnalisée1</formula>
    </cfRule>
    <cfRule type="expression" dxfId="11582" priority="996" stopIfTrue="1">
      <formula>AR71=CléMaladie</formula>
    </cfRule>
    <cfRule type="expression" dxfId="11581" priority="997" stopIfTrue="1">
      <formula>AR71=CléPersonnelle</formula>
    </cfRule>
    <cfRule type="expression" dxfId="11580" priority="998" stopIfTrue="1">
      <formula>AR71=CléCongés</formula>
    </cfRule>
  </conditionalFormatting>
  <conditionalFormatting sqref="C73:AG75">
    <cfRule type="expression" priority="980" stopIfTrue="1">
      <formula>C73=""</formula>
    </cfRule>
    <cfRule type="expression" dxfId="11579" priority="981" stopIfTrue="1">
      <formula>C73=CléPersonnalisée2</formula>
    </cfRule>
    <cfRule type="expression" dxfId="11578" priority="982" stopIfTrue="1">
      <formula>C73=CléPersonnalisée1</formula>
    </cfRule>
    <cfRule type="expression" dxfId="11577" priority="983" stopIfTrue="1">
      <formula>C73=CléMaladie</formula>
    </cfRule>
    <cfRule type="expression" dxfId="11576" priority="984" stopIfTrue="1">
      <formula>C73=CléPersonnelle</formula>
    </cfRule>
    <cfRule type="expression" dxfId="11575" priority="985" stopIfTrue="1">
      <formula>C73=CléCongés</formula>
    </cfRule>
  </conditionalFormatting>
  <conditionalFormatting sqref="AH75">
    <cfRule type="dataBar" priority="986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{B4BB792E-FF47-4D61-96A3-FA000F13B029}</x14:id>
        </ext>
      </extLst>
    </cfRule>
  </conditionalFormatting>
  <conditionalFormatting sqref="AI75:AL75 AJ73:AL74">
    <cfRule type="expression" priority="974" stopIfTrue="1">
      <formula>AI73=""</formula>
    </cfRule>
    <cfRule type="expression" dxfId="11574" priority="975" stopIfTrue="1">
      <formula>AI73=CléPersonnalisée2</formula>
    </cfRule>
    <cfRule type="expression" dxfId="11573" priority="976" stopIfTrue="1">
      <formula>AI73=CléPersonnalisée1</formula>
    </cfRule>
    <cfRule type="expression" dxfId="11572" priority="977" stopIfTrue="1">
      <formula>AI73=CléMaladie</formula>
    </cfRule>
    <cfRule type="expression" dxfId="11571" priority="978" stopIfTrue="1">
      <formula>AI73=CléPersonnelle</formula>
    </cfRule>
    <cfRule type="expression" dxfId="11570" priority="979" stopIfTrue="1">
      <formula>AI73=CléCongés</formula>
    </cfRule>
  </conditionalFormatting>
  <conditionalFormatting sqref="AM73:AP74">
    <cfRule type="expression" priority="968" stopIfTrue="1">
      <formula>AM73=""</formula>
    </cfRule>
    <cfRule type="expression" dxfId="11569" priority="969" stopIfTrue="1">
      <formula>AM73=CléPersonnalisée2</formula>
    </cfRule>
    <cfRule type="expression" dxfId="11568" priority="970" stopIfTrue="1">
      <formula>AM73=CléPersonnalisée1</formula>
    </cfRule>
    <cfRule type="expression" dxfId="11567" priority="971" stopIfTrue="1">
      <formula>AM73=CléMaladie</formula>
    </cfRule>
    <cfRule type="expression" dxfId="11566" priority="972" stopIfTrue="1">
      <formula>AM73=CléPersonnelle</formula>
    </cfRule>
    <cfRule type="expression" dxfId="11565" priority="973" stopIfTrue="1">
      <formula>AM73=CléCongés</formula>
    </cfRule>
  </conditionalFormatting>
  <conditionalFormatting sqref="AQ73:AR74">
    <cfRule type="expression" priority="962" stopIfTrue="1">
      <formula>AQ73=""</formula>
    </cfRule>
    <cfRule type="expression" dxfId="11564" priority="963" stopIfTrue="1">
      <formula>AQ73=CléPersonnalisée2</formula>
    </cfRule>
    <cfRule type="expression" dxfId="11563" priority="964" stopIfTrue="1">
      <formula>AQ73=CléPersonnalisée1</formula>
    </cfRule>
    <cfRule type="expression" dxfId="11562" priority="965" stopIfTrue="1">
      <formula>AQ73=CléMaladie</formula>
    </cfRule>
    <cfRule type="expression" dxfId="11561" priority="966" stopIfTrue="1">
      <formula>AQ73=CléPersonnelle</formula>
    </cfRule>
    <cfRule type="expression" dxfId="11560" priority="967" stopIfTrue="1">
      <formula>AQ73=CléCongés</formula>
    </cfRule>
  </conditionalFormatting>
  <conditionalFormatting sqref="AM75 AP75">
    <cfRule type="expression" priority="956" stopIfTrue="1">
      <formula>AM75=""</formula>
    </cfRule>
    <cfRule type="expression" dxfId="11559" priority="957" stopIfTrue="1">
      <formula>AM75=CléPersonnalisée2</formula>
    </cfRule>
    <cfRule type="expression" dxfId="11558" priority="958" stopIfTrue="1">
      <formula>AM75=CléPersonnalisée1</formula>
    </cfRule>
    <cfRule type="expression" dxfId="11557" priority="959" stopIfTrue="1">
      <formula>AM75=CléMaladie</formula>
    </cfRule>
    <cfRule type="expression" dxfId="11556" priority="960" stopIfTrue="1">
      <formula>AM75=CléPersonnelle</formula>
    </cfRule>
    <cfRule type="expression" dxfId="11555" priority="961" stopIfTrue="1">
      <formula>AM75=CléCongés</formula>
    </cfRule>
  </conditionalFormatting>
  <conditionalFormatting sqref="AH73:AH74">
    <cfRule type="dataBar" priority="955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{D0229127-71A5-43DC-B806-AABF16EC62DB}</x14:id>
        </ext>
      </extLst>
    </cfRule>
  </conditionalFormatting>
  <conditionalFormatting sqref="AI73:AI74">
    <cfRule type="expression" priority="949" stopIfTrue="1">
      <formula>AI73=""</formula>
    </cfRule>
    <cfRule type="expression" dxfId="11554" priority="950" stopIfTrue="1">
      <formula>AI73=CléPersonnalisée2</formula>
    </cfRule>
    <cfRule type="expression" dxfId="11553" priority="951" stopIfTrue="1">
      <formula>AI73=CléPersonnalisée1</formula>
    </cfRule>
    <cfRule type="expression" dxfId="11552" priority="952" stopIfTrue="1">
      <formula>AI73=CléMaladie</formula>
    </cfRule>
    <cfRule type="expression" dxfId="11551" priority="953" stopIfTrue="1">
      <formula>AI73=CléPersonnelle</formula>
    </cfRule>
    <cfRule type="expression" dxfId="11550" priority="954" stopIfTrue="1">
      <formula>AI73=CléCongés</formula>
    </cfRule>
  </conditionalFormatting>
  <conditionalFormatting sqref="AR75">
    <cfRule type="expression" priority="943" stopIfTrue="1">
      <formula>AR75=""</formula>
    </cfRule>
    <cfRule type="expression" dxfId="11549" priority="944" stopIfTrue="1">
      <formula>AR75=CléPersonnalisée2</formula>
    </cfRule>
    <cfRule type="expression" dxfId="11548" priority="945" stopIfTrue="1">
      <formula>AR75=CléPersonnalisée1</formula>
    </cfRule>
    <cfRule type="expression" dxfId="11547" priority="946" stopIfTrue="1">
      <formula>AR75=CléMaladie</formula>
    </cfRule>
    <cfRule type="expression" dxfId="11546" priority="947" stopIfTrue="1">
      <formula>AR75=CléPersonnelle</formula>
    </cfRule>
    <cfRule type="expression" dxfId="11545" priority="948" stopIfTrue="1">
      <formula>AR75=CléCongés</formula>
    </cfRule>
  </conditionalFormatting>
  <conditionalFormatting sqref="C81:AG83">
    <cfRule type="expression" priority="930" stopIfTrue="1">
      <formula>C81=""</formula>
    </cfRule>
    <cfRule type="expression" dxfId="11544" priority="931" stopIfTrue="1">
      <formula>C81=CléPersonnalisée2</formula>
    </cfRule>
    <cfRule type="expression" dxfId="11543" priority="932" stopIfTrue="1">
      <formula>C81=CléPersonnalisée1</formula>
    </cfRule>
    <cfRule type="expression" dxfId="11542" priority="933" stopIfTrue="1">
      <formula>C81=CléMaladie</formula>
    </cfRule>
    <cfRule type="expression" dxfId="11541" priority="934" stopIfTrue="1">
      <formula>C81=CléPersonnelle</formula>
    </cfRule>
    <cfRule type="expression" dxfId="11540" priority="935" stopIfTrue="1">
      <formula>C81=CléCongés</formula>
    </cfRule>
  </conditionalFormatting>
  <conditionalFormatting sqref="AH83">
    <cfRule type="dataBar" priority="936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{3064B732-4DBD-4A55-A21B-C3D988F255A4}</x14:id>
        </ext>
      </extLst>
    </cfRule>
  </conditionalFormatting>
  <conditionalFormatting sqref="AI83:AL83 AJ81:AL82">
    <cfRule type="expression" priority="924" stopIfTrue="1">
      <formula>AI81=""</formula>
    </cfRule>
    <cfRule type="expression" dxfId="11539" priority="925" stopIfTrue="1">
      <formula>AI81=CléPersonnalisée2</formula>
    </cfRule>
    <cfRule type="expression" dxfId="11538" priority="926" stopIfTrue="1">
      <formula>AI81=CléPersonnalisée1</formula>
    </cfRule>
    <cfRule type="expression" dxfId="11537" priority="927" stopIfTrue="1">
      <formula>AI81=CléMaladie</formula>
    </cfRule>
    <cfRule type="expression" dxfId="11536" priority="928" stopIfTrue="1">
      <formula>AI81=CléPersonnelle</formula>
    </cfRule>
    <cfRule type="expression" dxfId="11535" priority="929" stopIfTrue="1">
      <formula>AI81=CléCongés</formula>
    </cfRule>
  </conditionalFormatting>
  <conditionalFormatting sqref="AM81:AP82">
    <cfRule type="expression" priority="918" stopIfTrue="1">
      <formula>AM81=""</formula>
    </cfRule>
    <cfRule type="expression" dxfId="11534" priority="919" stopIfTrue="1">
      <formula>AM81=CléPersonnalisée2</formula>
    </cfRule>
    <cfRule type="expression" dxfId="11533" priority="920" stopIfTrue="1">
      <formula>AM81=CléPersonnalisée1</formula>
    </cfRule>
    <cfRule type="expression" dxfId="11532" priority="921" stopIfTrue="1">
      <formula>AM81=CléMaladie</formula>
    </cfRule>
    <cfRule type="expression" dxfId="11531" priority="922" stopIfTrue="1">
      <formula>AM81=CléPersonnelle</formula>
    </cfRule>
    <cfRule type="expression" dxfId="11530" priority="923" stopIfTrue="1">
      <formula>AM81=CléCongés</formula>
    </cfRule>
  </conditionalFormatting>
  <conditionalFormatting sqref="AQ81:AR82">
    <cfRule type="expression" priority="912" stopIfTrue="1">
      <formula>AQ81=""</formula>
    </cfRule>
    <cfRule type="expression" dxfId="11529" priority="913" stopIfTrue="1">
      <formula>AQ81=CléPersonnalisée2</formula>
    </cfRule>
    <cfRule type="expression" dxfId="11528" priority="914" stopIfTrue="1">
      <formula>AQ81=CléPersonnalisée1</formula>
    </cfRule>
    <cfRule type="expression" dxfId="11527" priority="915" stopIfTrue="1">
      <formula>AQ81=CléMaladie</formula>
    </cfRule>
    <cfRule type="expression" dxfId="11526" priority="916" stopIfTrue="1">
      <formula>AQ81=CléPersonnelle</formula>
    </cfRule>
    <cfRule type="expression" dxfId="11525" priority="917" stopIfTrue="1">
      <formula>AQ81=CléCongés</formula>
    </cfRule>
  </conditionalFormatting>
  <conditionalFormatting sqref="AM83 AP83">
    <cfRule type="expression" priority="906" stopIfTrue="1">
      <formula>AM83=""</formula>
    </cfRule>
    <cfRule type="expression" dxfId="11524" priority="907" stopIfTrue="1">
      <formula>AM83=CléPersonnalisée2</formula>
    </cfRule>
    <cfRule type="expression" dxfId="11523" priority="908" stopIfTrue="1">
      <formula>AM83=CléPersonnalisée1</formula>
    </cfRule>
    <cfRule type="expression" dxfId="11522" priority="909" stopIfTrue="1">
      <formula>AM83=CléMaladie</formula>
    </cfRule>
    <cfRule type="expression" dxfId="11521" priority="910" stopIfTrue="1">
      <formula>AM83=CléPersonnelle</formula>
    </cfRule>
    <cfRule type="expression" dxfId="11520" priority="911" stopIfTrue="1">
      <formula>AM83=CléCongés</formula>
    </cfRule>
  </conditionalFormatting>
  <conditionalFormatting sqref="AH81:AH82">
    <cfRule type="dataBar" priority="905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{47CDB5BA-70F8-4B15-83B4-A2735A340024}</x14:id>
        </ext>
      </extLst>
    </cfRule>
  </conditionalFormatting>
  <conditionalFormatting sqref="AI81:AI82">
    <cfRule type="expression" priority="899" stopIfTrue="1">
      <formula>AI81=""</formula>
    </cfRule>
    <cfRule type="expression" dxfId="11519" priority="900" stopIfTrue="1">
      <formula>AI81=CléPersonnalisée2</formula>
    </cfRule>
    <cfRule type="expression" dxfId="11518" priority="901" stopIfTrue="1">
      <formula>AI81=CléPersonnalisée1</formula>
    </cfRule>
    <cfRule type="expression" dxfId="11517" priority="902" stopIfTrue="1">
      <formula>AI81=CléMaladie</formula>
    </cfRule>
    <cfRule type="expression" dxfId="11516" priority="903" stopIfTrue="1">
      <formula>AI81=CléPersonnelle</formula>
    </cfRule>
    <cfRule type="expression" dxfId="11515" priority="904" stopIfTrue="1">
      <formula>AI81=CléCongés</formula>
    </cfRule>
  </conditionalFormatting>
  <conditionalFormatting sqref="AN83">
    <cfRule type="expression" priority="893" stopIfTrue="1">
      <formula>AN83=""</formula>
    </cfRule>
    <cfRule type="expression" dxfId="11514" priority="894" stopIfTrue="1">
      <formula>AN83=CléPersonnalisée2</formula>
    </cfRule>
    <cfRule type="expression" dxfId="11513" priority="895" stopIfTrue="1">
      <formula>AN83=CléPersonnalisée1</formula>
    </cfRule>
    <cfRule type="expression" dxfId="11512" priority="896" stopIfTrue="1">
      <formula>AN83=CléMaladie</formula>
    </cfRule>
    <cfRule type="expression" dxfId="11511" priority="897" stopIfTrue="1">
      <formula>AN83=CléPersonnelle</formula>
    </cfRule>
    <cfRule type="expression" dxfId="11510" priority="898" stopIfTrue="1">
      <formula>AN83=CléCongés</formula>
    </cfRule>
  </conditionalFormatting>
  <conditionalFormatting sqref="AR83">
    <cfRule type="expression" priority="887" stopIfTrue="1">
      <formula>AR83=""</formula>
    </cfRule>
    <cfRule type="expression" dxfId="11509" priority="888" stopIfTrue="1">
      <formula>AR83=CléPersonnalisée2</formula>
    </cfRule>
    <cfRule type="expression" dxfId="11508" priority="889" stopIfTrue="1">
      <formula>AR83=CléPersonnalisée1</formula>
    </cfRule>
    <cfRule type="expression" dxfId="11507" priority="890" stopIfTrue="1">
      <formula>AR83=CléMaladie</formula>
    </cfRule>
    <cfRule type="expression" dxfId="11506" priority="891" stopIfTrue="1">
      <formula>AR83=CléPersonnelle</formula>
    </cfRule>
    <cfRule type="expression" dxfId="11505" priority="892" stopIfTrue="1">
      <formula>AR83=CléCongés</formula>
    </cfRule>
  </conditionalFormatting>
  <conditionalFormatting sqref="AQ87">
    <cfRule type="expression" priority="825" stopIfTrue="1">
      <formula>AQ87=""</formula>
    </cfRule>
    <cfRule type="expression" dxfId="11504" priority="826" stopIfTrue="1">
      <formula>AQ87=CléPersonnalisée2</formula>
    </cfRule>
    <cfRule type="expression" dxfId="11503" priority="827" stopIfTrue="1">
      <formula>AQ87=CléPersonnalisée1</formula>
    </cfRule>
    <cfRule type="expression" dxfId="11502" priority="828" stopIfTrue="1">
      <formula>AQ87=CléMaladie</formula>
    </cfRule>
    <cfRule type="expression" dxfId="11501" priority="829" stopIfTrue="1">
      <formula>AQ87=CléPersonnelle</formula>
    </cfRule>
    <cfRule type="expression" dxfId="11500" priority="830" stopIfTrue="1">
      <formula>AQ87=CléCongés</formula>
    </cfRule>
  </conditionalFormatting>
  <conditionalFormatting sqref="C85:AG87">
    <cfRule type="expression" priority="874" stopIfTrue="1">
      <formula>C85=""</formula>
    </cfRule>
    <cfRule type="expression" dxfId="11499" priority="875" stopIfTrue="1">
      <formula>C85=CléPersonnalisée2</formula>
    </cfRule>
    <cfRule type="expression" dxfId="11498" priority="876" stopIfTrue="1">
      <formula>C85=CléPersonnalisée1</formula>
    </cfRule>
    <cfRule type="expression" dxfId="11497" priority="877" stopIfTrue="1">
      <formula>C85=CléMaladie</formula>
    </cfRule>
    <cfRule type="expression" dxfId="11496" priority="878" stopIfTrue="1">
      <formula>C85=CléPersonnelle</formula>
    </cfRule>
    <cfRule type="expression" dxfId="11495" priority="879" stopIfTrue="1">
      <formula>C85=CléCongés</formula>
    </cfRule>
  </conditionalFormatting>
  <conditionalFormatting sqref="AH87">
    <cfRule type="dataBar" priority="880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{1AD126AF-060E-4DFF-8954-620F53209EE6}</x14:id>
        </ext>
      </extLst>
    </cfRule>
  </conditionalFormatting>
  <conditionalFormatting sqref="AI87:AL87 AJ85:AL86">
    <cfRule type="expression" priority="868" stopIfTrue="1">
      <formula>AI85=""</formula>
    </cfRule>
    <cfRule type="expression" dxfId="11494" priority="869" stopIfTrue="1">
      <formula>AI85=CléPersonnalisée2</formula>
    </cfRule>
    <cfRule type="expression" dxfId="11493" priority="870" stopIfTrue="1">
      <formula>AI85=CléPersonnalisée1</formula>
    </cfRule>
    <cfRule type="expression" dxfId="11492" priority="871" stopIfTrue="1">
      <formula>AI85=CléMaladie</formula>
    </cfRule>
    <cfRule type="expression" dxfId="11491" priority="872" stopIfTrue="1">
      <formula>AI85=CléPersonnelle</formula>
    </cfRule>
    <cfRule type="expression" dxfId="11490" priority="873" stopIfTrue="1">
      <formula>AI85=CléCongés</formula>
    </cfRule>
  </conditionalFormatting>
  <conditionalFormatting sqref="AM85:AP86">
    <cfRule type="expression" priority="862" stopIfTrue="1">
      <formula>AM85=""</formula>
    </cfRule>
    <cfRule type="expression" dxfId="11489" priority="863" stopIfTrue="1">
      <formula>AM85=CléPersonnalisée2</formula>
    </cfRule>
    <cfRule type="expression" dxfId="11488" priority="864" stopIfTrue="1">
      <formula>AM85=CléPersonnalisée1</formula>
    </cfRule>
    <cfRule type="expression" dxfId="11487" priority="865" stopIfTrue="1">
      <formula>AM85=CléMaladie</formula>
    </cfRule>
    <cfRule type="expression" dxfId="11486" priority="866" stopIfTrue="1">
      <formula>AM85=CléPersonnelle</formula>
    </cfRule>
    <cfRule type="expression" dxfId="11485" priority="867" stopIfTrue="1">
      <formula>AM85=CléCongés</formula>
    </cfRule>
  </conditionalFormatting>
  <conditionalFormatting sqref="AQ85:AR86">
    <cfRule type="expression" priority="856" stopIfTrue="1">
      <formula>AQ85=""</formula>
    </cfRule>
    <cfRule type="expression" dxfId="11484" priority="857" stopIfTrue="1">
      <formula>AQ85=CléPersonnalisée2</formula>
    </cfRule>
    <cfRule type="expression" dxfId="11483" priority="858" stopIfTrue="1">
      <formula>AQ85=CléPersonnalisée1</formula>
    </cfRule>
    <cfRule type="expression" dxfId="11482" priority="859" stopIfTrue="1">
      <formula>AQ85=CléMaladie</formula>
    </cfRule>
    <cfRule type="expression" dxfId="11481" priority="860" stopIfTrue="1">
      <formula>AQ85=CléPersonnelle</formula>
    </cfRule>
    <cfRule type="expression" dxfId="11480" priority="861" stopIfTrue="1">
      <formula>AQ85=CléCongés</formula>
    </cfRule>
  </conditionalFormatting>
  <conditionalFormatting sqref="AM87 AP87">
    <cfRule type="expression" priority="850" stopIfTrue="1">
      <formula>AM87=""</formula>
    </cfRule>
    <cfRule type="expression" dxfId="11479" priority="851" stopIfTrue="1">
      <formula>AM87=CléPersonnalisée2</formula>
    </cfRule>
    <cfRule type="expression" dxfId="11478" priority="852" stopIfTrue="1">
      <formula>AM87=CléPersonnalisée1</formula>
    </cfRule>
    <cfRule type="expression" dxfId="11477" priority="853" stopIfTrue="1">
      <formula>AM87=CléMaladie</formula>
    </cfRule>
    <cfRule type="expression" dxfId="11476" priority="854" stopIfTrue="1">
      <formula>AM87=CléPersonnelle</formula>
    </cfRule>
    <cfRule type="expression" dxfId="11475" priority="855" stopIfTrue="1">
      <formula>AM87=CléCongés</formula>
    </cfRule>
  </conditionalFormatting>
  <conditionalFormatting sqref="AH85:AH86">
    <cfRule type="dataBar" priority="849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{7BFE1D59-74A2-470A-95E9-D9AC39B63FA3}</x14:id>
        </ext>
      </extLst>
    </cfRule>
  </conditionalFormatting>
  <conditionalFormatting sqref="AI85:AI86">
    <cfRule type="expression" priority="843" stopIfTrue="1">
      <formula>AI85=""</formula>
    </cfRule>
    <cfRule type="expression" dxfId="11474" priority="844" stopIfTrue="1">
      <formula>AI85=CléPersonnalisée2</formula>
    </cfRule>
    <cfRule type="expression" dxfId="11473" priority="845" stopIfTrue="1">
      <formula>AI85=CléPersonnalisée1</formula>
    </cfRule>
    <cfRule type="expression" dxfId="11472" priority="846" stopIfTrue="1">
      <formula>AI85=CléMaladie</formula>
    </cfRule>
    <cfRule type="expression" dxfId="11471" priority="847" stopIfTrue="1">
      <formula>AI85=CléPersonnelle</formula>
    </cfRule>
    <cfRule type="expression" dxfId="11470" priority="848" stopIfTrue="1">
      <formula>AI85=CléCongés</formula>
    </cfRule>
  </conditionalFormatting>
  <conditionalFormatting sqref="AN87">
    <cfRule type="expression" priority="837" stopIfTrue="1">
      <formula>AN87=""</formula>
    </cfRule>
    <cfRule type="expression" dxfId="11469" priority="838" stopIfTrue="1">
      <formula>AN87=CléPersonnalisée2</formula>
    </cfRule>
    <cfRule type="expression" dxfId="11468" priority="839" stopIfTrue="1">
      <formula>AN87=CléPersonnalisée1</formula>
    </cfRule>
    <cfRule type="expression" dxfId="11467" priority="840" stopIfTrue="1">
      <formula>AN87=CléMaladie</formula>
    </cfRule>
    <cfRule type="expression" dxfId="11466" priority="841" stopIfTrue="1">
      <formula>AN87=CléPersonnelle</formula>
    </cfRule>
    <cfRule type="expression" dxfId="11465" priority="842" stopIfTrue="1">
      <formula>AN87=CléCongés</formula>
    </cfRule>
  </conditionalFormatting>
  <conditionalFormatting sqref="AR87">
    <cfRule type="expression" priority="831" stopIfTrue="1">
      <formula>AR87=""</formula>
    </cfRule>
    <cfRule type="expression" dxfId="11464" priority="832" stopIfTrue="1">
      <formula>AR87=CléPersonnalisée2</formula>
    </cfRule>
    <cfRule type="expression" dxfId="11463" priority="833" stopIfTrue="1">
      <formula>AR87=CléPersonnalisée1</formula>
    </cfRule>
    <cfRule type="expression" dxfId="11462" priority="834" stopIfTrue="1">
      <formula>AR87=CléMaladie</formula>
    </cfRule>
    <cfRule type="expression" dxfId="11461" priority="835" stopIfTrue="1">
      <formula>AR87=CléPersonnelle</formula>
    </cfRule>
    <cfRule type="expression" dxfId="11460" priority="836" stopIfTrue="1">
      <formula>AR87=CléCongés</formula>
    </cfRule>
  </conditionalFormatting>
  <conditionalFormatting sqref="C89:AG91">
    <cfRule type="expression" priority="818" stopIfTrue="1">
      <formula>C89=""</formula>
    </cfRule>
    <cfRule type="expression" dxfId="11459" priority="819" stopIfTrue="1">
      <formula>C89=CléPersonnalisée2</formula>
    </cfRule>
    <cfRule type="expression" dxfId="11458" priority="820" stopIfTrue="1">
      <formula>C89=CléPersonnalisée1</formula>
    </cfRule>
    <cfRule type="expression" dxfId="11457" priority="821" stopIfTrue="1">
      <formula>C89=CléMaladie</formula>
    </cfRule>
    <cfRule type="expression" dxfId="11456" priority="822" stopIfTrue="1">
      <formula>C89=CléPersonnelle</formula>
    </cfRule>
    <cfRule type="expression" dxfId="11455" priority="823" stopIfTrue="1">
      <formula>C89=CléCongés</formula>
    </cfRule>
  </conditionalFormatting>
  <conditionalFormatting sqref="AH91">
    <cfRule type="dataBar" priority="824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{3595B972-DD1F-4C56-839D-C6672F4890BF}</x14:id>
        </ext>
      </extLst>
    </cfRule>
  </conditionalFormatting>
  <conditionalFormatting sqref="AI91:AL91 AJ89:AL90">
    <cfRule type="expression" priority="812" stopIfTrue="1">
      <formula>AI89=""</formula>
    </cfRule>
    <cfRule type="expression" dxfId="11454" priority="813" stopIfTrue="1">
      <formula>AI89=CléPersonnalisée2</formula>
    </cfRule>
    <cfRule type="expression" dxfId="11453" priority="814" stopIfTrue="1">
      <formula>AI89=CléPersonnalisée1</formula>
    </cfRule>
    <cfRule type="expression" dxfId="11452" priority="815" stopIfTrue="1">
      <formula>AI89=CléMaladie</formula>
    </cfRule>
    <cfRule type="expression" dxfId="11451" priority="816" stopIfTrue="1">
      <formula>AI89=CléPersonnelle</formula>
    </cfRule>
    <cfRule type="expression" dxfId="11450" priority="817" stopIfTrue="1">
      <formula>AI89=CléCongés</formula>
    </cfRule>
  </conditionalFormatting>
  <conditionalFormatting sqref="AM89:AP90">
    <cfRule type="expression" priority="806" stopIfTrue="1">
      <formula>AM89=""</formula>
    </cfRule>
    <cfRule type="expression" dxfId="11449" priority="807" stopIfTrue="1">
      <formula>AM89=CléPersonnalisée2</formula>
    </cfRule>
    <cfRule type="expression" dxfId="11448" priority="808" stopIfTrue="1">
      <formula>AM89=CléPersonnalisée1</formula>
    </cfRule>
    <cfRule type="expression" dxfId="11447" priority="809" stopIfTrue="1">
      <formula>AM89=CléMaladie</formula>
    </cfRule>
    <cfRule type="expression" dxfId="11446" priority="810" stopIfTrue="1">
      <formula>AM89=CléPersonnelle</formula>
    </cfRule>
    <cfRule type="expression" dxfId="11445" priority="811" stopIfTrue="1">
      <formula>AM89=CléCongés</formula>
    </cfRule>
  </conditionalFormatting>
  <conditionalFormatting sqref="AQ89:AR90">
    <cfRule type="expression" priority="800" stopIfTrue="1">
      <formula>AQ89=""</formula>
    </cfRule>
    <cfRule type="expression" dxfId="11444" priority="801" stopIfTrue="1">
      <formula>AQ89=CléPersonnalisée2</formula>
    </cfRule>
    <cfRule type="expression" dxfId="11443" priority="802" stopIfTrue="1">
      <formula>AQ89=CléPersonnalisée1</formula>
    </cfRule>
    <cfRule type="expression" dxfId="11442" priority="803" stopIfTrue="1">
      <formula>AQ89=CléMaladie</formula>
    </cfRule>
    <cfRule type="expression" dxfId="11441" priority="804" stopIfTrue="1">
      <formula>AQ89=CléPersonnelle</formula>
    </cfRule>
    <cfRule type="expression" dxfId="11440" priority="805" stopIfTrue="1">
      <formula>AQ89=CléCongés</formula>
    </cfRule>
  </conditionalFormatting>
  <conditionalFormatting sqref="AM91 AP91">
    <cfRule type="expression" priority="794" stopIfTrue="1">
      <formula>AM91=""</formula>
    </cfRule>
    <cfRule type="expression" dxfId="11439" priority="795" stopIfTrue="1">
      <formula>AM91=CléPersonnalisée2</formula>
    </cfRule>
    <cfRule type="expression" dxfId="11438" priority="796" stopIfTrue="1">
      <formula>AM91=CléPersonnalisée1</formula>
    </cfRule>
    <cfRule type="expression" dxfId="11437" priority="797" stopIfTrue="1">
      <formula>AM91=CléMaladie</formula>
    </cfRule>
    <cfRule type="expression" dxfId="11436" priority="798" stopIfTrue="1">
      <formula>AM91=CléPersonnelle</formula>
    </cfRule>
    <cfRule type="expression" dxfId="11435" priority="799" stopIfTrue="1">
      <formula>AM91=CléCongés</formula>
    </cfRule>
  </conditionalFormatting>
  <conditionalFormatting sqref="AH89:AH90">
    <cfRule type="dataBar" priority="793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{94FADAE5-69B8-4E51-A1CC-DDE1319EB03C}</x14:id>
        </ext>
      </extLst>
    </cfRule>
  </conditionalFormatting>
  <conditionalFormatting sqref="AI89:AI90">
    <cfRule type="expression" priority="787" stopIfTrue="1">
      <formula>AI89=""</formula>
    </cfRule>
    <cfRule type="expression" dxfId="11434" priority="788" stopIfTrue="1">
      <formula>AI89=CléPersonnalisée2</formula>
    </cfRule>
    <cfRule type="expression" dxfId="11433" priority="789" stopIfTrue="1">
      <formula>AI89=CléPersonnalisée1</formula>
    </cfRule>
    <cfRule type="expression" dxfId="11432" priority="790" stopIfTrue="1">
      <formula>AI89=CléMaladie</formula>
    </cfRule>
    <cfRule type="expression" dxfId="11431" priority="791" stopIfTrue="1">
      <formula>AI89=CléPersonnelle</formula>
    </cfRule>
    <cfRule type="expression" dxfId="11430" priority="792" stopIfTrue="1">
      <formula>AI89=CléCongés</formula>
    </cfRule>
  </conditionalFormatting>
  <conditionalFormatting sqref="AN91">
    <cfRule type="expression" priority="781" stopIfTrue="1">
      <formula>AN91=""</formula>
    </cfRule>
    <cfRule type="expression" dxfId="11429" priority="782" stopIfTrue="1">
      <formula>AN91=CléPersonnalisée2</formula>
    </cfRule>
    <cfRule type="expression" dxfId="11428" priority="783" stopIfTrue="1">
      <formula>AN91=CléPersonnalisée1</formula>
    </cfRule>
    <cfRule type="expression" dxfId="11427" priority="784" stopIfTrue="1">
      <formula>AN91=CléMaladie</formula>
    </cfRule>
    <cfRule type="expression" dxfId="11426" priority="785" stopIfTrue="1">
      <formula>AN91=CléPersonnelle</formula>
    </cfRule>
    <cfRule type="expression" dxfId="11425" priority="786" stopIfTrue="1">
      <formula>AN91=CléCongés</formula>
    </cfRule>
  </conditionalFormatting>
  <conditionalFormatting sqref="AR91">
    <cfRule type="expression" priority="775" stopIfTrue="1">
      <formula>AR91=""</formula>
    </cfRule>
    <cfRule type="expression" dxfId="11424" priority="776" stopIfTrue="1">
      <formula>AR91=CléPersonnalisée2</formula>
    </cfRule>
    <cfRule type="expression" dxfId="11423" priority="777" stopIfTrue="1">
      <formula>AR91=CléPersonnalisée1</formula>
    </cfRule>
    <cfRule type="expression" dxfId="11422" priority="778" stopIfTrue="1">
      <formula>AR91=CléMaladie</formula>
    </cfRule>
    <cfRule type="expression" dxfId="11421" priority="779" stopIfTrue="1">
      <formula>AR91=CléPersonnelle</formula>
    </cfRule>
    <cfRule type="expression" dxfId="11420" priority="780" stopIfTrue="1">
      <formula>AR91=CléCongés</formula>
    </cfRule>
  </conditionalFormatting>
  <conditionalFormatting sqref="AN75">
    <cfRule type="expression" priority="763" stopIfTrue="1">
      <formula>AN75=""</formula>
    </cfRule>
    <cfRule type="expression" dxfId="11419" priority="764" stopIfTrue="1">
      <formula>AN75=CléPersonnalisée2</formula>
    </cfRule>
    <cfRule type="expression" dxfId="11418" priority="765" stopIfTrue="1">
      <formula>AN75=CléPersonnalisée1</formula>
    </cfRule>
    <cfRule type="expression" dxfId="11417" priority="766" stopIfTrue="1">
      <formula>AN75=CléMaladie</formula>
    </cfRule>
    <cfRule type="expression" dxfId="11416" priority="767" stopIfTrue="1">
      <formula>AN75=CléPersonnelle</formula>
    </cfRule>
    <cfRule type="expression" dxfId="11415" priority="768" stopIfTrue="1">
      <formula>AN75=CléCongés</formula>
    </cfRule>
  </conditionalFormatting>
  <conditionalFormatting sqref="AQ124:AR124">
    <cfRule type="expression" priority="757" stopIfTrue="1">
      <formula>AQ124=""</formula>
    </cfRule>
    <cfRule type="expression" dxfId="11414" priority="758" stopIfTrue="1">
      <formula>AQ124=CléPersonnalisée2</formula>
    </cfRule>
    <cfRule type="expression" dxfId="11413" priority="759" stopIfTrue="1">
      <formula>AQ124=CléPersonnalisée1</formula>
    </cfRule>
    <cfRule type="expression" dxfId="11412" priority="760" stopIfTrue="1">
      <formula>AQ124=CléMaladie</formula>
    </cfRule>
    <cfRule type="expression" dxfId="11411" priority="761" stopIfTrue="1">
      <formula>AQ124=CléPersonnelle</formula>
    </cfRule>
    <cfRule type="expression" dxfId="11410" priority="762" stopIfTrue="1">
      <formula>AQ124=CléCongés</formula>
    </cfRule>
  </conditionalFormatting>
  <conditionalFormatting sqref="AQ123">
    <cfRule type="expression" priority="583" stopIfTrue="1">
      <formula>AQ123=""</formula>
    </cfRule>
    <cfRule type="expression" dxfId="11409" priority="584" stopIfTrue="1">
      <formula>AQ123=CléPersonnalisée2</formula>
    </cfRule>
    <cfRule type="expression" dxfId="11408" priority="585" stopIfTrue="1">
      <formula>AQ123=CléPersonnalisée1</formula>
    </cfRule>
    <cfRule type="expression" dxfId="11407" priority="586" stopIfTrue="1">
      <formula>AQ123=CléMaladie</formula>
    </cfRule>
    <cfRule type="expression" dxfId="11406" priority="587" stopIfTrue="1">
      <formula>AQ123=CléPersonnelle</formula>
    </cfRule>
    <cfRule type="expression" dxfId="11405" priority="588" stopIfTrue="1">
      <formula>AQ123=CléCongés</formula>
    </cfRule>
  </conditionalFormatting>
  <conditionalFormatting sqref="AQ104:AR104 AQ112:AR112 AQ116:AR116">
    <cfRule type="expression" priority="751" stopIfTrue="1">
      <formula>AQ104=""</formula>
    </cfRule>
    <cfRule type="expression" dxfId="11404" priority="752" stopIfTrue="1">
      <formula>AQ104=CléPersonnalisée2</formula>
    </cfRule>
    <cfRule type="expression" dxfId="11403" priority="753" stopIfTrue="1">
      <formula>AQ104=CléPersonnalisée1</formula>
    </cfRule>
    <cfRule type="expression" dxfId="11402" priority="754" stopIfTrue="1">
      <formula>AQ104=CléMaladie</formula>
    </cfRule>
    <cfRule type="expression" dxfId="11401" priority="755" stopIfTrue="1">
      <formula>AQ104=CléPersonnelle</formula>
    </cfRule>
    <cfRule type="expression" dxfId="11400" priority="756" stopIfTrue="1">
      <formula>AQ104=CléCongés</formula>
    </cfRule>
  </conditionalFormatting>
  <conditionalFormatting sqref="AQ95 AQ103 AQ99">
    <cfRule type="expression" priority="695" stopIfTrue="1">
      <formula>AQ95=""</formula>
    </cfRule>
    <cfRule type="expression" dxfId="11399" priority="696" stopIfTrue="1">
      <formula>AQ95=CléPersonnalisée2</formula>
    </cfRule>
    <cfRule type="expression" dxfId="11398" priority="697" stopIfTrue="1">
      <formula>AQ95=CléPersonnalisée1</formula>
    </cfRule>
    <cfRule type="expression" dxfId="11397" priority="698" stopIfTrue="1">
      <formula>AQ95=CléMaladie</formula>
    </cfRule>
    <cfRule type="expression" dxfId="11396" priority="699" stopIfTrue="1">
      <formula>AQ95=CléPersonnelle</formula>
    </cfRule>
    <cfRule type="expression" dxfId="11395" priority="700" stopIfTrue="1">
      <formula>AQ95=CléCongés</formula>
    </cfRule>
  </conditionalFormatting>
  <conditionalFormatting sqref="C93:AG95 C101:AG103 C97:AG99">
    <cfRule type="expression" priority="744" stopIfTrue="1">
      <formula>C93=""</formula>
    </cfRule>
    <cfRule type="expression" dxfId="11394" priority="745" stopIfTrue="1">
      <formula>C93=CléPersonnalisée2</formula>
    </cfRule>
    <cfRule type="expression" dxfId="11393" priority="746" stopIfTrue="1">
      <formula>C93=CléPersonnalisée1</formula>
    </cfRule>
    <cfRule type="expression" dxfId="11392" priority="747" stopIfTrue="1">
      <formula>C93=CléMaladie</formula>
    </cfRule>
    <cfRule type="expression" dxfId="11391" priority="748" stopIfTrue="1">
      <formula>C93=CléPersonnelle</formula>
    </cfRule>
    <cfRule type="expression" dxfId="11390" priority="749" stopIfTrue="1">
      <formula>C93=CléCongés</formula>
    </cfRule>
  </conditionalFormatting>
  <conditionalFormatting sqref="AH101:AH103 AH95 AH97:AH99">
    <cfRule type="dataBar" priority="750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{9AE0B363-6922-4E22-A9C2-81DC5F8A3029}</x14:id>
        </ext>
      </extLst>
    </cfRule>
  </conditionalFormatting>
  <conditionalFormatting sqref="AI95:AL95 AJ93:AL94 AI101:AL103 AI97:AL99">
    <cfRule type="expression" priority="738" stopIfTrue="1">
      <formula>AI93=""</formula>
    </cfRule>
    <cfRule type="expression" dxfId="11389" priority="739" stopIfTrue="1">
      <formula>AI93=CléPersonnalisée2</formula>
    </cfRule>
    <cfRule type="expression" dxfId="11388" priority="740" stopIfTrue="1">
      <formula>AI93=CléPersonnalisée1</formula>
    </cfRule>
    <cfRule type="expression" dxfId="11387" priority="741" stopIfTrue="1">
      <formula>AI93=CléMaladie</formula>
    </cfRule>
    <cfRule type="expression" dxfId="11386" priority="742" stopIfTrue="1">
      <formula>AI93=CléPersonnelle</formula>
    </cfRule>
    <cfRule type="expression" dxfId="11385" priority="743" stopIfTrue="1">
      <formula>AI93=CléCongés</formula>
    </cfRule>
  </conditionalFormatting>
  <conditionalFormatting sqref="AM93:AP94">
    <cfRule type="expression" priority="732" stopIfTrue="1">
      <formula>AM93=""</formula>
    </cfRule>
    <cfRule type="expression" dxfId="11384" priority="733" stopIfTrue="1">
      <formula>AM93=CléPersonnalisée2</formula>
    </cfRule>
    <cfRule type="expression" dxfId="11383" priority="734" stopIfTrue="1">
      <formula>AM93=CléPersonnalisée1</formula>
    </cfRule>
    <cfRule type="expression" dxfId="11382" priority="735" stopIfTrue="1">
      <formula>AM93=CléMaladie</formula>
    </cfRule>
    <cfRule type="expression" dxfId="11381" priority="736" stopIfTrue="1">
      <formula>AM93=CléPersonnelle</formula>
    </cfRule>
    <cfRule type="expression" dxfId="11380" priority="737" stopIfTrue="1">
      <formula>AM93=CléCongés</formula>
    </cfRule>
  </conditionalFormatting>
  <conditionalFormatting sqref="AQ93:AR94">
    <cfRule type="expression" priority="726" stopIfTrue="1">
      <formula>AQ93=""</formula>
    </cfRule>
    <cfRule type="expression" dxfId="11379" priority="727" stopIfTrue="1">
      <formula>AQ93=CléPersonnalisée2</formula>
    </cfRule>
    <cfRule type="expression" dxfId="11378" priority="728" stopIfTrue="1">
      <formula>AQ93=CléPersonnalisée1</formula>
    </cfRule>
    <cfRule type="expression" dxfId="11377" priority="729" stopIfTrue="1">
      <formula>AQ93=CléMaladie</formula>
    </cfRule>
    <cfRule type="expression" dxfId="11376" priority="730" stopIfTrue="1">
      <formula>AQ93=CléPersonnelle</formula>
    </cfRule>
    <cfRule type="expression" dxfId="11375" priority="731" stopIfTrue="1">
      <formula>AQ93=CléCongés</formula>
    </cfRule>
  </conditionalFormatting>
  <conditionalFormatting sqref="AP95 AP103 AM103 AP99 AM99">
    <cfRule type="expression" priority="720" stopIfTrue="1">
      <formula>AM95=""</formula>
    </cfRule>
    <cfRule type="expression" dxfId="11374" priority="721" stopIfTrue="1">
      <formula>AM95=CléPersonnalisée2</formula>
    </cfRule>
    <cfRule type="expression" dxfId="11373" priority="722" stopIfTrue="1">
      <formula>AM95=CléPersonnalisée1</formula>
    </cfRule>
    <cfRule type="expression" dxfId="11372" priority="723" stopIfTrue="1">
      <formula>AM95=CléMaladie</formula>
    </cfRule>
    <cfRule type="expression" dxfId="11371" priority="724" stopIfTrue="1">
      <formula>AM95=CléPersonnelle</formula>
    </cfRule>
    <cfRule type="expression" dxfId="11370" priority="725" stopIfTrue="1">
      <formula>AM95=CléCongés</formula>
    </cfRule>
  </conditionalFormatting>
  <conditionalFormatting sqref="AH93:AH94">
    <cfRule type="dataBar" priority="719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{2CA53FDC-67AC-40FC-84AE-EB2453E98002}</x14:id>
        </ext>
      </extLst>
    </cfRule>
  </conditionalFormatting>
  <conditionalFormatting sqref="AI93:AI94">
    <cfRule type="expression" priority="713" stopIfTrue="1">
      <formula>AI93=""</formula>
    </cfRule>
    <cfRule type="expression" dxfId="11369" priority="714" stopIfTrue="1">
      <formula>AI93=CléPersonnalisée2</formula>
    </cfRule>
    <cfRule type="expression" dxfId="11368" priority="715" stopIfTrue="1">
      <formula>AI93=CléPersonnalisée1</formula>
    </cfRule>
    <cfRule type="expression" dxfId="11367" priority="716" stopIfTrue="1">
      <formula>AI93=CléMaladie</formula>
    </cfRule>
    <cfRule type="expression" dxfId="11366" priority="717" stopIfTrue="1">
      <formula>AI93=CléPersonnelle</formula>
    </cfRule>
    <cfRule type="expression" dxfId="11365" priority="718" stopIfTrue="1">
      <formula>AI93=CléCongés</formula>
    </cfRule>
  </conditionalFormatting>
  <conditionalFormatting sqref="AN95 AN103 AN99">
    <cfRule type="expression" priority="707" stopIfTrue="1">
      <formula>AN95=""</formula>
    </cfRule>
    <cfRule type="expression" dxfId="11364" priority="708" stopIfTrue="1">
      <formula>AN95=CléPersonnalisée2</formula>
    </cfRule>
    <cfRule type="expression" dxfId="11363" priority="709" stopIfTrue="1">
      <formula>AN95=CléPersonnalisée1</formula>
    </cfRule>
    <cfRule type="expression" dxfId="11362" priority="710" stopIfTrue="1">
      <formula>AN95=CléMaladie</formula>
    </cfRule>
    <cfRule type="expression" dxfId="11361" priority="711" stopIfTrue="1">
      <formula>AN95=CléPersonnelle</formula>
    </cfRule>
    <cfRule type="expression" dxfId="11360" priority="712" stopIfTrue="1">
      <formula>AN95=CléCongés</formula>
    </cfRule>
  </conditionalFormatting>
  <conditionalFormatting sqref="AR95 AR103 AR99">
    <cfRule type="expression" priority="701" stopIfTrue="1">
      <formula>AR95=""</formula>
    </cfRule>
    <cfRule type="expression" dxfId="11359" priority="702" stopIfTrue="1">
      <formula>AR95=CléPersonnalisée2</formula>
    </cfRule>
    <cfRule type="expression" dxfId="11358" priority="703" stopIfTrue="1">
      <formula>AR95=CléPersonnalisée1</formula>
    </cfRule>
    <cfRule type="expression" dxfId="11357" priority="704" stopIfTrue="1">
      <formula>AR95=CléMaladie</formula>
    </cfRule>
    <cfRule type="expression" dxfId="11356" priority="705" stopIfTrue="1">
      <formula>AR95=CléPersonnelle</formula>
    </cfRule>
    <cfRule type="expression" dxfId="11355" priority="706" stopIfTrue="1">
      <formula>AR95=CléCongés</formula>
    </cfRule>
  </conditionalFormatting>
  <conditionalFormatting sqref="AQ111">
    <cfRule type="expression" priority="639" stopIfTrue="1">
      <formula>AQ111=""</formula>
    </cfRule>
    <cfRule type="expression" dxfId="11354" priority="640" stopIfTrue="1">
      <formula>AQ111=CléPersonnalisée2</formula>
    </cfRule>
    <cfRule type="expression" dxfId="11353" priority="641" stopIfTrue="1">
      <formula>AQ111=CléPersonnalisée1</formula>
    </cfRule>
    <cfRule type="expression" dxfId="11352" priority="642" stopIfTrue="1">
      <formula>AQ111=CléMaladie</formula>
    </cfRule>
    <cfRule type="expression" dxfId="11351" priority="643" stopIfTrue="1">
      <formula>AQ111=CléPersonnelle</formula>
    </cfRule>
    <cfRule type="expression" dxfId="11350" priority="644" stopIfTrue="1">
      <formula>AQ111=CléCongés</formula>
    </cfRule>
  </conditionalFormatting>
  <conditionalFormatting sqref="C109:AG111">
    <cfRule type="expression" priority="688" stopIfTrue="1">
      <formula>C109=""</formula>
    </cfRule>
    <cfRule type="expression" dxfId="11349" priority="689" stopIfTrue="1">
      <formula>C109=CléPersonnalisée2</formula>
    </cfRule>
    <cfRule type="expression" dxfId="11348" priority="690" stopIfTrue="1">
      <formula>C109=CléPersonnalisée1</formula>
    </cfRule>
    <cfRule type="expression" dxfId="11347" priority="691" stopIfTrue="1">
      <formula>C109=CléMaladie</formula>
    </cfRule>
    <cfRule type="expression" dxfId="11346" priority="692" stopIfTrue="1">
      <formula>C109=CléPersonnelle</formula>
    </cfRule>
    <cfRule type="expression" dxfId="11345" priority="693" stopIfTrue="1">
      <formula>C109=CléCongés</formula>
    </cfRule>
  </conditionalFormatting>
  <conditionalFormatting sqref="AH111">
    <cfRule type="dataBar" priority="694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{6678D9E1-CF9A-44BF-9B0B-866993DB7BB5}</x14:id>
        </ext>
      </extLst>
    </cfRule>
  </conditionalFormatting>
  <conditionalFormatting sqref="AI111:AL111 AJ109:AL110">
    <cfRule type="expression" priority="682" stopIfTrue="1">
      <formula>AI109=""</formula>
    </cfRule>
    <cfRule type="expression" dxfId="11344" priority="683" stopIfTrue="1">
      <formula>AI109=CléPersonnalisée2</formula>
    </cfRule>
    <cfRule type="expression" dxfId="11343" priority="684" stopIfTrue="1">
      <formula>AI109=CléPersonnalisée1</formula>
    </cfRule>
    <cfRule type="expression" dxfId="11342" priority="685" stopIfTrue="1">
      <formula>AI109=CléMaladie</formula>
    </cfRule>
    <cfRule type="expression" dxfId="11341" priority="686" stopIfTrue="1">
      <formula>AI109=CléPersonnelle</formula>
    </cfRule>
    <cfRule type="expression" dxfId="11340" priority="687" stopIfTrue="1">
      <formula>AI109=CléCongés</formula>
    </cfRule>
  </conditionalFormatting>
  <conditionalFormatting sqref="AM109:AP110">
    <cfRule type="expression" priority="676" stopIfTrue="1">
      <formula>AM109=""</formula>
    </cfRule>
    <cfRule type="expression" dxfId="11339" priority="677" stopIfTrue="1">
      <formula>AM109=CléPersonnalisée2</formula>
    </cfRule>
    <cfRule type="expression" dxfId="11338" priority="678" stopIfTrue="1">
      <formula>AM109=CléPersonnalisée1</formula>
    </cfRule>
    <cfRule type="expression" dxfId="11337" priority="679" stopIfTrue="1">
      <formula>AM109=CléMaladie</formula>
    </cfRule>
    <cfRule type="expression" dxfId="11336" priority="680" stopIfTrue="1">
      <formula>AM109=CléPersonnelle</formula>
    </cfRule>
    <cfRule type="expression" dxfId="11335" priority="681" stopIfTrue="1">
      <formula>AM109=CléCongés</formula>
    </cfRule>
  </conditionalFormatting>
  <conditionalFormatting sqref="AQ109:AR110">
    <cfRule type="expression" priority="670" stopIfTrue="1">
      <formula>AQ109=""</formula>
    </cfRule>
    <cfRule type="expression" dxfId="11334" priority="671" stopIfTrue="1">
      <formula>AQ109=CléPersonnalisée2</formula>
    </cfRule>
    <cfRule type="expression" dxfId="11333" priority="672" stopIfTrue="1">
      <formula>AQ109=CléPersonnalisée1</formula>
    </cfRule>
    <cfRule type="expression" dxfId="11332" priority="673" stopIfTrue="1">
      <formula>AQ109=CléMaladie</formula>
    </cfRule>
    <cfRule type="expression" dxfId="11331" priority="674" stopIfTrue="1">
      <formula>AQ109=CléPersonnelle</formula>
    </cfRule>
    <cfRule type="expression" dxfId="11330" priority="675" stopIfTrue="1">
      <formula>AQ109=CléCongés</formula>
    </cfRule>
  </conditionalFormatting>
  <conditionalFormatting sqref="AM111 AP111">
    <cfRule type="expression" priority="664" stopIfTrue="1">
      <formula>AM111=""</formula>
    </cfRule>
    <cfRule type="expression" dxfId="11329" priority="665" stopIfTrue="1">
      <formula>AM111=CléPersonnalisée2</formula>
    </cfRule>
    <cfRule type="expression" dxfId="11328" priority="666" stopIfTrue="1">
      <formula>AM111=CléPersonnalisée1</formula>
    </cfRule>
    <cfRule type="expression" dxfId="11327" priority="667" stopIfTrue="1">
      <formula>AM111=CléMaladie</formula>
    </cfRule>
    <cfRule type="expression" dxfId="11326" priority="668" stopIfTrue="1">
      <formula>AM111=CléPersonnelle</formula>
    </cfRule>
    <cfRule type="expression" dxfId="11325" priority="669" stopIfTrue="1">
      <formula>AM111=CléCongés</formula>
    </cfRule>
  </conditionalFormatting>
  <conditionalFormatting sqref="AH109:AH110">
    <cfRule type="dataBar" priority="663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{1CDE401F-E817-4445-85CD-F61079A7BC3A}</x14:id>
        </ext>
      </extLst>
    </cfRule>
  </conditionalFormatting>
  <conditionalFormatting sqref="AI109:AI110">
    <cfRule type="expression" priority="657" stopIfTrue="1">
      <formula>AI109=""</formula>
    </cfRule>
    <cfRule type="expression" dxfId="11324" priority="658" stopIfTrue="1">
      <formula>AI109=CléPersonnalisée2</formula>
    </cfRule>
    <cfRule type="expression" dxfId="11323" priority="659" stopIfTrue="1">
      <formula>AI109=CléPersonnalisée1</formula>
    </cfRule>
    <cfRule type="expression" dxfId="11322" priority="660" stopIfTrue="1">
      <formula>AI109=CléMaladie</formula>
    </cfRule>
    <cfRule type="expression" dxfId="11321" priority="661" stopIfTrue="1">
      <formula>AI109=CléPersonnelle</formula>
    </cfRule>
    <cfRule type="expression" dxfId="11320" priority="662" stopIfTrue="1">
      <formula>AI109=CléCongés</formula>
    </cfRule>
  </conditionalFormatting>
  <conditionalFormatting sqref="AN111">
    <cfRule type="expression" priority="651" stopIfTrue="1">
      <formula>AN111=""</formula>
    </cfRule>
    <cfRule type="expression" dxfId="11319" priority="652" stopIfTrue="1">
      <formula>AN111=CléPersonnalisée2</formula>
    </cfRule>
    <cfRule type="expression" dxfId="11318" priority="653" stopIfTrue="1">
      <formula>AN111=CléPersonnalisée1</formula>
    </cfRule>
    <cfRule type="expression" dxfId="11317" priority="654" stopIfTrue="1">
      <formula>AN111=CléMaladie</formula>
    </cfRule>
    <cfRule type="expression" dxfId="11316" priority="655" stopIfTrue="1">
      <formula>AN111=CléPersonnelle</formula>
    </cfRule>
    <cfRule type="expression" dxfId="11315" priority="656" stopIfTrue="1">
      <formula>AN111=CléCongés</formula>
    </cfRule>
  </conditionalFormatting>
  <conditionalFormatting sqref="AR111">
    <cfRule type="expression" priority="645" stopIfTrue="1">
      <formula>AR111=""</formula>
    </cfRule>
    <cfRule type="expression" dxfId="11314" priority="646" stopIfTrue="1">
      <formula>AR111=CléPersonnalisée2</formula>
    </cfRule>
    <cfRule type="expression" dxfId="11313" priority="647" stopIfTrue="1">
      <formula>AR111=CléPersonnalisée1</formula>
    </cfRule>
    <cfRule type="expression" dxfId="11312" priority="648" stopIfTrue="1">
      <formula>AR111=CléMaladie</formula>
    </cfRule>
    <cfRule type="expression" dxfId="11311" priority="649" stopIfTrue="1">
      <formula>AR111=CléPersonnelle</formula>
    </cfRule>
    <cfRule type="expression" dxfId="11310" priority="650" stopIfTrue="1">
      <formula>AR111=CléCongés</formula>
    </cfRule>
  </conditionalFormatting>
  <conditionalFormatting sqref="C121:AG123">
    <cfRule type="expression" priority="632" stopIfTrue="1">
      <formula>C121=""</formula>
    </cfRule>
    <cfRule type="expression" dxfId="11309" priority="633" stopIfTrue="1">
      <formula>C121=CléPersonnalisée2</formula>
    </cfRule>
    <cfRule type="expression" dxfId="11308" priority="634" stopIfTrue="1">
      <formula>C121=CléPersonnalisée1</formula>
    </cfRule>
    <cfRule type="expression" dxfId="11307" priority="635" stopIfTrue="1">
      <formula>C121=CléMaladie</formula>
    </cfRule>
    <cfRule type="expression" dxfId="11306" priority="636" stopIfTrue="1">
      <formula>C121=CléPersonnelle</formula>
    </cfRule>
    <cfRule type="expression" dxfId="11305" priority="637" stopIfTrue="1">
      <formula>C121=CléCongés</formula>
    </cfRule>
  </conditionalFormatting>
  <conditionalFormatting sqref="AH123">
    <cfRule type="dataBar" priority="638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{4FDD954D-2D91-4A78-919B-8819A366E4CA}</x14:id>
        </ext>
      </extLst>
    </cfRule>
  </conditionalFormatting>
  <conditionalFormatting sqref="AI123:AL123 AJ121:AL122">
    <cfRule type="expression" priority="626" stopIfTrue="1">
      <formula>AI121=""</formula>
    </cfRule>
    <cfRule type="expression" dxfId="11304" priority="627" stopIfTrue="1">
      <formula>AI121=CléPersonnalisée2</formula>
    </cfRule>
    <cfRule type="expression" dxfId="11303" priority="628" stopIfTrue="1">
      <formula>AI121=CléPersonnalisée1</formula>
    </cfRule>
    <cfRule type="expression" dxfId="11302" priority="629" stopIfTrue="1">
      <formula>AI121=CléMaladie</formula>
    </cfRule>
    <cfRule type="expression" dxfId="11301" priority="630" stopIfTrue="1">
      <formula>AI121=CléPersonnelle</formula>
    </cfRule>
    <cfRule type="expression" dxfId="11300" priority="631" stopIfTrue="1">
      <formula>AI121=CléCongés</formula>
    </cfRule>
  </conditionalFormatting>
  <conditionalFormatting sqref="AM121:AP122">
    <cfRule type="expression" priority="620" stopIfTrue="1">
      <formula>AM121=""</formula>
    </cfRule>
    <cfRule type="expression" dxfId="11299" priority="621" stopIfTrue="1">
      <formula>AM121=CléPersonnalisée2</formula>
    </cfRule>
    <cfRule type="expression" dxfId="11298" priority="622" stopIfTrue="1">
      <formula>AM121=CléPersonnalisée1</formula>
    </cfRule>
    <cfRule type="expression" dxfId="11297" priority="623" stopIfTrue="1">
      <formula>AM121=CléMaladie</formula>
    </cfRule>
    <cfRule type="expression" dxfId="11296" priority="624" stopIfTrue="1">
      <formula>AM121=CléPersonnelle</formula>
    </cfRule>
    <cfRule type="expression" dxfId="11295" priority="625" stopIfTrue="1">
      <formula>AM121=CléCongés</formula>
    </cfRule>
  </conditionalFormatting>
  <conditionalFormatting sqref="AQ121:AR122">
    <cfRule type="expression" priority="614" stopIfTrue="1">
      <formula>AQ121=""</formula>
    </cfRule>
    <cfRule type="expression" dxfId="11294" priority="615" stopIfTrue="1">
      <formula>AQ121=CléPersonnalisée2</formula>
    </cfRule>
    <cfRule type="expression" dxfId="11293" priority="616" stopIfTrue="1">
      <formula>AQ121=CléPersonnalisée1</formula>
    </cfRule>
    <cfRule type="expression" dxfId="11292" priority="617" stopIfTrue="1">
      <formula>AQ121=CléMaladie</formula>
    </cfRule>
    <cfRule type="expression" dxfId="11291" priority="618" stopIfTrue="1">
      <formula>AQ121=CléPersonnelle</formula>
    </cfRule>
    <cfRule type="expression" dxfId="11290" priority="619" stopIfTrue="1">
      <formula>AQ121=CléCongés</formula>
    </cfRule>
  </conditionalFormatting>
  <conditionalFormatting sqref="AM123 AP123">
    <cfRule type="expression" priority="608" stopIfTrue="1">
      <formula>AM123=""</formula>
    </cfRule>
    <cfRule type="expression" dxfId="11289" priority="609" stopIfTrue="1">
      <formula>AM123=CléPersonnalisée2</formula>
    </cfRule>
    <cfRule type="expression" dxfId="11288" priority="610" stopIfTrue="1">
      <formula>AM123=CléPersonnalisée1</formula>
    </cfRule>
    <cfRule type="expression" dxfId="11287" priority="611" stopIfTrue="1">
      <formula>AM123=CléMaladie</formula>
    </cfRule>
    <cfRule type="expression" dxfId="11286" priority="612" stopIfTrue="1">
      <formula>AM123=CléPersonnelle</formula>
    </cfRule>
    <cfRule type="expression" dxfId="11285" priority="613" stopIfTrue="1">
      <formula>AM123=CléCongés</formula>
    </cfRule>
  </conditionalFormatting>
  <conditionalFormatting sqref="AH121:AH122">
    <cfRule type="dataBar" priority="607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{BF2CD088-8518-4EBA-A102-C99B09419A99}</x14:id>
        </ext>
      </extLst>
    </cfRule>
  </conditionalFormatting>
  <conditionalFormatting sqref="AI121:AI122">
    <cfRule type="expression" priority="601" stopIfTrue="1">
      <formula>AI121=""</formula>
    </cfRule>
    <cfRule type="expression" dxfId="11284" priority="602" stopIfTrue="1">
      <formula>AI121=CléPersonnalisée2</formula>
    </cfRule>
    <cfRule type="expression" dxfId="11283" priority="603" stopIfTrue="1">
      <formula>AI121=CléPersonnalisée1</formula>
    </cfRule>
    <cfRule type="expression" dxfId="11282" priority="604" stopIfTrue="1">
      <formula>AI121=CléMaladie</formula>
    </cfRule>
    <cfRule type="expression" dxfId="11281" priority="605" stopIfTrue="1">
      <formula>AI121=CléPersonnelle</formula>
    </cfRule>
    <cfRule type="expression" dxfId="11280" priority="606" stopIfTrue="1">
      <formula>AI121=CléCongés</formula>
    </cfRule>
  </conditionalFormatting>
  <conditionalFormatting sqref="AN123">
    <cfRule type="expression" priority="595" stopIfTrue="1">
      <formula>AN123=""</formula>
    </cfRule>
    <cfRule type="expression" dxfId="11279" priority="596" stopIfTrue="1">
      <formula>AN123=CléPersonnalisée2</formula>
    </cfRule>
    <cfRule type="expression" dxfId="11278" priority="597" stopIfTrue="1">
      <formula>AN123=CléPersonnalisée1</formula>
    </cfRule>
    <cfRule type="expression" dxfId="11277" priority="598" stopIfTrue="1">
      <formula>AN123=CléMaladie</formula>
    </cfRule>
    <cfRule type="expression" dxfId="11276" priority="599" stopIfTrue="1">
      <formula>AN123=CléPersonnelle</formula>
    </cfRule>
    <cfRule type="expression" dxfId="11275" priority="600" stopIfTrue="1">
      <formula>AN123=CléCongés</formula>
    </cfRule>
  </conditionalFormatting>
  <conditionalFormatting sqref="AR123">
    <cfRule type="expression" priority="589" stopIfTrue="1">
      <formula>AR123=""</formula>
    </cfRule>
    <cfRule type="expression" dxfId="11274" priority="590" stopIfTrue="1">
      <formula>AR123=CléPersonnalisée2</formula>
    </cfRule>
    <cfRule type="expression" dxfId="11273" priority="591" stopIfTrue="1">
      <formula>AR123=CléPersonnalisée1</formula>
    </cfRule>
    <cfRule type="expression" dxfId="11272" priority="592" stopIfTrue="1">
      <formula>AR123=CléMaladie</formula>
    </cfRule>
    <cfRule type="expression" dxfId="11271" priority="593" stopIfTrue="1">
      <formula>AR123=CléPersonnelle</formula>
    </cfRule>
    <cfRule type="expression" dxfId="11270" priority="594" stopIfTrue="1">
      <formula>AR123=CléCongés</formula>
    </cfRule>
  </conditionalFormatting>
  <conditionalFormatting sqref="AQ115">
    <cfRule type="expression" priority="527" stopIfTrue="1">
      <formula>AQ115=""</formula>
    </cfRule>
    <cfRule type="expression" dxfId="11269" priority="528" stopIfTrue="1">
      <formula>AQ115=CléPersonnalisée2</formula>
    </cfRule>
    <cfRule type="expression" dxfId="11268" priority="529" stopIfTrue="1">
      <formula>AQ115=CléPersonnalisée1</formula>
    </cfRule>
    <cfRule type="expression" dxfId="11267" priority="530" stopIfTrue="1">
      <formula>AQ115=CléMaladie</formula>
    </cfRule>
    <cfRule type="expression" dxfId="11266" priority="531" stopIfTrue="1">
      <formula>AQ115=CléPersonnelle</formula>
    </cfRule>
    <cfRule type="expression" dxfId="11265" priority="532" stopIfTrue="1">
      <formula>AQ115=CléCongés</formula>
    </cfRule>
  </conditionalFormatting>
  <conditionalFormatting sqref="C113:AG115">
    <cfRule type="expression" priority="576" stopIfTrue="1">
      <formula>C113=""</formula>
    </cfRule>
    <cfRule type="expression" dxfId="11264" priority="577" stopIfTrue="1">
      <formula>C113=CléPersonnalisée2</formula>
    </cfRule>
    <cfRule type="expression" dxfId="11263" priority="578" stopIfTrue="1">
      <formula>C113=CléPersonnalisée1</formula>
    </cfRule>
    <cfRule type="expression" dxfId="11262" priority="579" stopIfTrue="1">
      <formula>C113=CléMaladie</formula>
    </cfRule>
    <cfRule type="expression" dxfId="11261" priority="580" stopIfTrue="1">
      <formula>C113=CléPersonnelle</formula>
    </cfRule>
    <cfRule type="expression" dxfId="11260" priority="581" stopIfTrue="1">
      <formula>C113=CléCongés</formula>
    </cfRule>
  </conditionalFormatting>
  <conditionalFormatting sqref="AH115">
    <cfRule type="dataBar" priority="582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{5DFCA880-BF42-431C-9895-179A5C2BE3C4}</x14:id>
        </ext>
      </extLst>
    </cfRule>
  </conditionalFormatting>
  <conditionalFormatting sqref="AI115:AL115 AJ113:AL114">
    <cfRule type="expression" priority="570" stopIfTrue="1">
      <formula>AI113=""</formula>
    </cfRule>
    <cfRule type="expression" dxfId="11259" priority="571" stopIfTrue="1">
      <formula>AI113=CléPersonnalisée2</formula>
    </cfRule>
    <cfRule type="expression" dxfId="11258" priority="572" stopIfTrue="1">
      <formula>AI113=CléPersonnalisée1</formula>
    </cfRule>
    <cfRule type="expression" dxfId="11257" priority="573" stopIfTrue="1">
      <formula>AI113=CléMaladie</formula>
    </cfRule>
    <cfRule type="expression" dxfId="11256" priority="574" stopIfTrue="1">
      <formula>AI113=CléPersonnelle</formula>
    </cfRule>
    <cfRule type="expression" dxfId="11255" priority="575" stopIfTrue="1">
      <formula>AI113=CléCongés</formula>
    </cfRule>
  </conditionalFormatting>
  <conditionalFormatting sqref="AM113:AP114">
    <cfRule type="expression" priority="564" stopIfTrue="1">
      <formula>AM113=""</formula>
    </cfRule>
    <cfRule type="expression" dxfId="11254" priority="565" stopIfTrue="1">
      <formula>AM113=CléPersonnalisée2</formula>
    </cfRule>
    <cfRule type="expression" dxfId="11253" priority="566" stopIfTrue="1">
      <formula>AM113=CléPersonnalisée1</formula>
    </cfRule>
    <cfRule type="expression" dxfId="11252" priority="567" stopIfTrue="1">
      <formula>AM113=CléMaladie</formula>
    </cfRule>
    <cfRule type="expression" dxfId="11251" priority="568" stopIfTrue="1">
      <formula>AM113=CléPersonnelle</formula>
    </cfRule>
    <cfRule type="expression" dxfId="11250" priority="569" stopIfTrue="1">
      <formula>AM113=CléCongés</formula>
    </cfRule>
  </conditionalFormatting>
  <conditionalFormatting sqref="AQ113:AR114">
    <cfRule type="expression" priority="558" stopIfTrue="1">
      <formula>AQ113=""</formula>
    </cfRule>
    <cfRule type="expression" dxfId="11249" priority="559" stopIfTrue="1">
      <formula>AQ113=CléPersonnalisée2</formula>
    </cfRule>
    <cfRule type="expression" dxfId="11248" priority="560" stopIfTrue="1">
      <formula>AQ113=CléPersonnalisée1</formula>
    </cfRule>
    <cfRule type="expression" dxfId="11247" priority="561" stopIfTrue="1">
      <formula>AQ113=CléMaladie</formula>
    </cfRule>
    <cfRule type="expression" dxfId="11246" priority="562" stopIfTrue="1">
      <formula>AQ113=CléPersonnelle</formula>
    </cfRule>
    <cfRule type="expression" dxfId="11245" priority="563" stopIfTrue="1">
      <formula>AQ113=CléCongés</formula>
    </cfRule>
  </conditionalFormatting>
  <conditionalFormatting sqref="AM115 AP115">
    <cfRule type="expression" priority="552" stopIfTrue="1">
      <formula>AM115=""</formula>
    </cfRule>
    <cfRule type="expression" dxfId="11244" priority="553" stopIfTrue="1">
      <formula>AM115=CléPersonnalisée2</formula>
    </cfRule>
    <cfRule type="expression" dxfId="11243" priority="554" stopIfTrue="1">
      <formula>AM115=CléPersonnalisée1</formula>
    </cfRule>
    <cfRule type="expression" dxfId="11242" priority="555" stopIfTrue="1">
      <formula>AM115=CléMaladie</formula>
    </cfRule>
    <cfRule type="expression" dxfId="11241" priority="556" stopIfTrue="1">
      <formula>AM115=CléPersonnelle</formula>
    </cfRule>
    <cfRule type="expression" dxfId="11240" priority="557" stopIfTrue="1">
      <formula>AM115=CléCongés</formula>
    </cfRule>
  </conditionalFormatting>
  <conditionalFormatting sqref="AH113:AH114">
    <cfRule type="dataBar" priority="551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{20567271-3EF7-4E7B-868E-D41467F896F7}</x14:id>
        </ext>
      </extLst>
    </cfRule>
  </conditionalFormatting>
  <conditionalFormatting sqref="AI113:AI114">
    <cfRule type="expression" priority="545" stopIfTrue="1">
      <formula>AI113=""</formula>
    </cfRule>
    <cfRule type="expression" dxfId="11239" priority="546" stopIfTrue="1">
      <formula>AI113=CléPersonnalisée2</formula>
    </cfRule>
    <cfRule type="expression" dxfId="11238" priority="547" stopIfTrue="1">
      <formula>AI113=CléPersonnalisée1</formula>
    </cfRule>
    <cfRule type="expression" dxfId="11237" priority="548" stopIfTrue="1">
      <formula>AI113=CléMaladie</formula>
    </cfRule>
    <cfRule type="expression" dxfId="11236" priority="549" stopIfTrue="1">
      <formula>AI113=CléPersonnelle</formula>
    </cfRule>
    <cfRule type="expression" dxfId="11235" priority="550" stopIfTrue="1">
      <formula>AI113=CléCongés</formula>
    </cfRule>
  </conditionalFormatting>
  <conditionalFormatting sqref="AN115">
    <cfRule type="expression" priority="539" stopIfTrue="1">
      <formula>AN115=""</formula>
    </cfRule>
    <cfRule type="expression" dxfId="11234" priority="540" stopIfTrue="1">
      <formula>AN115=CléPersonnalisée2</formula>
    </cfRule>
    <cfRule type="expression" dxfId="11233" priority="541" stopIfTrue="1">
      <formula>AN115=CléPersonnalisée1</formula>
    </cfRule>
    <cfRule type="expression" dxfId="11232" priority="542" stopIfTrue="1">
      <formula>AN115=CléMaladie</formula>
    </cfRule>
    <cfRule type="expression" dxfId="11231" priority="543" stopIfTrue="1">
      <formula>AN115=CléPersonnelle</formula>
    </cfRule>
    <cfRule type="expression" dxfId="11230" priority="544" stopIfTrue="1">
      <formula>AN115=CléCongés</formula>
    </cfRule>
  </conditionalFormatting>
  <conditionalFormatting sqref="AR115">
    <cfRule type="expression" priority="533" stopIfTrue="1">
      <formula>AR115=""</formula>
    </cfRule>
    <cfRule type="expression" dxfId="11229" priority="534" stopIfTrue="1">
      <formula>AR115=CléPersonnalisée2</formula>
    </cfRule>
    <cfRule type="expression" dxfId="11228" priority="535" stopIfTrue="1">
      <formula>AR115=CléPersonnalisée1</formula>
    </cfRule>
    <cfRule type="expression" dxfId="11227" priority="536" stopIfTrue="1">
      <formula>AR115=CléMaladie</formula>
    </cfRule>
    <cfRule type="expression" dxfId="11226" priority="537" stopIfTrue="1">
      <formula>AR115=CléPersonnelle</formula>
    </cfRule>
    <cfRule type="expression" dxfId="11225" priority="538" stopIfTrue="1">
      <formula>AR115=CléCongés</formula>
    </cfRule>
  </conditionalFormatting>
  <conditionalFormatting sqref="AQ15">
    <cfRule type="expression" priority="477" stopIfTrue="1">
      <formula>AQ15=""</formula>
    </cfRule>
    <cfRule type="expression" dxfId="11224" priority="478" stopIfTrue="1">
      <formula>AQ15=CléPersonnalisée2</formula>
    </cfRule>
    <cfRule type="expression" dxfId="11223" priority="479" stopIfTrue="1">
      <formula>AQ15=CléPersonnalisée1</formula>
    </cfRule>
    <cfRule type="expression" dxfId="11222" priority="480" stopIfTrue="1">
      <formula>AQ15=CléMaladie</formula>
    </cfRule>
    <cfRule type="expression" dxfId="11221" priority="481" stopIfTrue="1">
      <formula>AQ15=CléPersonnelle</formula>
    </cfRule>
    <cfRule type="expression" dxfId="11220" priority="482" stopIfTrue="1">
      <formula>AQ15=CléCongés</formula>
    </cfRule>
  </conditionalFormatting>
  <conditionalFormatting sqref="C13:AG15">
    <cfRule type="expression" priority="520" stopIfTrue="1">
      <formula>C13=""</formula>
    </cfRule>
    <cfRule type="expression" dxfId="11219" priority="521" stopIfTrue="1">
      <formula>C13=CléPersonnalisée2</formula>
    </cfRule>
    <cfRule type="expression" dxfId="11218" priority="522" stopIfTrue="1">
      <formula>C13=CléPersonnalisée1</formula>
    </cfRule>
    <cfRule type="expression" dxfId="11217" priority="523" stopIfTrue="1">
      <formula>C13=CléMaladie</formula>
    </cfRule>
    <cfRule type="expression" dxfId="11216" priority="524" stopIfTrue="1">
      <formula>C13=CléPersonnelle</formula>
    </cfRule>
    <cfRule type="expression" dxfId="11215" priority="525" stopIfTrue="1">
      <formula>C13=CléCongés</formula>
    </cfRule>
  </conditionalFormatting>
  <conditionalFormatting sqref="AH15">
    <cfRule type="dataBar" priority="526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{CF3551E6-D4D4-4AF0-8C90-4048AC1FF918}</x14:id>
        </ext>
      </extLst>
    </cfRule>
  </conditionalFormatting>
  <conditionalFormatting sqref="AI15:AL15 AJ13:AL14">
    <cfRule type="expression" priority="514" stopIfTrue="1">
      <formula>AI13=""</formula>
    </cfRule>
    <cfRule type="expression" dxfId="11214" priority="515" stopIfTrue="1">
      <formula>AI13=CléPersonnalisée2</formula>
    </cfRule>
    <cfRule type="expression" dxfId="11213" priority="516" stopIfTrue="1">
      <formula>AI13=CléPersonnalisée1</formula>
    </cfRule>
    <cfRule type="expression" dxfId="11212" priority="517" stopIfTrue="1">
      <formula>AI13=CléMaladie</formula>
    </cfRule>
    <cfRule type="expression" dxfId="11211" priority="518" stopIfTrue="1">
      <formula>AI13=CléPersonnelle</formula>
    </cfRule>
    <cfRule type="expression" dxfId="11210" priority="519" stopIfTrue="1">
      <formula>AI13=CléCongés</formula>
    </cfRule>
  </conditionalFormatting>
  <conditionalFormatting sqref="AM13:AP14">
    <cfRule type="expression" priority="508" stopIfTrue="1">
      <formula>AM13=""</formula>
    </cfRule>
    <cfRule type="expression" dxfId="11209" priority="509" stopIfTrue="1">
      <formula>AM13=CléPersonnalisée2</formula>
    </cfRule>
    <cfRule type="expression" dxfId="11208" priority="510" stopIfTrue="1">
      <formula>AM13=CléPersonnalisée1</formula>
    </cfRule>
    <cfRule type="expression" dxfId="11207" priority="511" stopIfTrue="1">
      <formula>AM13=CléMaladie</formula>
    </cfRule>
    <cfRule type="expression" dxfId="11206" priority="512" stopIfTrue="1">
      <formula>AM13=CléPersonnelle</formula>
    </cfRule>
    <cfRule type="expression" dxfId="11205" priority="513" stopIfTrue="1">
      <formula>AM13=CléCongés</formula>
    </cfRule>
  </conditionalFormatting>
  <conditionalFormatting sqref="AQ13:AS13 AQ14:AR14 AS17 AS21 AS25 AS29 AS33 AS37 AS41 AS45 AS49 AS53 AS57 AS61 AS65 AS69 AS73 AS77 AS81 AS85 AS89 AS93 AS97 AS101 AS105 AS109 AS113 AS117 AS121">
    <cfRule type="expression" priority="502" stopIfTrue="1">
      <formula>AQ13=""</formula>
    </cfRule>
    <cfRule type="expression" dxfId="11204" priority="503" stopIfTrue="1">
      <formula>AQ13=CléPersonnalisée2</formula>
    </cfRule>
    <cfRule type="expression" dxfId="11203" priority="504" stopIfTrue="1">
      <formula>AQ13=CléPersonnalisée1</formula>
    </cfRule>
    <cfRule type="expression" dxfId="11202" priority="505" stopIfTrue="1">
      <formula>AQ13=CléMaladie</formula>
    </cfRule>
    <cfRule type="expression" dxfId="11201" priority="506" stopIfTrue="1">
      <formula>AQ13=CléPersonnelle</formula>
    </cfRule>
    <cfRule type="expression" dxfId="11200" priority="507" stopIfTrue="1">
      <formula>AQ13=CléCongés</formula>
    </cfRule>
  </conditionalFormatting>
  <conditionalFormatting sqref="AM15 AP15">
    <cfRule type="expression" priority="496" stopIfTrue="1">
      <formula>AM15=""</formula>
    </cfRule>
    <cfRule type="expression" dxfId="11199" priority="497" stopIfTrue="1">
      <formula>AM15=CléPersonnalisée2</formula>
    </cfRule>
    <cfRule type="expression" dxfId="11198" priority="498" stopIfTrue="1">
      <formula>AM15=CléPersonnalisée1</formula>
    </cfRule>
    <cfRule type="expression" dxfId="11197" priority="499" stopIfTrue="1">
      <formula>AM15=CléMaladie</formula>
    </cfRule>
    <cfRule type="expression" dxfId="11196" priority="500" stopIfTrue="1">
      <formula>AM15=CléPersonnelle</formula>
    </cfRule>
    <cfRule type="expression" dxfId="11195" priority="501" stopIfTrue="1">
      <formula>AM15=CléCongés</formula>
    </cfRule>
  </conditionalFormatting>
  <conditionalFormatting sqref="AH13:AH14">
    <cfRule type="dataBar" priority="495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{36050E4A-EC72-406F-B967-215A861E751F}</x14:id>
        </ext>
      </extLst>
    </cfRule>
  </conditionalFormatting>
  <conditionalFormatting sqref="AI13:AI14">
    <cfRule type="expression" priority="489" stopIfTrue="1">
      <formula>AI13=""</formula>
    </cfRule>
    <cfRule type="expression" dxfId="11194" priority="490" stopIfTrue="1">
      <formula>AI13=CléPersonnalisée2</formula>
    </cfRule>
    <cfRule type="expression" dxfId="11193" priority="491" stopIfTrue="1">
      <formula>AI13=CléPersonnalisée1</formula>
    </cfRule>
    <cfRule type="expression" dxfId="11192" priority="492" stopIfTrue="1">
      <formula>AI13=CléMaladie</formula>
    </cfRule>
    <cfRule type="expression" dxfId="11191" priority="493" stopIfTrue="1">
      <formula>AI13=CléPersonnelle</formula>
    </cfRule>
    <cfRule type="expression" dxfId="11190" priority="494" stopIfTrue="1">
      <formula>AI13=CléCongés</formula>
    </cfRule>
  </conditionalFormatting>
  <conditionalFormatting sqref="AR15">
    <cfRule type="expression" priority="483" stopIfTrue="1">
      <formula>AR15=""</formula>
    </cfRule>
    <cfRule type="expression" dxfId="11189" priority="484" stopIfTrue="1">
      <formula>AR15=CléPersonnalisée2</formula>
    </cfRule>
    <cfRule type="expression" dxfId="11188" priority="485" stopIfTrue="1">
      <formula>AR15=CléPersonnalisée1</formula>
    </cfRule>
    <cfRule type="expression" dxfId="11187" priority="486" stopIfTrue="1">
      <formula>AR15=CléMaladie</formula>
    </cfRule>
    <cfRule type="expression" dxfId="11186" priority="487" stopIfTrue="1">
      <formula>AR15=CléPersonnelle</formula>
    </cfRule>
    <cfRule type="expression" dxfId="11185" priority="488" stopIfTrue="1">
      <formula>AR15=CléCongés</formula>
    </cfRule>
  </conditionalFormatting>
  <conditionalFormatting sqref="AQ100:AR100">
    <cfRule type="expression" priority="471" stopIfTrue="1">
      <formula>AQ100=""</formula>
    </cfRule>
    <cfRule type="expression" dxfId="11184" priority="472" stopIfTrue="1">
      <formula>AQ100=CléPersonnalisée2</formula>
    </cfRule>
    <cfRule type="expression" dxfId="11183" priority="473" stopIfTrue="1">
      <formula>AQ100=CléPersonnalisée1</formula>
    </cfRule>
    <cfRule type="expression" dxfId="11182" priority="474" stopIfTrue="1">
      <formula>AQ100=CléMaladie</formula>
    </cfRule>
    <cfRule type="expression" dxfId="11181" priority="475" stopIfTrue="1">
      <formula>AQ100=CléPersonnelle</formula>
    </cfRule>
    <cfRule type="expression" dxfId="11180" priority="476" stopIfTrue="1">
      <formula>AQ100=CléCongés</formula>
    </cfRule>
  </conditionalFormatting>
  <conditionalFormatting sqref="AQ96:AR96">
    <cfRule type="expression" priority="465" stopIfTrue="1">
      <formula>AQ96=""</formula>
    </cfRule>
    <cfRule type="expression" dxfId="11179" priority="466" stopIfTrue="1">
      <formula>AQ96=CléPersonnalisée2</formula>
    </cfRule>
    <cfRule type="expression" dxfId="11178" priority="467" stopIfTrue="1">
      <formula>AQ96=CléPersonnalisée1</formula>
    </cfRule>
    <cfRule type="expression" dxfId="11177" priority="468" stopIfTrue="1">
      <formula>AQ96=CléMaladie</formula>
    </cfRule>
    <cfRule type="expression" dxfId="11176" priority="469" stopIfTrue="1">
      <formula>AQ96=CléPersonnelle</formula>
    </cfRule>
    <cfRule type="expression" dxfId="11175" priority="470" stopIfTrue="1">
      <formula>AQ96=CléCongés</formula>
    </cfRule>
  </conditionalFormatting>
  <conditionalFormatting sqref="AQ120:AR120">
    <cfRule type="expression" priority="459" stopIfTrue="1">
      <formula>AQ120=""</formula>
    </cfRule>
    <cfRule type="expression" dxfId="11174" priority="460" stopIfTrue="1">
      <formula>AQ120=CléPersonnalisée2</formula>
    </cfRule>
    <cfRule type="expression" dxfId="11173" priority="461" stopIfTrue="1">
      <formula>AQ120=CléPersonnalisée1</formula>
    </cfRule>
    <cfRule type="expression" dxfId="11172" priority="462" stopIfTrue="1">
      <formula>AQ120=CléMaladie</formula>
    </cfRule>
    <cfRule type="expression" dxfId="11171" priority="463" stopIfTrue="1">
      <formula>AQ120=CléPersonnelle</formula>
    </cfRule>
    <cfRule type="expression" dxfId="11170" priority="464" stopIfTrue="1">
      <formula>AQ120=CléCongés</formula>
    </cfRule>
  </conditionalFormatting>
  <conditionalFormatting sqref="AQ119">
    <cfRule type="expression" priority="403" stopIfTrue="1">
      <formula>AQ119=""</formula>
    </cfRule>
    <cfRule type="expression" dxfId="11169" priority="404" stopIfTrue="1">
      <formula>AQ119=CléPersonnalisée2</formula>
    </cfRule>
    <cfRule type="expression" dxfId="11168" priority="405" stopIfTrue="1">
      <formula>AQ119=CléPersonnalisée1</formula>
    </cfRule>
    <cfRule type="expression" dxfId="11167" priority="406" stopIfTrue="1">
      <formula>AQ119=CléMaladie</formula>
    </cfRule>
    <cfRule type="expression" dxfId="11166" priority="407" stopIfTrue="1">
      <formula>AQ119=CléPersonnelle</formula>
    </cfRule>
    <cfRule type="expression" dxfId="11165" priority="408" stopIfTrue="1">
      <formula>AQ119=CléCongés</formula>
    </cfRule>
  </conditionalFormatting>
  <conditionalFormatting sqref="C117:AG119">
    <cfRule type="expression" priority="452" stopIfTrue="1">
      <formula>C117=""</formula>
    </cfRule>
    <cfRule type="expression" dxfId="11164" priority="453" stopIfTrue="1">
      <formula>C117=CléPersonnalisée2</formula>
    </cfRule>
    <cfRule type="expression" dxfId="11163" priority="454" stopIfTrue="1">
      <formula>C117=CléPersonnalisée1</formula>
    </cfRule>
    <cfRule type="expression" dxfId="11162" priority="455" stopIfTrue="1">
      <formula>C117=CléMaladie</formula>
    </cfRule>
    <cfRule type="expression" dxfId="11161" priority="456" stopIfTrue="1">
      <formula>C117=CléPersonnelle</formula>
    </cfRule>
    <cfRule type="expression" dxfId="11160" priority="457" stopIfTrue="1">
      <formula>C117=CléCongés</formula>
    </cfRule>
  </conditionalFormatting>
  <conditionalFormatting sqref="AH119">
    <cfRule type="dataBar" priority="458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{960F6BD4-00F6-4E97-AA22-4BFBA6EF2F6F}</x14:id>
        </ext>
      </extLst>
    </cfRule>
  </conditionalFormatting>
  <conditionalFormatting sqref="AI119:AL119 AJ117:AL118">
    <cfRule type="expression" priority="446" stopIfTrue="1">
      <formula>AI117=""</formula>
    </cfRule>
    <cfRule type="expression" dxfId="11159" priority="447" stopIfTrue="1">
      <formula>AI117=CléPersonnalisée2</formula>
    </cfRule>
    <cfRule type="expression" dxfId="11158" priority="448" stopIfTrue="1">
      <formula>AI117=CléPersonnalisée1</formula>
    </cfRule>
    <cfRule type="expression" dxfId="11157" priority="449" stopIfTrue="1">
      <formula>AI117=CléMaladie</formula>
    </cfRule>
    <cfRule type="expression" dxfId="11156" priority="450" stopIfTrue="1">
      <formula>AI117=CléPersonnelle</formula>
    </cfRule>
    <cfRule type="expression" dxfId="11155" priority="451" stopIfTrue="1">
      <formula>AI117=CléCongés</formula>
    </cfRule>
  </conditionalFormatting>
  <conditionalFormatting sqref="AM117:AP118">
    <cfRule type="expression" priority="440" stopIfTrue="1">
      <formula>AM117=""</formula>
    </cfRule>
    <cfRule type="expression" dxfId="11154" priority="441" stopIfTrue="1">
      <formula>AM117=CléPersonnalisée2</formula>
    </cfRule>
    <cfRule type="expression" dxfId="11153" priority="442" stopIfTrue="1">
      <formula>AM117=CléPersonnalisée1</formula>
    </cfRule>
    <cfRule type="expression" dxfId="11152" priority="443" stopIfTrue="1">
      <formula>AM117=CléMaladie</formula>
    </cfRule>
    <cfRule type="expression" dxfId="11151" priority="444" stopIfTrue="1">
      <formula>AM117=CléPersonnelle</formula>
    </cfRule>
    <cfRule type="expression" dxfId="11150" priority="445" stopIfTrue="1">
      <formula>AM117=CléCongés</formula>
    </cfRule>
  </conditionalFormatting>
  <conditionalFormatting sqref="AQ117:AR118">
    <cfRule type="expression" priority="434" stopIfTrue="1">
      <formula>AQ117=""</formula>
    </cfRule>
    <cfRule type="expression" dxfId="11149" priority="435" stopIfTrue="1">
      <formula>AQ117=CléPersonnalisée2</formula>
    </cfRule>
    <cfRule type="expression" dxfId="11148" priority="436" stopIfTrue="1">
      <formula>AQ117=CléPersonnalisée1</formula>
    </cfRule>
    <cfRule type="expression" dxfId="11147" priority="437" stopIfTrue="1">
      <formula>AQ117=CléMaladie</formula>
    </cfRule>
    <cfRule type="expression" dxfId="11146" priority="438" stopIfTrue="1">
      <formula>AQ117=CléPersonnelle</formula>
    </cfRule>
    <cfRule type="expression" dxfId="11145" priority="439" stopIfTrue="1">
      <formula>AQ117=CléCongés</formula>
    </cfRule>
  </conditionalFormatting>
  <conditionalFormatting sqref="AM119 AP119">
    <cfRule type="expression" priority="428" stopIfTrue="1">
      <formula>AM119=""</formula>
    </cfRule>
    <cfRule type="expression" dxfId="11144" priority="429" stopIfTrue="1">
      <formula>AM119=CléPersonnalisée2</formula>
    </cfRule>
    <cfRule type="expression" dxfId="11143" priority="430" stopIfTrue="1">
      <formula>AM119=CléPersonnalisée1</formula>
    </cfRule>
    <cfRule type="expression" dxfId="11142" priority="431" stopIfTrue="1">
      <formula>AM119=CléMaladie</formula>
    </cfRule>
    <cfRule type="expression" dxfId="11141" priority="432" stopIfTrue="1">
      <formula>AM119=CléPersonnelle</formula>
    </cfRule>
    <cfRule type="expression" dxfId="11140" priority="433" stopIfTrue="1">
      <formula>AM119=CléCongés</formula>
    </cfRule>
  </conditionalFormatting>
  <conditionalFormatting sqref="AH117:AH118">
    <cfRule type="dataBar" priority="427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{D9D25352-C9D2-4315-B993-69F2BCA6CEA6}</x14:id>
        </ext>
      </extLst>
    </cfRule>
  </conditionalFormatting>
  <conditionalFormatting sqref="AI117:AI118">
    <cfRule type="expression" priority="421" stopIfTrue="1">
      <formula>AI117=""</formula>
    </cfRule>
    <cfRule type="expression" dxfId="11139" priority="422" stopIfTrue="1">
      <formula>AI117=CléPersonnalisée2</formula>
    </cfRule>
    <cfRule type="expression" dxfId="11138" priority="423" stopIfTrue="1">
      <formula>AI117=CléPersonnalisée1</formula>
    </cfRule>
    <cfRule type="expression" dxfId="11137" priority="424" stopIfTrue="1">
      <formula>AI117=CléMaladie</formula>
    </cfRule>
    <cfRule type="expression" dxfId="11136" priority="425" stopIfTrue="1">
      <formula>AI117=CléPersonnelle</formula>
    </cfRule>
    <cfRule type="expression" dxfId="11135" priority="426" stopIfTrue="1">
      <formula>AI117=CléCongés</formula>
    </cfRule>
  </conditionalFormatting>
  <conditionalFormatting sqref="AN119">
    <cfRule type="expression" priority="415" stopIfTrue="1">
      <formula>AN119=""</formula>
    </cfRule>
    <cfRule type="expression" dxfId="11134" priority="416" stopIfTrue="1">
      <formula>AN119=CléPersonnalisée2</formula>
    </cfRule>
    <cfRule type="expression" dxfId="11133" priority="417" stopIfTrue="1">
      <formula>AN119=CléPersonnalisée1</formula>
    </cfRule>
    <cfRule type="expression" dxfId="11132" priority="418" stopIfTrue="1">
      <formula>AN119=CléMaladie</formula>
    </cfRule>
    <cfRule type="expression" dxfId="11131" priority="419" stopIfTrue="1">
      <formula>AN119=CléPersonnelle</formula>
    </cfRule>
    <cfRule type="expression" dxfId="11130" priority="420" stopIfTrue="1">
      <formula>AN119=CléCongés</formula>
    </cfRule>
  </conditionalFormatting>
  <conditionalFormatting sqref="AR119">
    <cfRule type="expression" priority="409" stopIfTrue="1">
      <formula>AR119=""</formula>
    </cfRule>
    <cfRule type="expression" dxfId="11129" priority="410" stopIfTrue="1">
      <formula>AR119=CléPersonnalisée2</formula>
    </cfRule>
    <cfRule type="expression" dxfId="11128" priority="411" stopIfTrue="1">
      <formula>AR119=CléPersonnalisée1</formula>
    </cfRule>
    <cfRule type="expression" dxfId="11127" priority="412" stopIfTrue="1">
      <formula>AR119=CléMaladie</formula>
    </cfRule>
    <cfRule type="expression" dxfId="11126" priority="413" stopIfTrue="1">
      <formula>AR119=CléPersonnelle</formula>
    </cfRule>
    <cfRule type="expression" dxfId="11125" priority="414" stopIfTrue="1">
      <formula>AR119=CléCongés</formula>
    </cfRule>
  </conditionalFormatting>
  <conditionalFormatting sqref="AQ108:AR108">
    <cfRule type="expression" priority="397" stopIfTrue="1">
      <formula>AQ108=""</formula>
    </cfRule>
    <cfRule type="expression" dxfId="11124" priority="398" stopIfTrue="1">
      <formula>AQ108=CléPersonnalisée2</formula>
    </cfRule>
    <cfRule type="expression" dxfId="11123" priority="399" stopIfTrue="1">
      <formula>AQ108=CléPersonnalisée1</formula>
    </cfRule>
    <cfRule type="expression" dxfId="11122" priority="400" stopIfTrue="1">
      <formula>AQ108=CléMaladie</formula>
    </cfRule>
    <cfRule type="expression" dxfId="11121" priority="401" stopIfTrue="1">
      <formula>AQ108=CléPersonnelle</formula>
    </cfRule>
    <cfRule type="expression" dxfId="11120" priority="402" stopIfTrue="1">
      <formula>AQ108=CléCongés</formula>
    </cfRule>
  </conditionalFormatting>
  <conditionalFormatting sqref="AQ107">
    <cfRule type="expression" priority="341" stopIfTrue="1">
      <formula>AQ107=""</formula>
    </cfRule>
    <cfRule type="expression" dxfId="11119" priority="342" stopIfTrue="1">
      <formula>AQ107=CléPersonnalisée2</formula>
    </cfRule>
    <cfRule type="expression" dxfId="11118" priority="343" stopIfTrue="1">
      <formula>AQ107=CléPersonnalisée1</formula>
    </cfRule>
    <cfRule type="expression" dxfId="11117" priority="344" stopIfTrue="1">
      <formula>AQ107=CléMaladie</formula>
    </cfRule>
    <cfRule type="expression" dxfId="11116" priority="345" stopIfTrue="1">
      <formula>AQ107=CléPersonnelle</formula>
    </cfRule>
    <cfRule type="expression" dxfId="11115" priority="346" stopIfTrue="1">
      <formula>AQ107=CléCongés</formula>
    </cfRule>
  </conditionalFormatting>
  <conditionalFormatting sqref="C105:AG107">
    <cfRule type="expression" priority="390" stopIfTrue="1">
      <formula>C105=""</formula>
    </cfRule>
    <cfRule type="expression" dxfId="11114" priority="391" stopIfTrue="1">
      <formula>C105=CléPersonnalisée2</formula>
    </cfRule>
    <cfRule type="expression" dxfId="11113" priority="392" stopIfTrue="1">
      <formula>C105=CléPersonnalisée1</formula>
    </cfRule>
    <cfRule type="expression" dxfId="11112" priority="393" stopIfTrue="1">
      <formula>C105=CléMaladie</formula>
    </cfRule>
    <cfRule type="expression" dxfId="11111" priority="394" stopIfTrue="1">
      <formula>C105=CléPersonnelle</formula>
    </cfRule>
    <cfRule type="expression" dxfId="11110" priority="395" stopIfTrue="1">
      <formula>C105=CléCongés</formula>
    </cfRule>
  </conditionalFormatting>
  <conditionalFormatting sqref="AH107">
    <cfRule type="dataBar" priority="396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{7F9CC434-AC6B-4DBF-A5BB-9F3275655F9B}</x14:id>
        </ext>
      </extLst>
    </cfRule>
  </conditionalFormatting>
  <conditionalFormatting sqref="AI107:AL107 AJ105:AL106">
    <cfRule type="expression" priority="384" stopIfTrue="1">
      <formula>AI105=""</formula>
    </cfRule>
    <cfRule type="expression" dxfId="11109" priority="385" stopIfTrue="1">
      <formula>AI105=CléPersonnalisée2</formula>
    </cfRule>
    <cfRule type="expression" dxfId="11108" priority="386" stopIfTrue="1">
      <formula>AI105=CléPersonnalisée1</formula>
    </cfRule>
    <cfRule type="expression" dxfId="11107" priority="387" stopIfTrue="1">
      <formula>AI105=CléMaladie</formula>
    </cfRule>
    <cfRule type="expression" dxfId="11106" priority="388" stopIfTrue="1">
      <formula>AI105=CléPersonnelle</formula>
    </cfRule>
    <cfRule type="expression" dxfId="11105" priority="389" stopIfTrue="1">
      <formula>AI105=CléCongés</formula>
    </cfRule>
  </conditionalFormatting>
  <conditionalFormatting sqref="AM105:AP106">
    <cfRule type="expression" priority="378" stopIfTrue="1">
      <formula>AM105=""</formula>
    </cfRule>
    <cfRule type="expression" dxfId="11104" priority="379" stopIfTrue="1">
      <formula>AM105=CléPersonnalisée2</formula>
    </cfRule>
    <cfRule type="expression" dxfId="11103" priority="380" stopIfTrue="1">
      <formula>AM105=CléPersonnalisée1</formula>
    </cfRule>
    <cfRule type="expression" dxfId="11102" priority="381" stopIfTrue="1">
      <formula>AM105=CléMaladie</formula>
    </cfRule>
    <cfRule type="expression" dxfId="11101" priority="382" stopIfTrue="1">
      <formula>AM105=CléPersonnelle</formula>
    </cfRule>
    <cfRule type="expression" dxfId="11100" priority="383" stopIfTrue="1">
      <formula>AM105=CléCongés</formula>
    </cfRule>
  </conditionalFormatting>
  <conditionalFormatting sqref="AQ105:AR106">
    <cfRule type="expression" priority="372" stopIfTrue="1">
      <formula>AQ105=""</formula>
    </cfRule>
    <cfRule type="expression" dxfId="11099" priority="373" stopIfTrue="1">
      <formula>AQ105=CléPersonnalisée2</formula>
    </cfRule>
    <cfRule type="expression" dxfId="11098" priority="374" stopIfTrue="1">
      <formula>AQ105=CléPersonnalisée1</formula>
    </cfRule>
    <cfRule type="expression" dxfId="11097" priority="375" stopIfTrue="1">
      <formula>AQ105=CléMaladie</formula>
    </cfRule>
    <cfRule type="expression" dxfId="11096" priority="376" stopIfTrue="1">
      <formula>AQ105=CléPersonnelle</formula>
    </cfRule>
    <cfRule type="expression" dxfId="11095" priority="377" stopIfTrue="1">
      <formula>AQ105=CléCongés</formula>
    </cfRule>
  </conditionalFormatting>
  <conditionalFormatting sqref="AM107 AP107">
    <cfRule type="expression" priority="366" stopIfTrue="1">
      <formula>AM107=""</formula>
    </cfRule>
    <cfRule type="expression" dxfId="11094" priority="367" stopIfTrue="1">
      <formula>AM107=CléPersonnalisée2</formula>
    </cfRule>
    <cfRule type="expression" dxfId="11093" priority="368" stopIfTrue="1">
      <formula>AM107=CléPersonnalisée1</formula>
    </cfRule>
    <cfRule type="expression" dxfId="11092" priority="369" stopIfTrue="1">
      <formula>AM107=CléMaladie</formula>
    </cfRule>
    <cfRule type="expression" dxfId="11091" priority="370" stopIfTrue="1">
      <formula>AM107=CléPersonnelle</formula>
    </cfRule>
    <cfRule type="expression" dxfId="11090" priority="371" stopIfTrue="1">
      <formula>AM107=CléCongés</formula>
    </cfRule>
  </conditionalFormatting>
  <conditionalFormatting sqref="AH105:AH106">
    <cfRule type="dataBar" priority="365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{78B6D105-5114-4D1E-BE5A-FF6338669730}</x14:id>
        </ext>
      </extLst>
    </cfRule>
  </conditionalFormatting>
  <conditionalFormatting sqref="AI105:AI106">
    <cfRule type="expression" priority="359" stopIfTrue="1">
      <formula>AI105=""</formula>
    </cfRule>
    <cfRule type="expression" dxfId="11089" priority="360" stopIfTrue="1">
      <formula>AI105=CléPersonnalisée2</formula>
    </cfRule>
    <cfRule type="expression" dxfId="11088" priority="361" stopIfTrue="1">
      <formula>AI105=CléPersonnalisée1</formula>
    </cfRule>
    <cfRule type="expression" dxfId="11087" priority="362" stopIfTrue="1">
      <formula>AI105=CléMaladie</formula>
    </cfRule>
    <cfRule type="expression" dxfId="11086" priority="363" stopIfTrue="1">
      <formula>AI105=CléPersonnelle</formula>
    </cfRule>
    <cfRule type="expression" dxfId="11085" priority="364" stopIfTrue="1">
      <formula>AI105=CléCongés</formula>
    </cfRule>
  </conditionalFormatting>
  <conditionalFormatting sqref="AN107">
    <cfRule type="expression" priority="353" stopIfTrue="1">
      <formula>AN107=""</formula>
    </cfRule>
    <cfRule type="expression" dxfId="11084" priority="354" stopIfTrue="1">
      <formula>AN107=CléPersonnalisée2</formula>
    </cfRule>
    <cfRule type="expression" dxfId="11083" priority="355" stopIfTrue="1">
      <formula>AN107=CléPersonnalisée1</formula>
    </cfRule>
    <cfRule type="expression" dxfId="11082" priority="356" stopIfTrue="1">
      <formula>AN107=CléMaladie</formula>
    </cfRule>
    <cfRule type="expression" dxfId="11081" priority="357" stopIfTrue="1">
      <formula>AN107=CléPersonnelle</formula>
    </cfRule>
    <cfRule type="expression" dxfId="11080" priority="358" stopIfTrue="1">
      <formula>AN107=CléCongés</formula>
    </cfRule>
  </conditionalFormatting>
  <conditionalFormatting sqref="AR107">
    <cfRule type="expression" priority="347" stopIfTrue="1">
      <formula>AR107=""</formula>
    </cfRule>
    <cfRule type="expression" dxfId="11079" priority="348" stopIfTrue="1">
      <formula>AR107=CléPersonnalisée2</formula>
    </cfRule>
    <cfRule type="expression" dxfId="11078" priority="349" stopIfTrue="1">
      <formula>AR107=CléPersonnalisée1</formula>
    </cfRule>
    <cfRule type="expression" dxfId="11077" priority="350" stopIfTrue="1">
      <formula>AR107=CléMaladie</formula>
    </cfRule>
    <cfRule type="expression" dxfId="11076" priority="351" stopIfTrue="1">
      <formula>AR107=CléPersonnelle</formula>
    </cfRule>
    <cfRule type="expression" dxfId="11075" priority="352" stopIfTrue="1">
      <formula>AR107=CléCongés</formula>
    </cfRule>
  </conditionalFormatting>
  <conditionalFormatting sqref="C57:AG59">
    <cfRule type="expression" priority="334" stopIfTrue="1">
      <formula>C57=""</formula>
    </cfRule>
    <cfRule type="expression" dxfId="11074" priority="335" stopIfTrue="1">
      <formula>C57=CléPersonnalisée2</formula>
    </cfRule>
    <cfRule type="expression" dxfId="11073" priority="336" stopIfTrue="1">
      <formula>C57=CléPersonnalisée1</formula>
    </cfRule>
    <cfRule type="expression" dxfId="11072" priority="337" stopIfTrue="1">
      <formula>C57=CléMaladie</formula>
    </cfRule>
    <cfRule type="expression" dxfId="11071" priority="338" stopIfTrue="1">
      <formula>C57=CléPersonnelle</formula>
    </cfRule>
    <cfRule type="expression" dxfId="11070" priority="339" stopIfTrue="1">
      <formula>C57=CléCongés</formula>
    </cfRule>
  </conditionalFormatting>
  <conditionalFormatting sqref="AH59">
    <cfRule type="dataBar" priority="340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{C90796BF-B805-40ED-A6F7-B6BA8E5AA87F}</x14:id>
        </ext>
      </extLst>
    </cfRule>
  </conditionalFormatting>
  <conditionalFormatting sqref="AI59:AL59 AJ57:AL58">
    <cfRule type="expression" priority="328" stopIfTrue="1">
      <formula>AI57=""</formula>
    </cfRule>
    <cfRule type="expression" dxfId="11069" priority="329" stopIfTrue="1">
      <formula>AI57=CléPersonnalisée2</formula>
    </cfRule>
    <cfRule type="expression" dxfId="11068" priority="330" stopIfTrue="1">
      <formula>AI57=CléPersonnalisée1</formula>
    </cfRule>
    <cfRule type="expression" dxfId="11067" priority="331" stopIfTrue="1">
      <formula>AI57=CléMaladie</formula>
    </cfRule>
    <cfRule type="expression" dxfId="11066" priority="332" stopIfTrue="1">
      <formula>AI57=CléPersonnelle</formula>
    </cfRule>
    <cfRule type="expression" dxfId="11065" priority="333" stopIfTrue="1">
      <formula>AI57=CléCongés</formula>
    </cfRule>
  </conditionalFormatting>
  <conditionalFormatting sqref="AM57:AP58">
    <cfRule type="expression" priority="322" stopIfTrue="1">
      <formula>AM57=""</formula>
    </cfRule>
    <cfRule type="expression" dxfId="11064" priority="323" stopIfTrue="1">
      <formula>AM57=CléPersonnalisée2</formula>
    </cfRule>
    <cfRule type="expression" dxfId="11063" priority="324" stopIfTrue="1">
      <formula>AM57=CléPersonnalisée1</formula>
    </cfRule>
    <cfRule type="expression" dxfId="11062" priority="325" stopIfTrue="1">
      <formula>AM57=CléMaladie</formula>
    </cfRule>
    <cfRule type="expression" dxfId="11061" priority="326" stopIfTrue="1">
      <formula>AM57=CléPersonnelle</formula>
    </cfRule>
    <cfRule type="expression" dxfId="11060" priority="327" stopIfTrue="1">
      <formula>AM57=CléCongés</formula>
    </cfRule>
  </conditionalFormatting>
  <conditionalFormatting sqref="AQ57:AR58">
    <cfRule type="expression" priority="316" stopIfTrue="1">
      <formula>AQ57=""</formula>
    </cfRule>
    <cfRule type="expression" dxfId="11059" priority="317" stopIfTrue="1">
      <formula>AQ57=CléPersonnalisée2</formula>
    </cfRule>
    <cfRule type="expression" dxfId="11058" priority="318" stopIfTrue="1">
      <formula>AQ57=CléPersonnalisée1</formula>
    </cfRule>
    <cfRule type="expression" dxfId="11057" priority="319" stopIfTrue="1">
      <formula>AQ57=CléMaladie</formula>
    </cfRule>
    <cfRule type="expression" dxfId="11056" priority="320" stopIfTrue="1">
      <formula>AQ57=CléPersonnelle</formula>
    </cfRule>
    <cfRule type="expression" dxfId="11055" priority="321" stopIfTrue="1">
      <formula>AQ57=CléCongés</formula>
    </cfRule>
  </conditionalFormatting>
  <conditionalFormatting sqref="AM59 AP59">
    <cfRule type="expression" priority="310" stopIfTrue="1">
      <formula>AM59=""</formula>
    </cfRule>
    <cfRule type="expression" dxfId="11054" priority="311" stopIfTrue="1">
      <formula>AM59=CléPersonnalisée2</formula>
    </cfRule>
    <cfRule type="expression" dxfId="11053" priority="312" stopIfTrue="1">
      <formula>AM59=CléPersonnalisée1</formula>
    </cfRule>
    <cfRule type="expression" dxfId="11052" priority="313" stopIfTrue="1">
      <formula>AM59=CléMaladie</formula>
    </cfRule>
    <cfRule type="expression" dxfId="11051" priority="314" stopIfTrue="1">
      <formula>AM59=CléPersonnelle</formula>
    </cfRule>
    <cfRule type="expression" dxfId="11050" priority="315" stopIfTrue="1">
      <formula>AM59=CléCongés</formula>
    </cfRule>
  </conditionalFormatting>
  <conditionalFormatting sqref="AH57:AH58">
    <cfRule type="dataBar" priority="309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{D117B51C-128C-4AE1-ADF1-6ACB39E485E0}</x14:id>
        </ext>
      </extLst>
    </cfRule>
  </conditionalFormatting>
  <conditionalFormatting sqref="AI57:AI58">
    <cfRule type="expression" priority="303" stopIfTrue="1">
      <formula>AI57=""</formula>
    </cfRule>
    <cfRule type="expression" dxfId="11049" priority="304" stopIfTrue="1">
      <formula>AI57=CléPersonnalisée2</formula>
    </cfRule>
    <cfRule type="expression" dxfId="11048" priority="305" stopIfTrue="1">
      <formula>AI57=CléPersonnalisée1</formula>
    </cfRule>
    <cfRule type="expression" dxfId="11047" priority="306" stopIfTrue="1">
      <formula>AI57=CléMaladie</formula>
    </cfRule>
    <cfRule type="expression" dxfId="11046" priority="307" stopIfTrue="1">
      <formula>AI57=CléPersonnelle</formula>
    </cfRule>
    <cfRule type="expression" dxfId="11045" priority="308" stopIfTrue="1">
      <formula>AI57=CléCongés</formula>
    </cfRule>
  </conditionalFormatting>
  <conditionalFormatting sqref="AN59">
    <cfRule type="expression" priority="297" stopIfTrue="1">
      <formula>AN59=""</formula>
    </cfRule>
    <cfRule type="expression" dxfId="11044" priority="298" stopIfTrue="1">
      <formula>AN59=CléPersonnalisée2</formula>
    </cfRule>
    <cfRule type="expression" dxfId="11043" priority="299" stopIfTrue="1">
      <formula>AN59=CléPersonnalisée1</formula>
    </cfRule>
    <cfRule type="expression" dxfId="11042" priority="300" stopIfTrue="1">
      <formula>AN59=CléMaladie</formula>
    </cfRule>
    <cfRule type="expression" dxfId="11041" priority="301" stopIfTrue="1">
      <formula>AN59=CléPersonnelle</formula>
    </cfRule>
    <cfRule type="expression" dxfId="11040" priority="302" stopIfTrue="1">
      <formula>AN59=CléCongés</formula>
    </cfRule>
  </conditionalFormatting>
  <conditionalFormatting sqref="AR59">
    <cfRule type="expression" priority="291" stopIfTrue="1">
      <formula>AR59=""</formula>
    </cfRule>
    <cfRule type="expression" dxfId="11039" priority="292" stopIfTrue="1">
      <formula>AR59=CléPersonnalisée2</formula>
    </cfRule>
    <cfRule type="expression" dxfId="11038" priority="293" stopIfTrue="1">
      <formula>AR59=CléPersonnalisée1</formula>
    </cfRule>
    <cfRule type="expression" dxfId="11037" priority="294" stopIfTrue="1">
      <formula>AR59=CléMaladie</formula>
    </cfRule>
    <cfRule type="expression" dxfId="11036" priority="295" stopIfTrue="1">
      <formula>AR59=CléPersonnelle</formula>
    </cfRule>
    <cfRule type="expression" dxfId="11035" priority="296" stopIfTrue="1">
      <formula>AR59=CléCongés</formula>
    </cfRule>
  </conditionalFormatting>
  <conditionalFormatting sqref="AQ59">
    <cfRule type="expression" priority="285" stopIfTrue="1">
      <formula>AQ59=""</formula>
    </cfRule>
    <cfRule type="expression" dxfId="11034" priority="286" stopIfTrue="1">
      <formula>AQ59=CléPersonnalisée2</formula>
    </cfRule>
    <cfRule type="expression" dxfId="11033" priority="287" stopIfTrue="1">
      <formula>AQ59=CléPersonnalisée1</formula>
    </cfRule>
    <cfRule type="expression" dxfId="11032" priority="288" stopIfTrue="1">
      <formula>AQ59=CléMaladie</formula>
    </cfRule>
    <cfRule type="expression" dxfId="11031" priority="289" stopIfTrue="1">
      <formula>AQ59=CléPersonnelle</formula>
    </cfRule>
    <cfRule type="expression" dxfId="11030" priority="290" stopIfTrue="1">
      <formula>AQ59=CléCongés</formula>
    </cfRule>
  </conditionalFormatting>
  <conditionalFormatting sqref="AQ79">
    <cfRule type="expression" priority="235" stopIfTrue="1">
      <formula>AQ79=""</formula>
    </cfRule>
    <cfRule type="expression" dxfId="11029" priority="236" stopIfTrue="1">
      <formula>AQ79=CléPersonnalisée2</formula>
    </cfRule>
    <cfRule type="expression" dxfId="11028" priority="237" stopIfTrue="1">
      <formula>AQ79=CléPersonnalisée1</formula>
    </cfRule>
    <cfRule type="expression" dxfId="11027" priority="238" stopIfTrue="1">
      <formula>AQ79=CléMaladie</formula>
    </cfRule>
    <cfRule type="expression" dxfId="11026" priority="239" stopIfTrue="1">
      <formula>AQ79=CléPersonnelle</formula>
    </cfRule>
    <cfRule type="expression" dxfId="11025" priority="240" stopIfTrue="1">
      <formula>AQ79=CléCongés</formula>
    </cfRule>
  </conditionalFormatting>
  <conditionalFormatting sqref="C77:AG79">
    <cfRule type="expression" priority="278" stopIfTrue="1">
      <formula>C77=""</formula>
    </cfRule>
    <cfRule type="expression" dxfId="11024" priority="279" stopIfTrue="1">
      <formula>C77=CléPersonnalisée2</formula>
    </cfRule>
    <cfRule type="expression" dxfId="11023" priority="280" stopIfTrue="1">
      <formula>C77=CléPersonnalisée1</formula>
    </cfRule>
    <cfRule type="expression" dxfId="11022" priority="281" stopIfTrue="1">
      <formula>C77=CléMaladie</formula>
    </cfRule>
    <cfRule type="expression" dxfId="11021" priority="282" stopIfTrue="1">
      <formula>C77=CléPersonnelle</formula>
    </cfRule>
    <cfRule type="expression" dxfId="11020" priority="283" stopIfTrue="1">
      <formula>C77=CléCongés</formula>
    </cfRule>
  </conditionalFormatting>
  <conditionalFormatting sqref="AH79">
    <cfRule type="dataBar" priority="284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{903B11D6-98C3-4B02-8BCB-8C82784059E5}</x14:id>
        </ext>
      </extLst>
    </cfRule>
  </conditionalFormatting>
  <conditionalFormatting sqref="AI79:AL79 AJ77:AL78">
    <cfRule type="expression" priority="272" stopIfTrue="1">
      <formula>AI77=""</formula>
    </cfRule>
    <cfRule type="expression" dxfId="11019" priority="273" stopIfTrue="1">
      <formula>AI77=CléPersonnalisée2</formula>
    </cfRule>
    <cfRule type="expression" dxfId="11018" priority="274" stopIfTrue="1">
      <formula>AI77=CléPersonnalisée1</formula>
    </cfRule>
    <cfRule type="expression" dxfId="11017" priority="275" stopIfTrue="1">
      <formula>AI77=CléMaladie</formula>
    </cfRule>
    <cfRule type="expression" dxfId="11016" priority="276" stopIfTrue="1">
      <formula>AI77=CléPersonnelle</formula>
    </cfRule>
    <cfRule type="expression" dxfId="11015" priority="277" stopIfTrue="1">
      <formula>AI77=CléCongés</formula>
    </cfRule>
  </conditionalFormatting>
  <conditionalFormatting sqref="AM77:AP78">
    <cfRule type="expression" priority="266" stopIfTrue="1">
      <formula>AM77=""</formula>
    </cfRule>
    <cfRule type="expression" dxfId="11014" priority="267" stopIfTrue="1">
      <formula>AM77=CléPersonnalisée2</formula>
    </cfRule>
    <cfRule type="expression" dxfId="11013" priority="268" stopIfTrue="1">
      <formula>AM77=CléPersonnalisée1</formula>
    </cfRule>
    <cfRule type="expression" dxfId="11012" priority="269" stopIfTrue="1">
      <formula>AM77=CléMaladie</formula>
    </cfRule>
    <cfRule type="expression" dxfId="11011" priority="270" stopIfTrue="1">
      <formula>AM77=CléPersonnelle</formula>
    </cfRule>
    <cfRule type="expression" dxfId="11010" priority="271" stopIfTrue="1">
      <formula>AM77=CléCongés</formula>
    </cfRule>
  </conditionalFormatting>
  <conditionalFormatting sqref="AQ77:AR78">
    <cfRule type="expression" priority="260" stopIfTrue="1">
      <formula>AQ77=""</formula>
    </cfRule>
    <cfRule type="expression" dxfId="11009" priority="261" stopIfTrue="1">
      <formula>AQ77=CléPersonnalisée2</formula>
    </cfRule>
    <cfRule type="expression" dxfId="11008" priority="262" stopIfTrue="1">
      <formula>AQ77=CléPersonnalisée1</formula>
    </cfRule>
    <cfRule type="expression" dxfId="11007" priority="263" stopIfTrue="1">
      <formula>AQ77=CléMaladie</formula>
    </cfRule>
    <cfRule type="expression" dxfId="11006" priority="264" stopIfTrue="1">
      <formula>AQ77=CléPersonnelle</formula>
    </cfRule>
    <cfRule type="expression" dxfId="11005" priority="265" stopIfTrue="1">
      <formula>AQ77=CléCongés</formula>
    </cfRule>
  </conditionalFormatting>
  <conditionalFormatting sqref="AM79 AP79">
    <cfRule type="expression" priority="254" stopIfTrue="1">
      <formula>AM79=""</formula>
    </cfRule>
    <cfRule type="expression" dxfId="11004" priority="255" stopIfTrue="1">
      <formula>AM79=CléPersonnalisée2</formula>
    </cfRule>
    <cfRule type="expression" dxfId="11003" priority="256" stopIfTrue="1">
      <formula>AM79=CléPersonnalisée1</formula>
    </cfRule>
    <cfRule type="expression" dxfId="11002" priority="257" stopIfTrue="1">
      <formula>AM79=CléMaladie</formula>
    </cfRule>
    <cfRule type="expression" dxfId="11001" priority="258" stopIfTrue="1">
      <formula>AM79=CléPersonnelle</formula>
    </cfRule>
    <cfRule type="expression" dxfId="11000" priority="259" stopIfTrue="1">
      <formula>AM79=CléCongés</formula>
    </cfRule>
  </conditionalFormatting>
  <conditionalFormatting sqref="AH77:AH78">
    <cfRule type="dataBar" priority="253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{907BDCC1-DC47-4E01-9CC7-7FEC514BF84D}</x14:id>
        </ext>
      </extLst>
    </cfRule>
  </conditionalFormatting>
  <conditionalFormatting sqref="AI77:AI78">
    <cfRule type="expression" priority="247" stopIfTrue="1">
      <formula>AI77=""</formula>
    </cfRule>
    <cfRule type="expression" dxfId="10999" priority="248" stopIfTrue="1">
      <formula>AI77=CléPersonnalisée2</formula>
    </cfRule>
    <cfRule type="expression" dxfId="10998" priority="249" stopIfTrue="1">
      <formula>AI77=CléPersonnalisée1</formula>
    </cfRule>
    <cfRule type="expression" dxfId="10997" priority="250" stopIfTrue="1">
      <formula>AI77=CléMaladie</formula>
    </cfRule>
    <cfRule type="expression" dxfId="10996" priority="251" stopIfTrue="1">
      <formula>AI77=CléPersonnelle</formula>
    </cfRule>
    <cfRule type="expression" dxfId="10995" priority="252" stopIfTrue="1">
      <formula>AI77=CléCongés</formula>
    </cfRule>
  </conditionalFormatting>
  <conditionalFormatting sqref="AR79">
    <cfRule type="expression" priority="241" stopIfTrue="1">
      <formula>AR79=""</formula>
    </cfRule>
    <cfRule type="expression" dxfId="10994" priority="242" stopIfTrue="1">
      <formula>AR79=CléPersonnalisée2</formula>
    </cfRule>
    <cfRule type="expression" dxfId="10993" priority="243" stopIfTrue="1">
      <formula>AR79=CléPersonnalisée1</formula>
    </cfRule>
    <cfRule type="expression" dxfId="10992" priority="244" stopIfTrue="1">
      <formula>AR79=CléMaladie</formula>
    </cfRule>
    <cfRule type="expression" dxfId="10991" priority="245" stopIfTrue="1">
      <formula>AR79=CléPersonnelle</formula>
    </cfRule>
    <cfRule type="expression" dxfId="10990" priority="246" stopIfTrue="1">
      <formula>AR79=CléCongés</formula>
    </cfRule>
  </conditionalFormatting>
  <conditionalFormatting sqref="AN79">
    <cfRule type="expression" priority="229" stopIfTrue="1">
      <formula>AN79=""</formula>
    </cfRule>
    <cfRule type="expression" dxfId="10989" priority="230" stopIfTrue="1">
      <formula>AN79=CléPersonnalisée2</formula>
    </cfRule>
    <cfRule type="expression" dxfId="10988" priority="231" stopIfTrue="1">
      <formula>AN79=CléPersonnalisée1</formula>
    </cfRule>
    <cfRule type="expression" dxfId="10987" priority="232" stopIfTrue="1">
      <formula>AN79=CléMaladie</formula>
    </cfRule>
    <cfRule type="expression" dxfId="10986" priority="233" stopIfTrue="1">
      <formula>AN79=CléPersonnelle</formula>
    </cfRule>
    <cfRule type="expression" dxfId="10985" priority="234" stopIfTrue="1">
      <formula>AN79=CléCongés</formula>
    </cfRule>
  </conditionalFormatting>
  <conditionalFormatting sqref="AM95">
    <cfRule type="expression" priority="223" stopIfTrue="1">
      <formula>AM95=""</formula>
    </cfRule>
    <cfRule type="expression" dxfId="10984" priority="224" stopIfTrue="1">
      <formula>AM95=CléPersonnalisée2</formula>
    </cfRule>
    <cfRule type="expression" dxfId="10983" priority="225" stopIfTrue="1">
      <formula>AM95=CléPersonnalisée1</formula>
    </cfRule>
    <cfRule type="expression" dxfId="10982" priority="226" stopIfTrue="1">
      <formula>AM95=CléMaladie</formula>
    </cfRule>
    <cfRule type="expression" dxfId="10981" priority="227" stopIfTrue="1">
      <formula>AM95=CléPersonnelle</formula>
    </cfRule>
    <cfRule type="expression" dxfId="10980" priority="228" stopIfTrue="1">
      <formula>AM95=CléCongés</formula>
    </cfRule>
  </conditionalFormatting>
  <conditionalFormatting sqref="AM97:AP98">
    <cfRule type="expression" priority="217" stopIfTrue="1">
      <formula>AM97=""</formula>
    </cfRule>
    <cfRule type="expression" dxfId="10979" priority="218" stopIfTrue="1">
      <formula>AM97=CléPersonnalisée2</formula>
    </cfRule>
    <cfRule type="expression" dxfId="10978" priority="219" stopIfTrue="1">
      <formula>AM97=CléPersonnalisée1</formula>
    </cfRule>
    <cfRule type="expression" dxfId="10977" priority="220" stopIfTrue="1">
      <formula>AM97=CléMaladie</formula>
    </cfRule>
    <cfRule type="expression" dxfId="10976" priority="221" stopIfTrue="1">
      <formula>AM97=CléPersonnelle</formula>
    </cfRule>
    <cfRule type="expression" dxfId="10975" priority="222" stopIfTrue="1">
      <formula>AM97=CléCongés</formula>
    </cfRule>
  </conditionalFormatting>
  <conditionalFormatting sqref="AQ97:AR98">
    <cfRule type="expression" priority="211" stopIfTrue="1">
      <formula>AQ97=""</formula>
    </cfRule>
    <cfRule type="expression" dxfId="10974" priority="212" stopIfTrue="1">
      <formula>AQ97=CléPersonnalisée2</formula>
    </cfRule>
    <cfRule type="expression" dxfId="10973" priority="213" stopIfTrue="1">
      <formula>AQ97=CléPersonnalisée1</formula>
    </cfRule>
    <cfRule type="expression" dxfId="10972" priority="214" stopIfTrue="1">
      <formula>AQ97=CléMaladie</formula>
    </cfRule>
    <cfRule type="expression" dxfId="10971" priority="215" stopIfTrue="1">
      <formula>AQ97=CléPersonnelle</formula>
    </cfRule>
    <cfRule type="expression" dxfId="10970" priority="216" stopIfTrue="1">
      <formula>AQ97=CléCongés</formula>
    </cfRule>
  </conditionalFormatting>
  <conditionalFormatting sqref="AM101:AP102">
    <cfRule type="expression" priority="205" stopIfTrue="1">
      <formula>AM101=""</formula>
    </cfRule>
    <cfRule type="expression" dxfId="10969" priority="206" stopIfTrue="1">
      <formula>AM101=CléPersonnalisée2</formula>
    </cfRule>
    <cfRule type="expression" dxfId="10968" priority="207" stopIfTrue="1">
      <formula>AM101=CléPersonnalisée1</formula>
    </cfRule>
    <cfRule type="expression" dxfId="10967" priority="208" stopIfTrue="1">
      <formula>AM101=CléMaladie</formula>
    </cfRule>
    <cfRule type="expression" dxfId="10966" priority="209" stopIfTrue="1">
      <formula>AM101=CléPersonnelle</formula>
    </cfRule>
    <cfRule type="expression" dxfId="10965" priority="210" stopIfTrue="1">
      <formula>AM101=CléCongés</formula>
    </cfRule>
  </conditionalFormatting>
  <conditionalFormatting sqref="AQ101:AR102">
    <cfRule type="expression" priority="199" stopIfTrue="1">
      <formula>AQ101=""</formula>
    </cfRule>
    <cfRule type="expression" dxfId="10964" priority="200" stopIfTrue="1">
      <formula>AQ101=CléPersonnalisée2</formula>
    </cfRule>
    <cfRule type="expression" dxfId="10963" priority="201" stopIfTrue="1">
      <formula>AQ101=CléPersonnalisée1</formula>
    </cfRule>
    <cfRule type="expression" dxfId="10962" priority="202" stopIfTrue="1">
      <formula>AQ101=CléMaladie</formula>
    </cfRule>
    <cfRule type="expression" dxfId="10961" priority="203" stopIfTrue="1">
      <formula>AQ101=CléPersonnelle</formula>
    </cfRule>
    <cfRule type="expression" dxfId="10960" priority="204" stopIfTrue="1">
      <formula>AQ101=CléCongés</formula>
    </cfRule>
  </conditionalFormatting>
  <conditionalFormatting sqref="AO11">
    <cfRule type="expression" priority="193" stopIfTrue="1">
      <formula>AO11=""</formula>
    </cfRule>
    <cfRule type="expression" dxfId="10959" priority="194" stopIfTrue="1">
      <formula>AO11=CléPersonnalisée2</formula>
    </cfRule>
    <cfRule type="expression" dxfId="10958" priority="195" stopIfTrue="1">
      <formula>AO11=CléPersonnalisée1</formula>
    </cfRule>
    <cfRule type="expression" dxfId="10957" priority="196" stopIfTrue="1">
      <formula>AO11=CléMaladie</formula>
    </cfRule>
    <cfRule type="expression" dxfId="10956" priority="197" stopIfTrue="1">
      <formula>AO11=CléPersonnelle</formula>
    </cfRule>
    <cfRule type="expression" dxfId="10955" priority="198" stopIfTrue="1">
      <formula>AO11=CléCongés</formula>
    </cfRule>
  </conditionalFormatting>
  <conditionalFormatting sqref="AO15">
    <cfRule type="expression" priority="187" stopIfTrue="1">
      <formula>AO15=""</formula>
    </cfRule>
    <cfRule type="expression" dxfId="10954" priority="188" stopIfTrue="1">
      <formula>AO15=CléPersonnalisée2</formula>
    </cfRule>
    <cfRule type="expression" dxfId="10953" priority="189" stopIfTrue="1">
      <formula>AO15=CléPersonnalisée1</formula>
    </cfRule>
    <cfRule type="expression" dxfId="10952" priority="190" stopIfTrue="1">
      <formula>AO15=CléMaladie</formula>
    </cfRule>
    <cfRule type="expression" dxfId="10951" priority="191" stopIfTrue="1">
      <formula>AO15=CléPersonnelle</formula>
    </cfRule>
    <cfRule type="expression" dxfId="10950" priority="192" stopIfTrue="1">
      <formula>AO15=CléCongés</formula>
    </cfRule>
  </conditionalFormatting>
  <conditionalFormatting sqref="AO19">
    <cfRule type="expression" priority="181" stopIfTrue="1">
      <formula>AO19=""</formula>
    </cfRule>
    <cfRule type="expression" dxfId="10949" priority="182" stopIfTrue="1">
      <formula>AO19=CléPersonnalisée2</formula>
    </cfRule>
    <cfRule type="expression" dxfId="10948" priority="183" stopIfTrue="1">
      <formula>AO19=CléPersonnalisée1</formula>
    </cfRule>
    <cfRule type="expression" dxfId="10947" priority="184" stopIfTrue="1">
      <formula>AO19=CléMaladie</formula>
    </cfRule>
    <cfRule type="expression" dxfId="10946" priority="185" stopIfTrue="1">
      <formula>AO19=CléPersonnelle</formula>
    </cfRule>
    <cfRule type="expression" dxfId="10945" priority="186" stopIfTrue="1">
      <formula>AO19=CléCongés</formula>
    </cfRule>
  </conditionalFormatting>
  <conditionalFormatting sqref="AO23">
    <cfRule type="expression" priority="175" stopIfTrue="1">
      <formula>AO23=""</formula>
    </cfRule>
    <cfRule type="expression" dxfId="10944" priority="176" stopIfTrue="1">
      <formula>AO23=CléPersonnalisée2</formula>
    </cfRule>
    <cfRule type="expression" dxfId="10943" priority="177" stopIfTrue="1">
      <formula>AO23=CléPersonnalisée1</formula>
    </cfRule>
    <cfRule type="expression" dxfId="10942" priority="178" stopIfTrue="1">
      <formula>AO23=CléMaladie</formula>
    </cfRule>
    <cfRule type="expression" dxfId="10941" priority="179" stopIfTrue="1">
      <formula>AO23=CléPersonnelle</formula>
    </cfRule>
    <cfRule type="expression" dxfId="10940" priority="180" stopIfTrue="1">
      <formula>AO23=CléCongés</formula>
    </cfRule>
  </conditionalFormatting>
  <conditionalFormatting sqref="AO27">
    <cfRule type="expression" priority="169" stopIfTrue="1">
      <formula>AO27=""</formula>
    </cfRule>
    <cfRule type="expression" dxfId="10939" priority="170" stopIfTrue="1">
      <formula>AO27=CléPersonnalisée2</formula>
    </cfRule>
    <cfRule type="expression" dxfId="10938" priority="171" stopIfTrue="1">
      <formula>AO27=CléPersonnalisée1</formula>
    </cfRule>
    <cfRule type="expression" dxfId="10937" priority="172" stopIfTrue="1">
      <formula>AO27=CléMaladie</formula>
    </cfRule>
    <cfRule type="expression" dxfId="10936" priority="173" stopIfTrue="1">
      <formula>AO27=CléPersonnelle</formula>
    </cfRule>
    <cfRule type="expression" dxfId="10935" priority="174" stopIfTrue="1">
      <formula>AO27=CléCongés</formula>
    </cfRule>
  </conditionalFormatting>
  <conditionalFormatting sqref="AO31">
    <cfRule type="expression" priority="163" stopIfTrue="1">
      <formula>AO31=""</formula>
    </cfRule>
    <cfRule type="expression" dxfId="10934" priority="164" stopIfTrue="1">
      <formula>AO31=CléPersonnalisée2</formula>
    </cfRule>
    <cfRule type="expression" dxfId="10933" priority="165" stopIfTrue="1">
      <formula>AO31=CléPersonnalisée1</formula>
    </cfRule>
    <cfRule type="expression" dxfId="10932" priority="166" stopIfTrue="1">
      <formula>AO31=CléMaladie</formula>
    </cfRule>
    <cfRule type="expression" dxfId="10931" priority="167" stopIfTrue="1">
      <formula>AO31=CléPersonnelle</formula>
    </cfRule>
    <cfRule type="expression" dxfId="10930" priority="168" stopIfTrue="1">
      <formula>AO31=CléCongés</formula>
    </cfRule>
  </conditionalFormatting>
  <conditionalFormatting sqref="AO35">
    <cfRule type="expression" priority="157" stopIfTrue="1">
      <formula>AO35=""</formula>
    </cfRule>
    <cfRule type="expression" dxfId="10929" priority="158" stopIfTrue="1">
      <formula>AO35=CléPersonnalisée2</formula>
    </cfRule>
    <cfRule type="expression" dxfId="10928" priority="159" stopIfTrue="1">
      <formula>AO35=CléPersonnalisée1</formula>
    </cfRule>
    <cfRule type="expression" dxfId="10927" priority="160" stopIfTrue="1">
      <formula>AO35=CléMaladie</formula>
    </cfRule>
    <cfRule type="expression" dxfId="10926" priority="161" stopIfTrue="1">
      <formula>AO35=CléPersonnelle</formula>
    </cfRule>
    <cfRule type="expression" dxfId="10925" priority="162" stopIfTrue="1">
      <formula>AO35=CléCongés</formula>
    </cfRule>
  </conditionalFormatting>
  <conditionalFormatting sqref="AO39">
    <cfRule type="expression" priority="151" stopIfTrue="1">
      <formula>AO39=""</formula>
    </cfRule>
    <cfRule type="expression" dxfId="10924" priority="152" stopIfTrue="1">
      <formula>AO39=CléPersonnalisée2</formula>
    </cfRule>
    <cfRule type="expression" dxfId="10923" priority="153" stopIfTrue="1">
      <formula>AO39=CléPersonnalisée1</formula>
    </cfRule>
    <cfRule type="expression" dxfId="10922" priority="154" stopIfTrue="1">
      <formula>AO39=CléMaladie</formula>
    </cfRule>
    <cfRule type="expression" dxfId="10921" priority="155" stopIfTrue="1">
      <formula>AO39=CléPersonnelle</formula>
    </cfRule>
    <cfRule type="expression" dxfId="10920" priority="156" stopIfTrue="1">
      <formula>AO39=CléCongés</formula>
    </cfRule>
  </conditionalFormatting>
  <conditionalFormatting sqref="AO43">
    <cfRule type="expression" priority="145" stopIfTrue="1">
      <formula>AO43=""</formula>
    </cfRule>
    <cfRule type="expression" dxfId="10919" priority="146" stopIfTrue="1">
      <formula>AO43=CléPersonnalisée2</formula>
    </cfRule>
    <cfRule type="expression" dxfId="10918" priority="147" stopIfTrue="1">
      <formula>AO43=CléPersonnalisée1</formula>
    </cfRule>
    <cfRule type="expression" dxfId="10917" priority="148" stopIfTrue="1">
      <formula>AO43=CléMaladie</formula>
    </cfRule>
    <cfRule type="expression" dxfId="10916" priority="149" stopIfTrue="1">
      <formula>AO43=CléPersonnelle</formula>
    </cfRule>
    <cfRule type="expression" dxfId="10915" priority="150" stopIfTrue="1">
      <formula>AO43=CléCongés</formula>
    </cfRule>
  </conditionalFormatting>
  <conditionalFormatting sqref="AO47">
    <cfRule type="expression" priority="139" stopIfTrue="1">
      <formula>AO47=""</formula>
    </cfRule>
    <cfRule type="expression" dxfId="10914" priority="140" stopIfTrue="1">
      <formula>AO47=CléPersonnalisée2</formula>
    </cfRule>
    <cfRule type="expression" dxfId="10913" priority="141" stopIfTrue="1">
      <formula>AO47=CléPersonnalisée1</formula>
    </cfRule>
    <cfRule type="expression" dxfId="10912" priority="142" stopIfTrue="1">
      <formula>AO47=CléMaladie</formula>
    </cfRule>
    <cfRule type="expression" dxfId="10911" priority="143" stopIfTrue="1">
      <formula>AO47=CléPersonnelle</formula>
    </cfRule>
    <cfRule type="expression" dxfId="10910" priority="144" stopIfTrue="1">
      <formula>AO47=CléCongés</formula>
    </cfRule>
  </conditionalFormatting>
  <conditionalFormatting sqref="AO51">
    <cfRule type="expression" priority="133" stopIfTrue="1">
      <formula>AO51=""</formula>
    </cfRule>
    <cfRule type="expression" dxfId="10909" priority="134" stopIfTrue="1">
      <formula>AO51=CléPersonnalisée2</formula>
    </cfRule>
    <cfRule type="expression" dxfId="10908" priority="135" stopIfTrue="1">
      <formula>AO51=CléPersonnalisée1</formula>
    </cfRule>
    <cfRule type="expression" dxfId="10907" priority="136" stopIfTrue="1">
      <formula>AO51=CléMaladie</formula>
    </cfRule>
    <cfRule type="expression" dxfId="10906" priority="137" stopIfTrue="1">
      <formula>AO51=CléPersonnelle</formula>
    </cfRule>
    <cfRule type="expression" dxfId="10905" priority="138" stopIfTrue="1">
      <formula>AO51=CléCongés</formula>
    </cfRule>
  </conditionalFormatting>
  <conditionalFormatting sqref="AO55">
    <cfRule type="expression" priority="127" stopIfTrue="1">
      <formula>AO55=""</formula>
    </cfRule>
    <cfRule type="expression" dxfId="10904" priority="128" stopIfTrue="1">
      <formula>AO55=CléPersonnalisée2</formula>
    </cfRule>
    <cfRule type="expression" dxfId="10903" priority="129" stopIfTrue="1">
      <formula>AO55=CléPersonnalisée1</formula>
    </cfRule>
    <cfRule type="expression" dxfId="10902" priority="130" stopIfTrue="1">
      <formula>AO55=CléMaladie</formula>
    </cfRule>
    <cfRule type="expression" dxfId="10901" priority="131" stopIfTrue="1">
      <formula>AO55=CléPersonnelle</formula>
    </cfRule>
    <cfRule type="expression" dxfId="10900" priority="132" stopIfTrue="1">
      <formula>AO55=CléCongés</formula>
    </cfRule>
  </conditionalFormatting>
  <conditionalFormatting sqref="AO59">
    <cfRule type="expression" priority="121" stopIfTrue="1">
      <formula>AO59=""</formula>
    </cfRule>
    <cfRule type="expression" dxfId="10899" priority="122" stopIfTrue="1">
      <formula>AO59=CléPersonnalisée2</formula>
    </cfRule>
    <cfRule type="expression" dxfId="10898" priority="123" stopIfTrue="1">
      <formula>AO59=CléPersonnalisée1</formula>
    </cfRule>
    <cfRule type="expression" dxfId="10897" priority="124" stopIfTrue="1">
      <formula>AO59=CléMaladie</formula>
    </cfRule>
    <cfRule type="expression" dxfId="10896" priority="125" stopIfTrue="1">
      <formula>AO59=CléPersonnelle</formula>
    </cfRule>
    <cfRule type="expression" dxfId="10895" priority="126" stopIfTrue="1">
      <formula>AO59=CléCongés</formula>
    </cfRule>
  </conditionalFormatting>
  <conditionalFormatting sqref="AO63">
    <cfRule type="expression" priority="115" stopIfTrue="1">
      <formula>AO63=""</formula>
    </cfRule>
    <cfRule type="expression" dxfId="10894" priority="116" stopIfTrue="1">
      <formula>AO63=CléPersonnalisée2</formula>
    </cfRule>
    <cfRule type="expression" dxfId="10893" priority="117" stopIfTrue="1">
      <formula>AO63=CléPersonnalisée1</formula>
    </cfRule>
    <cfRule type="expression" dxfId="10892" priority="118" stopIfTrue="1">
      <formula>AO63=CléMaladie</formula>
    </cfRule>
    <cfRule type="expression" dxfId="10891" priority="119" stopIfTrue="1">
      <formula>AO63=CléPersonnelle</formula>
    </cfRule>
    <cfRule type="expression" dxfId="10890" priority="120" stopIfTrue="1">
      <formula>AO63=CléCongés</formula>
    </cfRule>
  </conditionalFormatting>
  <conditionalFormatting sqref="AO67">
    <cfRule type="expression" priority="109" stopIfTrue="1">
      <formula>AO67=""</formula>
    </cfRule>
    <cfRule type="expression" dxfId="10889" priority="110" stopIfTrue="1">
      <formula>AO67=CléPersonnalisée2</formula>
    </cfRule>
    <cfRule type="expression" dxfId="10888" priority="111" stopIfTrue="1">
      <formula>AO67=CléPersonnalisée1</formula>
    </cfRule>
    <cfRule type="expression" dxfId="10887" priority="112" stopIfTrue="1">
      <formula>AO67=CléMaladie</formula>
    </cfRule>
    <cfRule type="expression" dxfId="10886" priority="113" stopIfTrue="1">
      <formula>AO67=CléPersonnelle</formula>
    </cfRule>
    <cfRule type="expression" dxfId="10885" priority="114" stopIfTrue="1">
      <formula>AO67=CléCongés</formula>
    </cfRule>
  </conditionalFormatting>
  <conditionalFormatting sqref="AO71">
    <cfRule type="expression" priority="103" stopIfTrue="1">
      <formula>AO71=""</formula>
    </cfRule>
    <cfRule type="expression" dxfId="10884" priority="104" stopIfTrue="1">
      <formula>AO71=CléPersonnalisée2</formula>
    </cfRule>
    <cfRule type="expression" dxfId="10883" priority="105" stopIfTrue="1">
      <formula>AO71=CléPersonnalisée1</formula>
    </cfRule>
    <cfRule type="expression" dxfId="10882" priority="106" stopIfTrue="1">
      <formula>AO71=CléMaladie</formula>
    </cfRule>
    <cfRule type="expression" dxfId="10881" priority="107" stopIfTrue="1">
      <formula>AO71=CléPersonnelle</formula>
    </cfRule>
    <cfRule type="expression" dxfId="10880" priority="108" stopIfTrue="1">
      <formula>AO71=CléCongés</formula>
    </cfRule>
  </conditionalFormatting>
  <conditionalFormatting sqref="AO75">
    <cfRule type="expression" priority="97" stopIfTrue="1">
      <formula>AO75=""</formula>
    </cfRule>
    <cfRule type="expression" dxfId="10879" priority="98" stopIfTrue="1">
      <formula>AO75=CléPersonnalisée2</formula>
    </cfRule>
    <cfRule type="expression" dxfId="10878" priority="99" stopIfTrue="1">
      <formula>AO75=CléPersonnalisée1</formula>
    </cfRule>
    <cfRule type="expression" dxfId="10877" priority="100" stopIfTrue="1">
      <formula>AO75=CléMaladie</formula>
    </cfRule>
    <cfRule type="expression" dxfId="10876" priority="101" stopIfTrue="1">
      <formula>AO75=CléPersonnelle</formula>
    </cfRule>
    <cfRule type="expression" dxfId="10875" priority="102" stopIfTrue="1">
      <formula>AO75=CléCongés</formula>
    </cfRule>
  </conditionalFormatting>
  <conditionalFormatting sqref="AO79">
    <cfRule type="expression" priority="91" stopIfTrue="1">
      <formula>AO79=""</formula>
    </cfRule>
    <cfRule type="expression" dxfId="10874" priority="92" stopIfTrue="1">
      <formula>AO79=CléPersonnalisée2</formula>
    </cfRule>
    <cfRule type="expression" dxfId="10873" priority="93" stopIfTrue="1">
      <formula>AO79=CléPersonnalisée1</formula>
    </cfRule>
    <cfRule type="expression" dxfId="10872" priority="94" stopIfTrue="1">
      <formula>AO79=CléMaladie</formula>
    </cfRule>
    <cfRule type="expression" dxfId="10871" priority="95" stopIfTrue="1">
      <formula>AO79=CléPersonnelle</formula>
    </cfRule>
    <cfRule type="expression" dxfId="10870" priority="96" stopIfTrue="1">
      <formula>AO79=CléCongés</formula>
    </cfRule>
  </conditionalFormatting>
  <conditionalFormatting sqref="AO83">
    <cfRule type="expression" priority="85" stopIfTrue="1">
      <formula>AO83=""</formula>
    </cfRule>
    <cfRule type="expression" dxfId="10869" priority="86" stopIfTrue="1">
      <formula>AO83=CléPersonnalisée2</formula>
    </cfRule>
    <cfRule type="expression" dxfId="10868" priority="87" stopIfTrue="1">
      <formula>AO83=CléPersonnalisée1</formula>
    </cfRule>
    <cfRule type="expression" dxfId="10867" priority="88" stopIfTrue="1">
      <formula>AO83=CléMaladie</formula>
    </cfRule>
    <cfRule type="expression" dxfId="10866" priority="89" stopIfTrue="1">
      <formula>AO83=CléPersonnelle</formula>
    </cfRule>
    <cfRule type="expression" dxfId="10865" priority="90" stopIfTrue="1">
      <formula>AO83=CléCongés</formula>
    </cfRule>
  </conditionalFormatting>
  <conditionalFormatting sqref="AO87">
    <cfRule type="expression" priority="79" stopIfTrue="1">
      <formula>AO87=""</formula>
    </cfRule>
    <cfRule type="expression" dxfId="10864" priority="80" stopIfTrue="1">
      <formula>AO87=CléPersonnalisée2</formula>
    </cfRule>
    <cfRule type="expression" dxfId="10863" priority="81" stopIfTrue="1">
      <formula>AO87=CléPersonnalisée1</formula>
    </cfRule>
    <cfRule type="expression" dxfId="10862" priority="82" stopIfTrue="1">
      <formula>AO87=CléMaladie</formula>
    </cfRule>
    <cfRule type="expression" dxfId="10861" priority="83" stopIfTrue="1">
      <formula>AO87=CléPersonnelle</formula>
    </cfRule>
    <cfRule type="expression" dxfId="10860" priority="84" stopIfTrue="1">
      <formula>AO87=CléCongés</formula>
    </cfRule>
  </conditionalFormatting>
  <conditionalFormatting sqref="AO91">
    <cfRule type="expression" priority="73" stopIfTrue="1">
      <formula>AO91=""</formula>
    </cfRule>
    <cfRule type="expression" dxfId="10859" priority="74" stopIfTrue="1">
      <formula>AO91=CléPersonnalisée2</formula>
    </cfRule>
    <cfRule type="expression" dxfId="10858" priority="75" stopIfTrue="1">
      <formula>AO91=CléPersonnalisée1</formula>
    </cfRule>
    <cfRule type="expression" dxfId="10857" priority="76" stopIfTrue="1">
      <formula>AO91=CléMaladie</formula>
    </cfRule>
    <cfRule type="expression" dxfId="10856" priority="77" stopIfTrue="1">
      <formula>AO91=CléPersonnelle</formula>
    </cfRule>
    <cfRule type="expression" dxfId="10855" priority="78" stopIfTrue="1">
      <formula>AO91=CléCongés</formula>
    </cfRule>
  </conditionalFormatting>
  <conditionalFormatting sqref="AO95">
    <cfRule type="expression" priority="67" stopIfTrue="1">
      <formula>AO95=""</formula>
    </cfRule>
    <cfRule type="expression" dxfId="10854" priority="68" stopIfTrue="1">
      <formula>AO95=CléPersonnalisée2</formula>
    </cfRule>
    <cfRule type="expression" dxfId="10853" priority="69" stopIfTrue="1">
      <formula>AO95=CléPersonnalisée1</formula>
    </cfRule>
    <cfRule type="expression" dxfId="10852" priority="70" stopIfTrue="1">
      <formula>AO95=CléMaladie</formula>
    </cfRule>
    <cfRule type="expression" dxfId="10851" priority="71" stopIfTrue="1">
      <formula>AO95=CléPersonnelle</formula>
    </cfRule>
    <cfRule type="expression" dxfId="10850" priority="72" stopIfTrue="1">
      <formula>AO95=CléCongés</formula>
    </cfRule>
  </conditionalFormatting>
  <conditionalFormatting sqref="AO99">
    <cfRule type="expression" priority="61" stopIfTrue="1">
      <formula>AO99=""</formula>
    </cfRule>
    <cfRule type="expression" dxfId="10849" priority="62" stopIfTrue="1">
      <formula>AO99=CléPersonnalisée2</formula>
    </cfRule>
    <cfRule type="expression" dxfId="10848" priority="63" stopIfTrue="1">
      <formula>AO99=CléPersonnalisée1</formula>
    </cfRule>
    <cfRule type="expression" dxfId="10847" priority="64" stopIfTrue="1">
      <formula>AO99=CléMaladie</formula>
    </cfRule>
    <cfRule type="expression" dxfId="10846" priority="65" stopIfTrue="1">
      <formula>AO99=CléPersonnelle</formula>
    </cfRule>
    <cfRule type="expression" dxfId="10845" priority="66" stopIfTrue="1">
      <formula>AO99=CléCongés</formula>
    </cfRule>
  </conditionalFormatting>
  <conditionalFormatting sqref="AO103">
    <cfRule type="expression" priority="55" stopIfTrue="1">
      <formula>AO103=""</formula>
    </cfRule>
    <cfRule type="expression" dxfId="10844" priority="56" stopIfTrue="1">
      <formula>AO103=CléPersonnalisée2</formula>
    </cfRule>
    <cfRule type="expression" dxfId="10843" priority="57" stopIfTrue="1">
      <formula>AO103=CléPersonnalisée1</formula>
    </cfRule>
    <cfRule type="expression" dxfId="10842" priority="58" stopIfTrue="1">
      <formula>AO103=CléMaladie</formula>
    </cfRule>
    <cfRule type="expression" dxfId="10841" priority="59" stopIfTrue="1">
      <formula>AO103=CléPersonnelle</formula>
    </cfRule>
    <cfRule type="expression" dxfId="10840" priority="60" stopIfTrue="1">
      <formula>AO103=CléCongés</formula>
    </cfRule>
  </conditionalFormatting>
  <conditionalFormatting sqref="AO107">
    <cfRule type="expression" priority="49" stopIfTrue="1">
      <formula>AO107=""</formula>
    </cfRule>
    <cfRule type="expression" dxfId="10839" priority="50" stopIfTrue="1">
      <formula>AO107=CléPersonnalisée2</formula>
    </cfRule>
    <cfRule type="expression" dxfId="10838" priority="51" stopIfTrue="1">
      <formula>AO107=CléPersonnalisée1</formula>
    </cfRule>
    <cfRule type="expression" dxfId="10837" priority="52" stopIfTrue="1">
      <formula>AO107=CléMaladie</formula>
    </cfRule>
    <cfRule type="expression" dxfId="10836" priority="53" stopIfTrue="1">
      <formula>AO107=CléPersonnelle</formula>
    </cfRule>
    <cfRule type="expression" dxfId="10835" priority="54" stopIfTrue="1">
      <formula>AO107=CléCongés</formula>
    </cfRule>
  </conditionalFormatting>
  <conditionalFormatting sqref="AO111">
    <cfRule type="expression" priority="43" stopIfTrue="1">
      <formula>AO111=""</formula>
    </cfRule>
    <cfRule type="expression" dxfId="10834" priority="44" stopIfTrue="1">
      <formula>AO111=CléPersonnalisée2</formula>
    </cfRule>
    <cfRule type="expression" dxfId="10833" priority="45" stopIfTrue="1">
      <formula>AO111=CléPersonnalisée1</formula>
    </cfRule>
    <cfRule type="expression" dxfId="10832" priority="46" stopIfTrue="1">
      <formula>AO111=CléMaladie</formula>
    </cfRule>
    <cfRule type="expression" dxfId="10831" priority="47" stopIfTrue="1">
      <formula>AO111=CléPersonnelle</formula>
    </cfRule>
    <cfRule type="expression" dxfId="10830" priority="48" stopIfTrue="1">
      <formula>AO111=CléCongés</formula>
    </cfRule>
  </conditionalFormatting>
  <conditionalFormatting sqref="AO115">
    <cfRule type="expression" priority="37" stopIfTrue="1">
      <formula>AO115=""</formula>
    </cfRule>
    <cfRule type="expression" dxfId="10829" priority="38" stopIfTrue="1">
      <formula>AO115=CléPersonnalisée2</formula>
    </cfRule>
    <cfRule type="expression" dxfId="10828" priority="39" stopIfTrue="1">
      <formula>AO115=CléPersonnalisée1</formula>
    </cfRule>
    <cfRule type="expression" dxfId="10827" priority="40" stopIfTrue="1">
      <formula>AO115=CléMaladie</formula>
    </cfRule>
    <cfRule type="expression" dxfId="10826" priority="41" stopIfTrue="1">
      <formula>AO115=CléPersonnelle</formula>
    </cfRule>
    <cfRule type="expression" dxfId="10825" priority="42" stopIfTrue="1">
      <formula>AO115=CléCongés</formula>
    </cfRule>
  </conditionalFormatting>
  <conditionalFormatting sqref="AO119">
    <cfRule type="expression" priority="31" stopIfTrue="1">
      <formula>AO119=""</formula>
    </cfRule>
    <cfRule type="expression" dxfId="10824" priority="32" stopIfTrue="1">
      <formula>AO119=CléPersonnalisée2</formula>
    </cfRule>
    <cfRule type="expression" dxfId="10823" priority="33" stopIfTrue="1">
      <formula>AO119=CléPersonnalisée1</formula>
    </cfRule>
    <cfRule type="expression" dxfId="10822" priority="34" stopIfTrue="1">
      <formula>AO119=CléMaladie</formula>
    </cfRule>
    <cfRule type="expression" dxfId="10821" priority="35" stopIfTrue="1">
      <formula>AO119=CléPersonnelle</formula>
    </cfRule>
    <cfRule type="expression" dxfId="10820" priority="36" stopIfTrue="1">
      <formula>AO119=CléCongés</formula>
    </cfRule>
  </conditionalFormatting>
  <conditionalFormatting sqref="AO123">
    <cfRule type="expression" priority="25" stopIfTrue="1">
      <formula>AO123=""</formula>
    </cfRule>
    <cfRule type="expression" dxfId="10819" priority="26" stopIfTrue="1">
      <formula>AO123=CléPersonnalisée2</formula>
    </cfRule>
    <cfRule type="expression" dxfId="10818" priority="27" stopIfTrue="1">
      <formula>AO123=CléPersonnalisée1</formula>
    </cfRule>
    <cfRule type="expression" dxfId="10817" priority="28" stopIfTrue="1">
      <formula>AO123=CléMaladie</formula>
    </cfRule>
    <cfRule type="expression" dxfId="10816" priority="29" stopIfTrue="1">
      <formula>AO123=CléPersonnelle</formula>
    </cfRule>
    <cfRule type="expression" dxfId="10815" priority="30" stopIfTrue="1">
      <formula>AO123=CléCongés</formula>
    </cfRule>
  </conditionalFormatting>
  <conditionalFormatting sqref="AS9">
    <cfRule type="expression" priority="19" stopIfTrue="1">
      <formula>AS9=""</formula>
    </cfRule>
    <cfRule type="expression" dxfId="10814" priority="20" stopIfTrue="1">
      <formula>AS9=CléPersonnalisée2</formula>
    </cfRule>
    <cfRule type="expression" dxfId="10813" priority="21" stopIfTrue="1">
      <formula>AS9=CléPersonnalisée1</formula>
    </cfRule>
    <cfRule type="expression" dxfId="10812" priority="22" stopIfTrue="1">
      <formula>AS9=CléMaladie</formula>
    </cfRule>
    <cfRule type="expression" dxfId="10811" priority="23" stopIfTrue="1">
      <formula>AS9=CléPersonnelle</formula>
    </cfRule>
    <cfRule type="expression" dxfId="10810" priority="24" stopIfTrue="1">
      <formula>AS9=CléCongés</formula>
    </cfRule>
  </conditionalFormatting>
  <conditionalFormatting sqref="AS5">
    <cfRule type="expression" priority="13" stopIfTrue="1">
      <formula>AS5=""</formula>
    </cfRule>
    <cfRule type="expression" dxfId="10809" priority="14" stopIfTrue="1">
      <formula>AS5=CléPersonnalisée2</formula>
    </cfRule>
    <cfRule type="expression" dxfId="10808" priority="15" stopIfTrue="1">
      <formula>AS5=CléPersonnalisée1</formula>
    </cfRule>
    <cfRule type="expression" dxfId="10807" priority="16" stopIfTrue="1">
      <formula>AS5=CléMaladie</formula>
    </cfRule>
    <cfRule type="expression" dxfId="10806" priority="17" stopIfTrue="1">
      <formula>AS5=CléPersonnelle</formula>
    </cfRule>
    <cfRule type="expression" dxfId="10805" priority="18" stopIfTrue="1">
      <formula>AS5=CléCongés</formula>
    </cfRule>
  </conditionalFormatting>
  <conditionalFormatting sqref="AN15">
    <cfRule type="expression" priority="1" stopIfTrue="1">
      <formula>AN15=""</formula>
    </cfRule>
    <cfRule type="expression" dxfId="9" priority="2" stopIfTrue="1">
      <formula>AN15=CléPersonnalisée2</formula>
    </cfRule>
    <cfRule type="expression" dxfId="8" priority="3" stopIfTrue="1">
      <formula>AN15=CléPersonnalisée1</formula>
    </cfRule>
    <cfRule type="expression" dxfId="7" priority="4" stopIfTrue="1">
      <formula>AN15=CléMaladie</formula>
    </cfRule>
    <cfRule type="expression" dxfId="6" priority="5" stopIfTrue="1">
      <formula>AN15=CléPersonnelle</formula>
    </cfRule>
    <cfRule type="expression" dxfId="5" priority="6" stopIfTrue="1">
      <formula>AN15=CléCongés</formula>
    </cfRule>
  </conditionalFormatting>
  <printOptions horizontalCentered="1"/>
  <pageMargins left="0.25" right="0.25" top="0.75" bottom="0.75" header="0.3" footer="0.3"/>
  <pageSetup scale="56" fitToHeight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309B4CB-0BCD-480F-B7E2-DF3006DAA133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AH5:AH6 AH9:AH11</xm:sqref>
        </x14:conditionalFormatting>
        <x14:conditionalFormatting xmlns:xm="http://schemas.microsoft.com/office/excel/2006/main">
          <x14:cfRule type="dataBar" id="{1A0B068B-8ABB-4E3D-B8DA-7C01624DB024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AH27</xm:sqref>
        </x14:conditionalFormatting>
        <x14:conditionalFormatting xmlns:xm="http://schemas.microsoft.com/office/excel/2006/main">
          <x14:cfRule type="dataBar" id="{BBEB37D4-EB4B-4EC3-882C-0FD043CE88E1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AH31</xm:sqref>
        </x14:conditionalFormatting>
        <x14:conditionalFormatting xmlns:xm="http://schemas.microsoft.com/office/excel/2006/main">
          <x14:cfRule type="dataBar" id="{5659709C-A4E5-43EF-9106-CA9D689D17C9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AH35</xm:sqref>
        </x14:conditionalFormatting>
        <x14:conditionalFormatting xmlns:xm="http://schemas.microsoft.com/office/excel/2006/main">
          <x14:cfRule type="dataBar" id="{A00F5979-5CDC-4B14-B71E-FA92E855F298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AH39</xm:sqref>
        </x14:conditionalFormatting>
        <x14:conditionalFormatting xmlns:xm="http://schemas.microsoft.com/office/excel/2006/main">
          <x14:cfRule type="dataBar" id="{E21CC317-0CD1-49E8-9173-B5422A70DC11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AH43</xm:sqref>
        </x14:conditionalFormatting>
        <x14:conditionalFormatting xmlns:xm="http://schemas.microsoft.com/office/excel/2006/main">
          <x14:cfRule type="dataBar" id="{C28DDE5B-D2FC-4B56-ABAB-F7677D514C13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AH47</xm:sqref>
        </x14:conditionalFormatting>
        <x14:conditionalFormatting xmlns:xm="http://schemas.microsoft.com/office/excel/2006/main">
          <x14:cfRule type="dataBar" id="{3A562D53-69C2-4612-A72F-B0D6663CB4C2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AH51</xm:sqref>
        </x14:conditionalFormatting>
        <x14:conditionalFormatting xmlns:xm="http://schemas.microsoft.com/office/excel/2006/main">
          <x14:cfRule type="dataBar" id="{83E965C6-E84E-4C67-A1BE-A739A4FA5D01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AH55</xm:sqref>
        </x14:conditionalFormatting>
        <x14:conditionalFormatting xmlns:xm="http://schemas.microsoft.com/office/excel/2006/main">
          <x14:cfRule type="dataBar" id="{70783585-64A3-4221-B008-D86CA4494EA0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AH63</xm:sqref>
        </x14:conditionalFormatting>
        <x14:conditionalFormatting xmlns:xm="http://schemas.microsoft.com/office/excel/2006/main">
          <x14:cfRule type="dataBar" id="{FF0AEF03-8959-458C-ABA3-36EF7DAE2071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AH71</xm:sqref>
        </x14:conditionalFormatting>
        <x14:conditionalFormatting xmlns:xm="http://schemas.microsoft.com/office/excel/2006/main">
          <x14:cfRule type="dataBar" id="{7367741F-1CEC-4C07-8D39-48FB88E911BE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AH19</xm:sqref>
        </x14:conditionalFormatting>
        <x14:conditionalFormatting xmlns:xm="http://schemas.microsoft.com/office/excel/2006/main">
          <x14:cfRule type="dataBar" id="{07CB5C54-4535-4708-81AC-BFBE9A26B7C9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AH23</xm:sqref>
        </x14:conditionalFormatting>
        <x14:conditionalFormatting xmlns:xm="http://schemas.microsoft.com/office/excel/2006/main">
          <x14:cfRule type="dataBar" id="{52896360-2E02-451C-9BE2-E66BC55452DA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AH17:AH18</xm:sqref>
        </x14:conditionalFormatting>
        <x14:conditionalFormatting xmlns:xm="http://schemas.microsoft.com/office/excel/2006/main">
          <x14:cfRule type="dataBar" id="{4A611853-EC87-42D9-BAB1-95E68748F889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AH21:AH22</xm:sqref>
        </x14:conditionalFormatting>
        <x14:conditionalFormatting xmlns:xm="http://schemas.microsoft.com/office/excel/2006/main">
          <x14:cfRule type="dataBar" id="{57159145-A2E2-49A5-9C54-A9DDABF08A53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AH25:AH26</xm:sqref>
        </x14:conditionalFormatting>
        <x14:conditionalFormatting xmlns:xm="http://schemas.microsoft.com/office/excel/2006/main">
          <x14:cfRule type="dataBar" id="{0B064884-6CF8-4113-AF87-75B8FC26BD49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AH29:AH30</xm:sqref>
        </x14:conditionalFormatting>
        <x14:conditionalFormatting xmlns:xm="http://schemas.microsoft.com/office/excel/2006/main">
          <x14:cfRule type="dataBar" id="{0EDDB1B3-50CF-40FF-A429-F8A6A5610408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AH33:AH34</xm:sqref>
        </x14:conditionalFormatting>
        <x14:conditionalFormatting xmlns:xm="http://schemas.microsoft.com/office/excel/2006/main">
          <x14:cfRule type="dataBar" id="{4810416D-D94E-4EE5-A311-3539FC5AF006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AH37:AH38</xm:sqref>
        </x14:conditionalFormatting>
        <x14:conditionalFormatting xmlns:xm="http://schemas.microsoft.com/office/excel/2006/main">
          <x14:cfRule type="dataBar" id="{F4C8F80A-8E19-4076-80A0-D7A916C9B430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AH41:AH42</xm:sqref>
        </x14:conditionalFormatting>
        <x14:conditionalFormatting xmlns:xm="http://schemas.microsoft.com/office/excel/2006/main">
          <x14:cfRule type="dataBar" id="{FFF5B89A-BD71-4A69-9855-624869035F94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AH45:AH46</xm:sqref>
        </x14:conditionalFormatting>
        <x14:conditionalFormatting xmlns:xm="http://schemas.microsoft.com/office/excel/2006/main">
          <x14:cfRule type="dataBar" id="{AB8BCADB-345B-44D4-8E4D-EDD0B538DB26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AH49:AH50</xm:sqref>
        </x14:conditionalFormatting>
        <x14:conditionalFormatting xmlns:xm="http://schemas.microsoft.com/office/excel/2006/main">
          <x14:cfRule type="dataBar" id="{7489D6ED-2511-4FCC-BED0-4CAAE45105E1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AH53:AH54</xm:sqref>
        </x14:conditionalFormatting>
        <x14:conditionalFormatting xmlns:xm="http://schemas.microsoft.com/office/excel/2006/main">
          <x14:cfRule type="dataBar" id="{46659A6F-C3FF-461D-94BE-A23ACEA785BC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AH61:AH62</xm:sqref>
        </x14:conditionalFormatting>
        <x14:conditionalFormatting xmlns:xm="http://schemas.microsoft.com/office/excel/2006/main">
          <x14:cfRule type="dataBar" id="{210C2637-A113-498B-B03D-430BE0692DBE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AH69:AH70</xm:sqref>
        </x14:conditionalFormatting>
        <x14:conditionalFormatting xmlns:xm="http://schemas.microsoft.com/office/excel/2006/main">
          <x14:cfRule type="dataBar" id="{74F0D70F-72D8-486C-9908-12FD090DFC80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AH7</xm:sqref>
        </x14:conditionalFormatting>
        <x14:conditionalFormatting xmlns:xm="http://schemas.microsoft.com/office/excel/2006/main">
          <x14:cfRule type="dataBar" id="{EF06003B-7DE3-4C7D-A9AA-04460568BBFD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AH67</xm:sqref>
        </x14:conditionalFormatting>
        <x14:conditionalFormatting xmlns:xm="http://schemas.microsoft.com/office/excel/2006/main">
          <x14:cfRule type="dataBar" id="{609F203D-45DF-42DB-9EC3-2D1DFD660417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AH65:AH66</xm:sqref>
        </x14:conditionalFormatting>
        <x14:conditionalFormatting xmlns:xm="http://schemas.microsoft.com/office/excel/2006/main">
          <x14:cfRule type="dataBar" id="{B4BB792E-FF47-4D61-96A3-FA000F13B029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AH75</xm:sqref>
        </x14:conditionalFormatting>
        <x14:conditionalFormatting xmlns:xm="http://schemas.microsoft.com/office/excel/2006/main">
          <x14:cfRule type="dataBar" id="{D0229127-71A5-43DC-B806-AABF16EC62DB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AH73:AH74</xm:sqref>
        </x14:conditionalFormatting>
        <x14:conditionalFormatting xmlns:xm="http://schemas.microsoft.com/office/excel/2006/main">
          <x14:cfRule type="dataBar" id="{3064B732-4DBD-4A55-A21B-C3D988F255A4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AH83</xm:sqref>
        </x14:conditionalFormatting>
        <x14:conditionalFormatting xmlns:xm="http://schemas.microsoft.com/office/excel/2006/main">
          <x14:cfRule type="dataBar" id="{47CDB5BA-70F8-4B15-83B4-A2735A340024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AH81:AH82</xm:sqref>
        </x14:conditionalFormatting>
        <x14:conditionalFormatting xmlns:xm="http://schemas.microsoft.com/office/excel/2006/main">
          <x14:cfRule type="dataBar" id="{1AD126AF-060E-4DFF-8954-620F53209EE6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AH87</xm:sqref>
        </x14:conditionalFormatting>
        <x14:conditionalFormatting xmlns:xm="http://schemas.microsoft.com/office/excel/2006/main">
          <x14:cfRule type="dataBar" id="{7BFE1D59-74A2-470A-95E9-D9AC39B63FA3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AH85:AH86</xm:sqref>
        </x14:conditionalFormatting>
        <x14:conditionalFormatting xmlns:xm="http://schemas.microsoft.com/office/excel/2006/main">
          <x14:cfRule type="dataBar" id="{3595B972-DD1F-4C56-839D-C6672F4890BF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AH91</xm:sqref>
        </x14:conditionalFormatting>
        <x14:conditionalFormatting xmlns:xm="http://schemas.microsoft.com/office/excel/2006/main">
          <x14:cfRule type="dataBar" id="{94FADAE5-69B8-4E51-A1CC-DDE1319EB03C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AH89:AH90</xm:sqref>
        </x14:conditionalFormatting>
        <x14:conditionalFormatting xmlns:xm="http://schemas.microsoft.com/office/excel/2006/main">
          <x14:cfRule type="dataBar" id="{9AE0B363-6922-4E22-A9C2-81DC5F8A3029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AH101:AH103 AH95 AH97:AH99</xm:sqref>
        </x14:conditionalFormatting>
        <x14:conditionalFormatting xmlns:xm="http://schemas.microsoft.com/office/excel/2006/main">
          <x14:cfRule type="dataBar" id="{2CA53FDC-67AC-40FC-84AE-EB2453E98002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AH93:AH94</xm:sqref>
        </x14:conditionalFormatting>
        <x14:conditionalFormatting xmlns:xm="http://schemas.microsoft.com/office/excel/2006/main">
          <x14:cfRule type="dataBar" id="{6678D9E1-CF9A-44BF-9B0B-866993DB7BB5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AH111</xm:sqref>
        </x14:conditionalFormatting>
        <x14:conditionalFormatting xmlns:xm="http://schemas.microsoft.com/office/excel/2006/main">
          <x14:cfRule type="dataBar" id="{1CDE401F-E817-4445-85CD-F61079A7BC3A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AH109:AH110</xm:sqref>
        </x14:conditionalFormatting>
        <x14:conditionalFormatting xmlns:xm="http://schemas.microsoft.com/office/excel/2006/main">
          <x14:cfRule type="dataBar" id="{4FDD954D-2D91-4A78-919B-8819A366E4CA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AH123</xm:sqref>
        </x14:conditionalFormatting>
        <x14:conditionalFormatting xmlns:xm="http://schemas.microsoft.com/office/excel/2006/main">
          <x14:cfRule type="dataBar" id="{BF2CD088-8518-4EBA-A102-C99B09419A99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AH121:AH122</xm:sqref>
        </x14:conditionalFormatting>
        <x14:conditionalFormatting xmlns:xm="http://schemas.microsoft.com/office/excel/2006/main">
          <x14:cfRule type="dataBar" id="{5DFCA880-BF42-431C-9895-179A5C2BE3C4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AH115</xm:sqref>
        </x14:conditionalFormatting>
        <x14:conditionalFormatting xmlns:xm="http://schemas.microsoft.com/office/excel/2006/main">
          <x14:cfRule type="dataBar" id="{20567271-3EF7-4E7B-868E-D41467F896F7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AH113:AH114</xm:sqref>
        </x14:conditionalFormatting>
        <x14:conditionalFormatting xmlns:xm="http://schemas.microsoft.com/office/excel/2006/main">
          <x14:cfRule type="dataBar" id="{CF3551E6-D4D4-4AF0-8C90-4048AC1FF918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AH15</xm:sqref>
        </x14:conditionalFormatting>
        <x14:conditionalFormatting xmlns:xm="http://schemas.microsoft.com/office/excel/2006/main">
          <x14:cfRule type="dataBar" id="{36050E4A-EC72-406F-B967-215A861E751F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AH13:AH14</xm:sqref>
        </x14:conditionalFormatting>
        <x14:conditionalFormatting xmlns:xm="http://schemas.microsoft.com/office/excel/2006/main">
          <x14:cfRule type="dataBar" id="{960F6BD4-00F6-4E97-AA22-4BFBA6EF2F6F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AH119</xm:sqref>
        </x14:conditionalFormatting>
        <x14:conditionalFormatting xmlns:xm="http://schemas.microsoft.com/office/excel/2006/main">
          <x14:cfRule type="dataBar" id="{D9D25352-C9D2-4315-B993-69F2BCA6CEA6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AH117:AH118</xm:sqref>
        </x14:conditionalFormatting>
        <x14:conditionalFormatting xmlns:xm="http://schemas.microsoft.com/office/excel/2006/main">
          <x14:cfRule type="dataBar" id="{7F9CC434-AC6B-4DBF-A5BB-9F3275655F9B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AH107</xm:sqref>
        </x14:conditionalFormatting>
        <x14:conditionalFormatting xmlns:xm="http://schemas.microsoft.com/office/excel/2006/main">
          <x14:cfRule type="dataBar" id="{78B6D105-5114-4D1E-BE5A-FF6338669730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AH105:AH106</xm:sqref>
        </x14:conditionalFormatting>
        <x14:conditionalFormatting xmlns:xm="http://schemas.microsoft.com/office/excel/2006/main">
          <x14:cfRule type="dataBar" id="{C90796BF-B805-40ED-A6F7-B6BA8E5AA87F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AH59</xm:sqref>
        </x14:conditionalFormatting>
        <x14:conditionalFormatting xmlns:xm="http://schemas.microsoft.com/office/excel/2006/main">
          <x14:cfRule type="dataBar" id="{D117B51C-128C-4AE1-ADF1-6ACB39E485E0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AH57:AH58</xm:sqref>
        </x14:conditionalFormatting>
        <x14:conditionalFormatting xmlns:xm="http://schemas.microsoft.com/office/excel/2006/main">
          <x14:cfRule type="dataBar" id="{903B11D6-98C3-4B02-8BCB-8C82784059E5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AH79</xm:sqref>
        </x14:conditionalFormatting>
        <x14:conditionalFormatting xmlns:xm="http://schemas.microsoft.com/office/excel/2006/main">
          <x14:cfRule type="dataBar" id="{907BDCC1-DC47-4E01-9CC7-7FEC514BF84D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AH77:AH78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2" tint="-0.89999084444715716"/>
    <pageSetUpPr fitToPage="1"/>
  </sheetPr>
  <dimension ref="A1:AS1514"/>
  <sheetViews>
    <sheetView showGridLines="0" topLeftCell="J1" zoomScale="98" zoomScaleNormal="98" workbookViewId="0">
      <selection activeCell="AS7" sqref="AS7"/>
    </sheetView>
  </sheetViews>
  <sheetFormatPr baseColWidth="10" defaultColWidth="9.140625" defaultRowHeight="15" customHeight="1" x14ac:dyDescent="0.25"/>
  <cols>
    <col min="1" max="1" width="24.28515625" style="96" customWidth="1"/>
    <col min="2" max="2" width="6" style="96" customWidth="1"/>
    <col min="3" max="22" width="4" style="93" customWidth="1"/>
    <col min="23" max="23" width="4.42578125" style="93" customWidth="1"/>
    <col min="24" max="26" width="4" style="93" customWidth="1"/>
    <col min="27" max="27" width="4.42578125" style="93" customWidth="1"/>
    <col min="28" max="28" width="4.42578125" style="93" bestFit="1" customWidth="1"/>
    <col min="29" max="32" width="4" style="93" customWidth="1"/>
    <col min="33" max="33" width="4.42578125" style="93" bestFit="1" customWidth="1"/>
    <col min="34" max="34" width="10.7109375" style="94" customWidth="1"/>
    <col min="35" max="35" width="5.5703125" style="93" customWidth="1"/>
    <col min="36" max="36" width="5" style="75" customWidth="1"/>
    <col min="37" max="37" width="4.7109375" style="75" customWidth="1"/>
    <col min="38" max="38" width="4.5703125" style="75" customWidth="1"/>
    <col min="39" max="39" width="7" style="75" customWidth="1"/>
    <col min="40" max="40" width="8.85546875" style="75" customWidth="1"/>
    <col min="41" max="41" width="8.140625" style="75" customWidth="1"/>
    <col min="42" max="42" width="4.7109375" style="75" customWidth="1"/>
    <col min="43" max="43" width="7.140625" style="75" customWidth="1"/>
    <col min="44" max="44" width="7" style="75" customWidth="1"/>
    <col min="45" max="45" width="13.140625" style="75" customWidth="1"/>
    <col min="46" max="16384" width="9.140625" style="75"/>
  </cols>
  <sheetData>
    <row r="1" spans="1:45" s="8" customFormat="1" ht="50.25" customHeight="1" thickBot="1" x14ac:dyDescent="0.3">
      <c r="A1" s="1" t="s">
        <v>0</v>
      </c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3"/>
      <c r="AE1" s="3"/>
      <c r="AF1" s="4"/>
      <c r="AG1" s="5"/>
      <c r="AH1" s="5"/>
      <c r="AI1" s="6"/>
      <c r="AJ1" s="7"/>
      <c r="AK1" s="7"/>
      <c r="AL1" s="7"/>
      <c r="AM1" s="7"/>
      <c r="AN1" s="7"/>
      <c r="AO1" s="7"/>
      <c r="AP1" s="7"/>
      <c r="AQ1" s="7"/>
      <c r="AR1" s="7"/>
    </row>
    <row r="2" spans="1:45" s="18" customFormat="1" ht="30" customHeight="1" x14ac:dyDescent="0.25">
      <c r="A2" s="97">
        <v>43069</v>
      </c>
      <c r="B2" s="10"/>
      <c r="C2" s="11" t="s">
        <v>1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2">
        <v>2017</v>
      </c>
      <c r="AI2" s="13" t="s">
        <v>2</v>
      </c>
      <c r="AJ2" s="14"/>
      <c r="AK2" s="14"/>
      <c r="AL2" s="15"/>
      <c r="AM2" s="13" t="s">
        <v>3</v>
      </c>
      <c r="AN2" s="14"/>
      <c r="AO2" s="14"/>
      <c r="AP2" s="15"/>
      <c r="AQ2" s="16" t="s">
        <v>4</v>
      </c>
      <c r="AR2" s="17"/>
    </row>
    <row r="3" spans="1:45" s="27" customFormat="1" ht="15.75" customHeight="1" thickBot="1" x14ac:dyDescent="0.35">
      <c r="A3" s="98">
        <v>43040</v>
      </c>
      <c r="B3" s="10"/>
      <c r="C3" s="20" t="str">
        <f>TEXT(WEEKDAY(DATE(CalendrierAnnée,11,1),1),"jjj")</f>
        <v>mer</v>
      </c>
      <c r="D3" s="20" t="str">
        <f>TEXT(WEEKDAY(DATE(CalendrierAnnée,11,2),1),"jjj")</f>
        <v>jeu</v>
      </c>
      <c r="E3" s="21" t="str">
        <f>TEXT(WEEKDAY(DATE(CalendrierAnnée,11,3),1),"jjj")</f>
        <v>ven</v>
      </c>
      <c r="F3" s="21" t="str">
        <f>TEXT(WEEKDAY(DATE(CalendrierAnnée,11,4),1),"jjj")</f>
        <v>sam</v>
      </c>
      <c r="G3" s="21" t="str">
        <f>TEXT(WEEKDAY(DATE(CalendrierAnnée,11,5),1),"jjj")</f>
        <v>dim</v>
      </c>
      <c r="H3" s="21" t="str">
        <f>TEXT(WEEKDAY(DATE(CalendrierAnnée,11,6),1),"jjj")</f>
        <v>lun</v>
      </c>
      <c r="I3" s="21" t="str">
        <f>TEXT(WEEKDAY(DATE(CalendrierAnnée,11,7),1),"jjj")</f>
        <v>mar</v>
      </c>
      <c r="J3" s="21" t="str">
        <f>TEXT(WEEKDAY(DATE(CalendrierAnnée,11,8),1),"jjj")</f>
        <v>mer</v>
      </c>
      <c r="K3" s="21" t="str">
        <f>TEXT(WEEKDAY(DATE(CalendrierAnnée,11,9),1),"jjj")</f>
        <v>jeu</v>
      </c>
      <c r="L3" s="21" t="str">
        <f>TEXT(WEEKDAY(DATE(CalendrierAnnée,11,10),1),"jjj")</f>
        <v>ven</v>
      </c>
      <c r="M3" s="21" t="str">
        <f>TEXT(WEEKDAY(DATE(CalendrierAnnée,11,11),1),"jjj")</f>
        <v>sam</v>
      </c>
      <c r="N3" s="21" t="str">
        <f>TEXT(WEEKDAY(DATE(CalendrierAnnée,11,12),1),"jjj")</f>
        <v>dim</v>
      </c>
      <c r="O3" s="21" t="str">
        <f>TEXT(WEEKDAY(DATE(CalendrierAnnée,11,13),1),"jjj")</f>
        <v>lun</v>
      </c>
      <c r="P3" s="21" t="str">
        <f>TEXT(WEEKDAY(DATE(CalendrierAnnée,11,14),1),"jjj")</f>
        <v>mar</v>
      </c>
      <c r="Q3" s="21" t="str">
        <f>TEXT(WEEKDAY(DATE(CalendrierAnnée,11,15),1),"jjj")</f>
        <v>mer</v>
      </c>
      <c r="R3" s="21" t="str">
        <f>TEXT(WEEKDAY(DATE(CalendrierAnnée,11,16),1),"jjj")</f>
        <v>jeu</v>
      </c>
      <c r="S3" s="21" t="str">
        <f>TEXT(WEEKDAY(DATE(CalendrierAnnée,11,17),1),"jjj")</f>
        <v>ven</v>
      </c>
      <c r="T3" s="21" t="str">
        <f>TEXT(WEEKDAY(DATE(CalendrierAnnée,11,18),1),"jjj")</f>
        <v>sam</v>
      </c>
      <c r="U3" s="21" t="str">
        <f>TEXT(WEEKDAY(DATE(CalendrierAnnée,11,19),1),"jjj")</f>
        <v>dim</v>
      </c>
      <c r="V3" s="21" t="str">
        <f>TEXT(WEEKDAY(DATE(CalendrierAnnée,11,20),1),"jjj")</f>
        <v>lun</v>
      </c>
      <c r="W3" s="21" t="str">
        <f>TEXT(WEEKDAY(DATE(CalendrierAnnée,11,21),1),"jjj")</f>
        <v>mar</v>
      </c>
      <c r="X3" s="21" t="str">
        <f>TEXT(WEEKDAY(DATE(CalendrierAnnée,11,22),1),"jjj")</f>
        <v>mer</v>
      </c>
      <c r="Y3" s="21" t="str">
        <f>TEXT(WEEKDAY(DATE(CalendrierAnnée,11,23),1),"jjj")</f>
        <v>jeu</v>
      </c>
      <c r="Z3" s="21" t="str">
        <f>TEXT(WEEKDAY(DATE(CalendrierAnnée,11,24),1),"jjj")</f>
        <v>ven</v>
      </c>
      <c r="AA3" s="21" t="str">
        <f>TEXT(WEEKDAY(DATE(CalendrierAnnée,11,25),1),"jjj")</f>
        <v>sam</v>
      </c>
      <c r="AB3" s="21" t="str">
        <f>TEXT(WEEKDAY(DATE(CalendrierAnnée,11,26),1),"jjj")</f>
        <v>dim</v>
      </c>
      <c r="AC3" s="21" t="str">
        <f>TEXT(WEEKDAY(DATE(CalendrierAnnée,11,27),1),"jjj")</f>
        <v>lun</v>
      </c>
      <c r="AD3" s="21" t="str">
        <f>TEXT(WEEKDAY(DATE(CalendrierAnnée,11,28),1),"jjj")</f>
        <v>mar</v>
      </c>
      <c r="AE3" s="21" t="str">
        <f>TEXT(WEEKDAY(DATE(CalendrierAnnée,11,29),1),"jjj")</f>
        <v>mer</v>
      </c>
      <c r="AF3" s="21" t="str">
        <f>TEXT(WEEKDAY(DATE(CalendrierAnnée,11,30),1),"jjj")</f>
        <v>jeu</v>
      </c>
      <c r="AG3" s="21"/>
      <c r="AH3" s="12"/>
      <c r="AI3" s="22"/>
      <c r="AJ3" s="23"/>
      <c r="AK3" s="23"/>
      <c r="AL3" s="24"/>
      <c r="AM3" s="22"/>
      <c r="AN3" s="23"/>
      <c r="AO3" s="23"/>
      <c r="AP3" s="24"/>
      <c r="AQ3" s="25"/>
      <c r="AR3" s="26"/>
    </row>
    <row r="4" spans="1:45" s="40" customFormat="1" ht="63.75" customHeight="1" x14ac:dyDescent="0.25">
      <c r="A4" s="28" t="s">
        <v>22</v>
      </c>
      <c r="B4" s="29"/>
      <c r="C4" s="99" t="s">
        <v>25</v>
      </c>
      <c r="D4" s="32" t="s">
        <v>26</v>
      </c>
      <c r="E4" s="32" t="s">
        <v>27</v>
      </c>
      <c r="F4" s="32" t="s">
        <v>28</v>
      </c>
      <c r="G4" s="32" t="s">
        <v>29</v>
      </c>
      <c r="H4" s="32" t="s">
        <v>30</v>
      </c>
      <c r="I4" s="32" t="s">
        <v>31</v>
      </c>
      <c r="J4" s="32" t="s">
        <v>32</v>
      </c>
      <c r="K4" s="32" t="s">
        <v>33</v>
      </c>
      <c r="L4" s="32" t="s">
        <v>34</v>
      </c>
      <c r="M4" s="32" t="s">
        <v>35</v>
      </c>
      <c r="N4" s="32" t="s">
        <v>36</v>
      </c>
      <c r="O4" s="32" t="s">
        <v>37</v>
      </c>
      <c r="P4" s="32" t="s">
        <v>38</v>
      </c>
      <c r="Q4" s="32" t="s">
        <v>39</v>
      </c>
      <c r="R4" s="32" t="s">
        <v>40</v>
      </c>
      <c r="S4" s="32" t="s">
        <v>41</v>
      </c>
      <c r="T4" s="32" t="s">
        <v>42</v>
      </c>
      <c r="U4" s="32" t="s">
        <v>43</v>
      </c>
      <c r="V4" s="32" t="s">
        <v>44</v>
      </c>
      <c r="W4" s="32" t="s">
        <v>45</v>
      </c>
      <c r="X4" s="32" t="s">
        <v>46</v>
      </c>
      <c r="Y4" s="32" t="s">
        <v>47</v>
      </c>
      <c r="Z4" s="32" t="s">
        <v>48</v>
      </c>
      <c r="AA4" s="32" t="s">
        <v>49</v>
      </c>
      <c r="AB4" s="32" t="s">
        <v>50</v>
      </c>
      <c r="AC4" s="32" t="s">
        <v>51</v>
      </c>
      <c r="AD4" s="32" t="s">
        <v>52</v>
      </c>
      <c r="AE4" s="32" t="s">
        <v>53</v>
      </c>
      <c r="AF4" s="32" t="s">
        <v>54</v>
      </c>
      <c r="AG4" s="32"/>
      <c r="AH4" s="33" t="s">
        <v>6</v>
      </c>
      <c r="AI4" s="34" t="s">
        <v>7</v>
      </c>
      <c r="AJ4" s="35" t="s">
        <v>8</v>
      </c>
      <c r="AK4" s="36" t="s">
        <v>9</v>
      </c>
      <c r="AL4" s="37" t="s">
        <v>10</v>
      </c>
      <c r="AM4" s="38" t="s">
        <v>11</v>
      </c>
      <c r="AN4" s="38" t="s">
        <v>12</v>
      </c>
      <c r="AO4" s="38" t="s">
        <v>13</v>
      </c>
      <c r="AP4" s="39" t="s">
        <v>14</v>
      </c>
      <c r="AQ4" s="34" t="s">
        <v>7</v>
      </c>
      <c r="AR4" s="35" t="s">
        <v>8</v>
      </c>
      <c r="AS4" s="39" t="s">
        <v>56</v>
      </c>
    </row>
    <row r="5" spans="1:45" s="40" customFormat="1" ht="12.95" customHeight="1" x14ac:dyDescent="0.25">
      <c r="A5" s="41"/>
      <c r="B5" s="42" t="s">
        <v>15</v>
      </c>
      <c r="C5" s="67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43"/>
      <c r="AH5" s="44">
        <f>COUNTA(Novembre!$C5:$AG5)</f>
        <v>0</v>
      </c>
      <c r="AI5" s="45">
        <f>(COUNTIFS(Novembre!$C5:$AG5,("cp")))/2+Octobre!AI5</f>
        <v>6</v>
      </c>
      <c r="AJ5" s="45">
        <f>COUNTIFS(Novembre!$C5:$AG5,"RTT")/2+Octobre!AJ5</f>
        <v>0</v>
      </c>
      <c r="AK5" s="45">
        <f>COUNTIFS(Novembre!$C5:$AG5,"m")/2+Octobre!AK5</f>
        <v>0</v>
      </c>
      <c r="AL5" s="45">
        <f>COUNTIFS(Novembre!$C5:$AG5,"a")/2+Octobre!AL5</f>
        <v>0</v>
      </c>
      <c r="AM5" s="46"/>
      <c r="AN5" s="47"/>
      <c r="AO5" s="47"/>
      <c r="AP5" s="46"/>
      <c r="AQ5" s="47"/>
      <c r="AR5" s="47"/>
      <c r="AS5" s="47"/>
    </row>
    <row r="6" spans="1:45" s="40" customFormat="1" ht="12.95" customHeight="1" x14ac:dyDescent="0.25">
      <c r="A6" s="48">
        <v>41722</v>
      </c>
      <c r="B6" s="42" t="s">
        <v>16</v>
      </c>
      <c r="C6" s="67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3"/>
      <c r="AH6" s="44">
        <f>COUNTA(Novembre!$C6:$AG6)</f>
        <v>0</v>
      </c>
      <c r="AI6" s="45">
        <f>(COUNTIFS(Novembre!$C6:$AG6,("cp")))/2+Octobre!AI6</f>
        <v>6</v>
      </c>
      <c r="AJ6" s="45">
        <f>COUNTIFS(Novembre!$C6:$AG6,"RTT")/2+Octobre!AJ6</f>
        <v>0</v>
      </c>
      <c r="AK6" s="45">
        <f>COUNTIFS(Novembre!$C6:$AG6,"m")/2+Octobre!AK6</f>
        <v>0</v>
      </c>
      <c r="AL6" s="45">
        <f>COUNTIFS(Novembre!$C6:$AG6,"a")/2+Octobre!AL6</f>
        <v>0</v>
      </c>
      <c r="AM6" s="46"/>
      <c r="AN6" s="47"/>
      <c r="AO6" s="47"/>
      <c r="AP6" s="46"/>
      <c r="AQ6" s="47"/>
      <c r="AR6" s="47"/>
      <c r="AS6" s="101"/>
    </row>
    <row r="7" spans="1:45" s="40" customFormat="1" ht="12.95" customHeight="1" x14ac:dyDescent="0.25">
      <c r="A7" s="41"/>
      <c r="B7" s="42"/>
      <c r="C7" s="49" t="str">
        <f t="shared" ref="C7:AG7" si="0">IF(C5&gt;0,C5,IF(C6&gt;0,C6,""))</f>
        <v/>
      </c>
      <c r="D7" s="49" t="str">
        <f t="shared" si="0"/>
        <v/>
      </c>
      <c r="E7" s="49" t="str">
        <f t="shared" si="0"/>
        <v/>
      </c>
      <c r="F7" s="49" t="str">
        <f t="shared" si="0"/>
        <v/>
      </c>
      <c r="G7" s="49" t="str">
        <f t="shared" si="0"/>
        <v/>
      </c>
      <c r="H7" s="49" t="str">
        <f t="shared" si="0"/>
        <v/>
      </c>
      <c r="I7" s="49" t="str">
        <f t="shared" si="0"/>
        <v/>
      </c>
      <c r="J7" s="49" t="str">
        <f t="shared" si="0"/>
        <v/>
      </c>
      <c r="K7" s="49" t="str">
        <f t="shared" si="0"/>
        <v/>
      </c>
      <c r="L7" s="49" t="str">
        <f t="shared" si="0"/>
        <v/>
      </c>
      <c r="M7" s="49" t="str">
        <f t="shared" si="0"/>
        <v/>
      </c>
      <c r="N7" s="49" t="str">
        <f t="shared" si="0"/>
        <v/>
      </c>
      <c r="O7" s="49" t="str">
        <f t="shared" si="0"/>
        <v/>
      </c>
      <c r="P7" s="49" t="str">
        <f t="shared" si="0"/>
        <v/>
      </c>
      <c r="Q7" s="49" t="str">
        <f t="shared" si="0"/>
        <v/>
      </c>
      <c r="R7" s="49" t="str">
        <f t="shared" si="0"/>
        <v/>
      </c>
      <c r="S7" s="49" t="str">
        <f t="shared" si="0"/>
        <v/>
      </c>
      <c r="T7" s="49" t="str">
        <f t="shared" si="0"/>
        <v/>
      </c>
      <c r="U7" s="49" t="str">
        <f t="shared" si="0"/>
        <v/>
      </c>
      <c r="V7" s="49" t="str">
        <f t="shared" si="0"/>
        <v/>
      </c>
      <c r="W7" s="49" t="str">
        <f t="shared" si="0"/>
        <v/>
      </c>
      <c r="X7" s="49" t="str">
        <f t="shared" si="0"/>
        <v/>
      </c>
      <c r="Y7" s="49" t="str">
        <f t="shared" si="0"/>
        <v/>
      </c>
      <c r="Z7" s="49" t="str">
        <f t="shared" si="0"/>
        <v/>
      </c>
      <c r="AA7" s="49" t="str">
        <f t="shared" si="0"/>
        <v/>
      </c>
      <c r="AB7" s="49" t="str">
        <f t="shared" si="0"/>
        <v/>
      </c>
      <c r="AC7" s="49" t="str">
        <f t="shared" si="0"/>
        <v/>
      </c>
      <c r="AD7" s="49" t="str">
        <f t="shared" si="0"/>
        <v/>
      </c>
      <c r="AE7" s="49" t="str">
        <f t="shared" si="0"/>
        <v/>
      </c>
      <c r="AF7" s="49" t="str">
        <f t="shared" si="0"/>
        <v/>
      </c>
      <c r="AG7" s="49" t="str">
        <f t="shared" si="0"/>
        <v/>
      </c>
      <c r="AH7" s="44">
        <f>SUM(AH5:AH6)</f>
        <v>0</v>
      </c>
      <c r="AI7" s="45">
        <f>SUM(AI5:AI6)</f>
        <v>12</v>
      </c>
      <c r="AJ7" s="45">
        <f>SUM(AJ5:AJ6)</f>
        <v>0</v>
      </c>
      <c r="AK7" s="45">
        <f>SUM(AK5:AK6)</f>
        <v>0</v>
      </c>
      <c r="AL7" s="45">
        <f>SUM(AL5:AL6)</f>
        <v>0</v>
      </c>
      <c r="AM7" s="50">
        <f>Juin!AM7</f>
        <v>9.15</v>
      </c>
      <c r="AN7" s="51">
        <f>IF(A6="","",IF(A6&gt;NomMois,0,IF(A6&lt;$A$3,2.08,(NETWORKDAYS(A6,$A$2)/21.66667)*2.08)))</f>
        <v>2.08</v>
      </c>
      <c r="AO7" s="51">
        <f>IF( AN7="",0,+AN7+Octobre!AO7)</f>
        <v>12.48</v>
      </c>
      <c r="AP7" s="50"/>
      <c r="AQ7" s="45">
        <f>+AM7-AI7</f>
        <v>-2.8499999999999996</v>
      </c>
      <c r="AR7" s="45">
        <f>+AP7-AJ7</f>
        <v>0</v>
      </c>
      <c r="AS7" s="102">
        <f>+AO7+AQ7</f>
        <v>9.6300000000000008</v>
      </c>
    </row>
    <row r="8" spans="1:45" s="40" customFormat="1" ht="6.75" customHeight="1" x14ac:dyDescent="0.25">
      <c r="A8" s="52"/>
      <c r="B8" s="53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  <c r="AF8" s="52"/>
      <c r="AG8" s="52"/>
      <c r="AH8" s="54"/>
      <c r="AI8" s="54"/>
      <c r="AJ8" s="54"/>
      <c r="AK8" s="54"/>
      <c r="AL8" s="54"/>
      <c r="AM8" s="52"/>
      <c r="AN8" s="55"/>
      <c r="AO8" s="55"/>
      <c r="AP8" s="56"/>
      <c r="AQ8" s="58"/>
      <c r="AR8" s="58"/>
      <c r="AS8" s="65"/>
    </row>
    <row r="9" spans="1:45" s="40" customFormat="1" ht="12.95" customHeight="1" x14ac:dyDescent="0.25">
      <c r="A9" s="41"/>
      <c r="B9" s="42" t="s">
        <v>15</v>
      </c>
      <c r="C9" s="67"/>
      <c r="D9" s="43"/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  <c r="AA9" s="43"/>
      <c r="AB9" s="43"/>
      <c r="AC9" s="43"/>
      <c r="AD9" s="43"/>
      <c r="AE9" s="43"/>
      <c r="AF9" s="43"/>
      <c r="AG9" s="43"/>
      <c r="AH9" s="44">
        <f>COUNTA(Novembre!$C9:$AG9)</f>
        <v>0</v>
      </c>
      <c r="AI9" s="45">
        <f>(COUNTIFS(Novembre!$C9:$AG9,("cp")))/2+Octobre!AI9</f>
        <v>3.5</v>
      </c>
      <c r="AJ9" s="45">
        <f>COUNTIFS(Novembre!$C9:$AG9,"RTT")/2+Octobre!AJ9</f>
        <v>0</v>
      </c>
      <c r="AK9" s="45">
        <f>COUNTIFS(Novembre!$C9:$AG9,"m")/2+Octobre!AK9</f>
        <v>0</v>
      </c>
      <c r="AL9" s="45">
        <f>COUNTIFS(Novembre!$C9:$AG9,"a")/2+Octobre!AL9</f>
        <v>0</v>
      </c>
      <c r="AM9" s="46"/>
      <c r="AN9" s="47"/>
      <c r="AO9" s="47"/>
      <c r="AP9" s="46"/>
      <c r="AQ9" s="47"/>
      <c r="AR9" s="47"/>
      <c r="AS9" s="47"/>
    </row>
    <row r="10" spans="1:45" s="40" customFormat="1" ht="12.95" customHeight="1" x14ac:dyDescent="0.25">
      <c r="A10" s="48">
        <v>42740</v>
      </c>
      <c r="B10" s="42" t="s">
        <v>16</v>
      </c>
      <c r="C10" s="67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3"/>
      <c r="AG10" s="43"/>
      <c r="AH10" s="44">
        <f>COUNTA(Novembre!$C10:$AG10)</f>
        <v>0</v>
      </c>
      <c r="AI10" s="45">
        <f>(COUNTIFS(Novembre!$C10:$AG10,("cp")))/2+Octobre!AI10</f>
        <v>3.5</v>
      </c>
      <c r="AJ10" s="45">
        <f>COUNTIFS(Novembre!$C10:$AG10,"RTT")/2+Octobre!AJ10</f>
        <v>0</v>
      </c>
      <c r="AK10" s="45">
        <f>COUNTIFS(Novembre!$C10:$AG10,"m")/2+Octobre!AK10</f>
        <v>0</v>
      </c>
      <c r="AL10" s="45">
        <f>COUNTIFS(Novembre!$C10:$AG10,"a")/2+Octobre!AL10</f>
        <v>0</v>
      </c>
      <c r="AM10" s="46"/>
      <c r="AN10" s="47"/>
      <c r="AO10" s="47"/>
      <c r="AP10" s="46"/>
      <c r="AQ10" s="47"/>
      <c r="AR10" s="47"/>
      <c r="AS10" s="101"/>
    </row>
    <row r="11" spans="1:45" s="40" customFormat="1" ht="12.95" customHeight="1" x14ac:dyDescent="0.25">
      <c r="A11" s="41"/>
      <c r="B11" s="42"/>
      <c r="C11" s="49" t="str">
        <f t="shared" ref="C11:AG11" si="1">IF(C9&gt;0,C9,IF(C10&gt;0,C10,""))</f>
        <v/>
      </c>
      <c r="D11" s="49" t="str">
        <f t="shared" si="1"/>
        <v/>
      </c>
      <c r="E11" s="49" t="str">
        <f t="shared" si="1"/>
        <v/>
      </c>
      <c r="F11" s="49" t="str">
        <f t="shared" si="1"/>
        <v/>
      </c>
      <c r="G11" s="49" t="str">
        <f t="shared" si="1"/>
        <v/>
      </c>
      <c r="H11" s="49" t="str">
        <f t="shared" si="1"/>
        <v/>
      </c>
      <c r="I11" s="49" t="str">
        <f t="shared" si="1"/>
        <v/>
      </c>
      <c r="J11" s="49" t="str">
        <f t="shared" si="1"/>
        <v/>
      </c>
      <c r="K11" s="49" t="str">
        <f t="shared" si="1"/>
        <v/>
      </c>
      <c r="L11" s="49" t="str">
        <f t="shared" si="1"/>
        <v/>
      </c>
      <c r="M11" s="49" t="str">
        <f t="shared" si="1"/>
        <v/>
      </c>
      <c r="N11" s="49" t="str">
        <f t="shared" si="1"/>
        <v/>
      </c>
      <c r="O11" s="49" t="str">
        <f t="shared" si="1"/>
        <v/>
      </c>
      <c r="P11" s="49" t="str">
        <f t="shared" si="1"/>
        <v/>
      </c>
      <c r="Q11" s="49" t="str">
        <f t="shared" si="1"/>
        <v/>
      </c>
      <c r="R11" s="49" t="str">
        <f t="shared" si="1"/>
        <v/>
      </c>
      <c r="S11" s="49" t="str">
        <f t="shared" si="1"/>
        <v/>
      </c>
      <c r="T11" s="49" t="str">
        <f t="shared" si="1"/>
        <v/>
      </c>
      <c r="U11" s="49" t="str">
        <f t="shared" si="1"/>
        <v/>
      </c>
      <c r="V11" s="49" t="str">
        <f t="shared" si="1"/>
        <v/>
      </c>
      <c r="W11" s="49" t="str">
        <f t="shared" si="1"/>
        <v/>
      </c>
      <c r="X11" s="49" t="str">
        <f t="shared" si="1"/>
        <v/>
      </c>
      <c r="Y11" s="49" t="str">
        <f t="shared" si="1"/>
        <v/>
      </c>
      <c r="Z11" s="49" t="str">
        <f t="shared" si="1"/>
        <v/>
      </c>
      <c r="AA11" s="49" t="str">
        <f t="shared" si="1"/>
        <v/>
      </c>
      <c r="AB11" s="49" t="str">
        <f t="shared" si="1"/>
        <v/>
      </c>
      <c r="AC11" s="49" t="str">
        <f t="shared" si="1"/>
        <v/>
      </c>
      <c r="AD11" s="49" t="str">
        <f t="shared" si="1"/>
        <v/>
      </c>
      <c r="AE11" s="49" t="str">
        <f t="shared" si="1"/>
        <v/>
      </c>
      <c r="AF11" s="49" t="str">
        <f t="shared" si="1"/>
        <v/>
      </c>
      <c r="AG11" s="49" t="str">
        <f t="shared" si="1"/>
        <v/>
      </c>
      <c r="AH11" s="44">
        <f>SUM(AH9:AH10)</f>
        <v>0</v>
      </c>
      <c r="AI11" s="45">
        <f>SUM(AI9:AI10)</f>
        <v>7</v>
      </c>
      <c r="AJ11" s="45">
        <f>SUM(AJ9:AJ10)</f>
        <v>0</v>
      </c>
      <c r="AK11" s="45">
        <f>SUM(AK9:AK10)</f>
        <v>0</v>
      </c>
      <c r="AL11" s="45">
        <f>SUM(AL9:AL10)</f>
        <v>0</v>
      </c>
      <c r="AM11" s="50">
        <f>Juin!AM11</f>
        <v>10.32</v>
      </c>
      <c r="AN11" s="51">
        <f>IF(A10="","",IF(A10&gt;NomMois,0,IF(A10&lt;$A$3,2.08,(NETWORKDAYS(A10,$A$2)/21.66667)*2.08)))</f>
        <v>2.08</v>
      </c>
      <c r="AO11" s="51">
        <f>IF( AN11="",0,+AN11+Octobre!AO11)</f>
        <v>12.48</v>
      </c>
      <c r="AP11" s="50"/>
      <c r="AQ11" s="45">
        <f>+AM11-AI11</f>
        <v>3.3200000000000003</v>
      </c>
      <c r="AR11" s="45">
        <f>+AP11-AJ11</f>
        <v>0</v>
      </c>
      <c r="AS11" s="102">
        <f>+AO11+AQ11</f>
        <v>15.8</v>
      </c>
    </row>
    <row r="12" spans="1:45" s="63" customFormat="1" ht="6.75" customHeight="1" x14ac:dyDescent="0.25">
      <c r="A12" s="60"/>
      <c r="B12" s="53"/>
      <c r="C12" s="60"/>
      <c r="D12" s="60"/>
      <c r="E12" s="60"/>
      <c r="F12" s="60"/>
      <c r="G12" s="60"/>
      <c r="H12" s="60"/>
      <c r="I12" s="60"/>
      <c r="J12" s="60"/>
      <c r="K12" s="60"/>
      <c r="L12" s="60"/>
      <c r="M12" s="60"/>
      <c r="N12" s="60"/>
      <c r="O12" s="60"/>
      <c r="P12" s="60"/>
      <c r="Q12" s="60"/>
      <c r="R12" s="60"/>
      <c r="S12" s="60"/>
      <c r="T12" s="60"/>
      <c r="U12" s="60"/>
      <c r="V12" s="60"/>
      <c r="W12" s="60"/>
      <c r="X12" s="60"/>
      <c r="Y12" s="60"/>
      <c r="Z12" s="60"/>
      <c r="AA12" s="60"/>
      <c r="AB12" s="60"/>
      <c r="AC12" s="60"/>
      <c r="AD12" s="60"/>
      <c r="AE12" s="60"/>
      <c r="AF12" s="60"/>
      <c r="AG12" s="60"/>
      <c r="AH12" s="61"/>
      <c r="AI12" s="61"/>
      <c r="AJ12" s="61"/>
      <c r="AK12" s="61"/>
      <c r="AL12" s="61"/>
      <c r="AM12" s="60"/>
      <c r="AN12" s="61"/>
      <c r="AO12" s="61"/>
      <c r="AP12" s="60"/>
      <c r="AQ12" s="61"/>
      <c r="AR12" s="61"/>
      <c r="AS12" s="65"/>
    </row>
    <row r="13" spans="1:45" s="79" customFormat="1" ht="12.95" customHeight="1" x14ac:dyDescent="0.25">
      <c r="A13" s="41"/>
      <c r="B13" s="42" t="s">
        <v>15</v>
      </c>
      <c r="C13" s="67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43"/>
      <c r="AB13" s="43"/>
      <c r="AC13" s="43"/>
      <c r="AD13" s="43"/>
      <c r="AE13" s="43"/>
      <c r="AF13" s="43"/>
      <c r="AG13" s="43"/>
      <c r="AH13" s="44">
        <f>COUNTA(Novembre!$C13:$AG13)</f>
        <v>0</v>
      </c>
      <c r="AI13" s="45">
        <f>(COUNTIFS(Novembre!$C13:$AG13,("cp")))/2+Octobre!AI13</f>
        <v>0.5</v>
      </c>
      <c r="AJ13" s="45">
        <f>COUNTIFS(Novembre!$C13:$AG13,"RTT")/2+Octobre!AJ13</f>
        <v>0</v>
      </c>
      <c r="AK13" s="45">
        <f>COUNTIFS(Novembre!$C13:$AG13,"m")/2+Octobre!AK13</f>
        <v>0</v>
      </c>
      <c r="AL13" s="45">
        <f>COUNTIFS(Novembre!$C13:$AG13,"a")/2+Octobre!AL13</f>
        <v>1.5</v>
      </c>
      <c r="AM13" s="46"/>
      <c r="AN13" s="47"/>
      <c r="AO13" s="47"/>
      <c r="AP13" s="46"/>
      <c r="AQ13" s="47"/>
      <c r="AR13" s="47"/>
      <c r="AS13" s="47"/>
    </row>
    <row r="14" spans="1:45" s="79" customFormat="1" ht="12.95" customHeight="1" x14ac:dyDescent="0.25">
      <c r="A14" s="48"/>
      <c r="B14" s="42" t="s">
        <v>16</v>
      </c>
      <c r="C14" s="67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4">
        <f>COUNTA(Novembre!$C14:$AG14)</f>
        <v>0</v>
      </c>
      <c r="AI14" s="45">
        <f>(COUNTIFS(Novembre!$C14:$AG14,("cp")))/2+Octobre!AI14</f>
        <v>0.5</v>
      </c>
      <c r="AJ14" s="45">
        <f>COUNTIFS(Novembre!$C14:$AG14,"RTT")/2+Octobre!AJ14</f>
        <v>0</v>
      </c>
      <c r="AK14" s="45">
        <f>COUNTIFS(Novembre!$C14:$AG14,"m")/2+Octobre!AK14</f>
        <v>0</v>
      </c>
      <c r="AL14" s="45">
        <f>COUNTIFS(Novembre!$C14:$AG14,"a")/2+Octobre!AL14</f>
        <v>1</v>
      </c>
      <c r="AM14" s="46"/>
      <c r="AN14" s="47"/>
      <c r="AO14" s="47"/>
      <c r="AP14" s="46"/>
      <c r="AQ14" s="47"/>
      <c r="AR14" s="47"/>
      <c r="AS14" s="101">
        <v>43014</v>
      </c>
    </row>
    <row r="15" spans="1:45" s="79" customFormat="1" ht="12.95" customHeight="1" x14ac:dyDescent="0.25">
      <c r="A15" s="41"/>
      <c r="B15" s="42"/>
      <c r="C15" s="49" t="str">
        <f t="shared" ref="C15:AG15" si="2">IF(C13&gt;0,C13,IF(C14&gt;0,C14,""))</f>
        <v/>
      </c>
      <c r="D15" s="49" t="str">
        <f t="shared" si="2"/>
        <v/>
      </c>
      <c r="E15" s="49" t="str">
        <f t="shared" si="2"/>
        <v/>
      </c>
      <c r="F15" s="49" t="str">
        <f t="shared" si="2"/>
        <v/>
      </c>
      <c r="G15" s="49" t="str">
        <f t="shared" si="2"/>
        <v/>
      </c>
      <c r="H15" s="49" t="str">
        <f t="shared" si="2"/>
        <v/>
      </c>
      <c r="I15" s="49" t="str">
        <f t="shared" si="2"/>
        <v/>
      </c>
      <c r="J15" s="49" t="str">
        <f t="shared" si="2"/>
        <v/>
      </c>
      <c r="K15" s="49" t="str">
        <f t="shared" si="2"/>
        <v/>
      </c>
      <c r="L15" s="49" t="str">
        <f t="shared" si="2"/>
        <v/>
      </c>
      <c r="M15" s="49" t="str">
        <f t="shared" si="2"/>
        <v/>
      </c>
      <c r="N15" s="49" t="str">
        <f t="shared" si="2"/>
        <v/>
      </c>
      <c r="O15" s="49" t="str">
        <f t="shared" si="2"/>
        <v/>
      </c>
      <c r="P15" s="49" t="str">
        <f t="shared" si="2"/>
        <v/>
      </c>
      <c r="Q15" s="49" t="str">
        <f t="shared" si="2"/>
        <v/>
      </c>
      <c r="R15" s="49" t="str">
        <f t="shared" si="2"/>
        <v/>
      </c>
      <c r="S15" s="49" t="str">
        <f t="shared" si="2"/>
        <v/>
      </c>
      <c r="T15" s="49" t="str">
        <f t="shared" si="2"/>
        <v/>
      </c>
      <c r="U15" s="49" t="str">
        <f t="shared" si="2"/>
        <v/>
      </c>
      <c r="V15" s="49" t="str">
        <f t="shared" si="2"/>
        <v/>
      </c>
      <c r="W15" s="49" t="str">
        <f t="shared" si="2"/>
        <v/>
      </c>
      <c r="X15" s="49" t="str">
        <f t="shared" si="2"/>
        <v/>
      </c>
      <c r="Y15" s="49" t="str">
        <f t="shared" si="2"/>
        <v/>
      </c>
      <c r="Z15" s="49" t="str">
        <f t="shared" si="2"/>
        <v/>
      </c>
      <c r="AA15" s="49" t="str">
        <f t="shared" si="2"/>
        <v/>
      </c>
      <c r="AB15" s="49" t="str">
        <f t="shared" si="2"/>
        <v/>
      </c>
      <c r="AC15" s="49" t="str">
        <f t="shared" si="2"/>
        <v/>
      </c>
      <c r="AD15" s="49" t="str">
        <f t="shared" si="2"/>
        <v/>
      </c>
      <c r="AE15" s="49" t="str">
        <f t="shared" si="2"/>
        <v/>
      </c>
      <c r="AF15" s="49" t="str">
        <f t="shared" si="2"/>
        <v/>
      </c>
      <c r="AG15" s="49" t="str">
        <f t="shared" si="2"/>
        <v/>
      </c>
      <c r="AH15" s="44">
        <f>SUM(AH13:AH14)</f>
        <v>0</v>
      </c>
      <c r="AI15" s="45">
        <f>SUM(AI13:AI14)</f>
        <v>1</v>
      </c>
      <c r="AJ15" s="45">
        <f>SUM(AJ13:AJ14)</f>
        <v>0</v>
      </c>
      <c r="AK15" s="45">
        <f>SUM(AK13:AK14)</f>
        <v>0</v>
      </c>
      <c r="AL15" s="45">
        <f>SUM(AL13:AL14)</f>
        <v>2.5</v>
      </c>
      <c r="AM15" s="50">
        <f>Juin!AM15</f>
        <v>0</v>
      </c>
      <c r="AN15" s="51" t="str">
        <f>IF(A14="","",IF(A14&gt;NomMois,0,IF(A14&lt;$A$3,2.08,(NETWORKDAYS(A14,$A$2)/21.66667)*2.08)))</f>
        <v/>
      </c>
      <c r="AO15" s="51">
        <f>IF( AN15="",0,+AN15+Octobre!AO15)</f>
        <v>0</v>
      </c>
      <c r="AP15" s="50"/>
      <c r="AQ15" s="45">
        <f>+AM15-AI15</f>
        <v>-1</v>
      </c>
      <c r="AR15" s="45">
        <f>+AP15-AJ15</f>
        <v>0</v>
      </c>
      <c r="AS15" s="102">
        <f>+AO15+AQ15</f>
        <v>-1</v>
      </c>
    </row>
    <row r="16" spans="1:45" s="63" customFormat="1" ht="6.75" customHeight="1" x14ac:dyDescent="0.25">
      <c r="A16" s="60"/>
      <c r="B16" s="42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  <c r="N16" s="64"/>
      <c r="O16" s="64"/>
      <c r="P16" s="64"/>
      <c r="Q16" s="64"/>
      <c r="R16" s="64"/>
      <c r="S16" s="64"/>
      <c r="T16" s="64"/>
      <c r="U16" s="64"/>
      <c r="V16" s="64"/>
      <c r="W16" s="64"/>
      <c r="X16" s="64"/>
      <c r="Y16" s="64"/>
      <c r="Z16" s="64"/>
      <c r="AA16" s="64"/>
      <c r="AB16" s="64"/>
      <c r="AC16" s="64"/>
      <c r="AD16" s="64"/>
      <c r="AE16" s="64"/>
      <c r="AF16" s="64"/>
      <c r="AG16" s="64"/>
      <c r="AH16" s="65"/>
      <c r="AI16" s="65"/>
      <c r="AJ16" s="65"/>
      <c r="AK16" s="65"/>
      <c r="AL16" s="65"/>
      <c r="AM16" s="64"/>
      <c r="AN16" s="65"/>
      <c r="AO16" s="65"/>
      <c r="AP16" s="64"/>
      <c r="AQ16" s="65"/>
      <c r="AR16" s="65"/>
      <c r="AS16" s="65"/>
    </row>
    <row r="17" spans="1:45" s="63" customFormat="1" ht="12.95" customHeight="1" x14ac:dyDescent="0.25">
      <c r="A17" s="41"/>
      <c r="B17" s="42" t="s">
        <v>15</v>
      </c>
      <c r="C17" s="67"/>
      <c r="D17" s="67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4">
        <f>COUNTA(Novembre!$C17:$AG17)</f>
        <v>0</v>
      </c>
      <c r="AI17" s="45">
        <f>(COUNTIFS(Novembre!$C17:$AG17,("cp")))/2+Octobre!AI17</f>
        <v>5</v>
      </c>
      <c r="AJ17" s="45">
        <f>COUNTIFS(Novembre!$C17:$AG17,"RTT")/2+Octobre!AJ17</f>
        <v>0</v>
      </c>
      <c r="AK17" s="45">
        <f>COUNTIFS(Novembre!$C17:$AG17,"m")/2+Octobre!AK17</f>
        <v>0</v>
      </c>
      <c r="AL17" s="45">
        <f>COUNTIFS(Novembre!$C17:$AG17,"a")/2+Octobre!AL17</f>
        <v>0</v>
      </c>
      <c r="AM17" s="46"/>
      <c r="AN17" s="47"/>
      <c r="AO17" s="47"/>
      <c r="AP17" s="46"/>
      <c r="AQ17" s="47"/>
      <c r="AR17" s="47"/>
      <c r="AS17" s="47"/>
    </row>
    <row r="18" spans="1:45" s="63" customFormat="1" ht="12.95" customHeight="1" x14ac:dyDescent="0.25">
      <c r="A18" s="48">
        <v>38923</v>
      </c>
      <c r="B18" s="42" t="s">
        <v>16</v>
      </c>
      <c r="C18" s="67"/>
      <c r="D18" s="67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3"/>
      <c r="AC18" s="43"/>
      <c r="AD18" s="43"/>
      <c r="AE18" s="43"/>
      <c r="AF18" s="43"/>
      <c r="AG18" s="43"/>
      <c r="AH18" s="44">
        <f>COUNTA(Novembre!$C18:$AG18)</f>
        <v>0</v>
      </c>
      <c r="AI18" s="45">
        <f>(COUNTIFS(Novembre!$C18:$AG18,("cp")))/2+Octobre!AI18</f>
        <v>5</v>
      </c>
      <c r="AJ18" s="45">
        <f>COUNTIFS(Novembre!$C18:$AG18,"RTT")/2+Octobre!AJ18</f>
        <v>0</v>
      </c>
      <c r="AK18" s="45">
        <f>COUNTIFS(Novembre!$C18:$AG18,"m")/2+Octobre!AK18</f>
        <v>0</v>
      </c>
      <c r="AL18" s="45">
        <f>COUNTIFS(Novembre!$C18:$AG18,"a")/2+Octobre!AL18</f>
        <v>0</v>
      </c>
      <c r="AM18" s="46"/>
      <c r="AN18" s="47"/>
      <c r="AO18" s="47"/>
      <c r="AP18" s="46"/>
      <c r="AQ18" s="47"/>
      <c r="AR18" s="47"/>
      <c r="AS18" s="101"/>
    </row>
    <row r="19" spans="1:45" s="63" customFormat="1" ht="12.95" customHeight="1" x14ac:dyDescent="0.25">
      <c r="A19" s="41"/>
      <c r="B19" s="42"/>
      <c r="C19" s="49" t="str">
        <f t="shared" ref="C19:AG19" si="3">IF(C17&gt;0,C17,IF(C18&gt;0,C18,""))</f>
        <v/>
      </c>
      <c r="D19" s="49" t="str">
        <f t="shared" si="3"/>
        <v/>
      </c>
      <c r="E19" s="49" t="str">
        <f t="shared" si="3"/>
        <v/>
      </c>
      <c r="F19" s="49" t="str">
        <f t="shared" si="3"/>
        <v/>
      </c>
      <c r="G19" s="49" t="str">
        <f t="shared" si="3"/>
        <v/>
      </c>
      <c r="H19" s="49" t="str">
        <f t="shared" si="3"/>
        <v/>
      </c>
      <c r="I19" s="49" t="str">
        <f t="shared" si="3"/>
        <v/>
      </c>
      <c r="J19" s="49" t="str">
        <f t="shared" si="3"/>
        <v/>
      </c>
      <c r="K19" s="49" t="str">
        <f t="shared" si="3"/>
        <v/>
      </c>
      <c r="L19" s="49" t="str">
        <f t="shared" si="3"/>
        <v/>
      </c>
      <c r="M19" s="49" t="str">
        <f t="shared" si="3"/>
        <v/>
      </c>
      <c r="N19" s="49" t="str">
        <f t="shared" si="3"/>
        <v/>
      </c>
      <c r="O19" s="49" t="str">
        <f t="shared" si="3"/>
        <v/>
      </c>
      <c r="P19" s="49" t="str">
        <f t="shared" si="3"/>
        <v/>
      </c>
      <c r="Q19" s="49" t="str">
        <f t="shared" si="3"/>
        <v/>
      </c>
      <c r="R19" s="49" t="str">
        <f t="shared" si="3"/>
        <v/>
      </c>
      <c r="S19" s="49" t="str">
        <f t="shared" si="3"/>
        <v/>
      </c>
      <c r="T19" s="49" t="str">
        <f t="shared" si="3"/>
        <v/>
      </c>
      <c r="U19" s="49" t="str">
        <f t="shared" si="3"/>
        <v/>
      </c>
      <c r="V19" s="49" t="str">
        <f t="shared" si="3"/>
        <v/>
      </c>
      <c r="W19" s="49" t="str">
        <f t="shared" si="3"/>
        <v/>
      </c>
      <c r="X19" s="49" t="str">
        <f t="shared" si="3"/>
        <v/>
      </c>
      <c r="Y19" s="49" t="str">
        <f t="shared" si="3"/>
        <v/>
      </c>
      <c r="Z19" s="49" t="str">
        <f t="shared" si="3"/>
        <v/>
      </c>
      <c r="AA19" s="49" t="str">
        <f t="shared" si="3"/>
        <v/>
      </c>
      <c r="AB19" s="49" t="str">
        <f t="shared" si="3"/>
        <v/>
      </c>
      <c r="AC19" s="49" t="str">
        <f t="shared" si="3"/>
        <v/>
      </c>
      <c r="AD19" s="49" t="str">
        <f t="shared" si="3"/>
        <v/>
      </c>
      <c r="AE19" s="49" t="str">
        <f t="shared" si="3"/>
        <v/>
      </c>
      <c r="AF19" s="49" t="str">
        <f t="shared" si="3"/>
        <v/>
      </c>
      <c r="AG19" s="49" t="str">
        <f t="shared" si="3"/>
        <v/>
      </c>
      <c r="AH19" s="44">
        <f>SUM(AH17:AH18)</f>
        <v>0</v>
      </c>
      <c r="AI19" s="45">
        <f>SUM(AI17:AI18)</f>
        <v>10</v>
      </c>
      <c r="AJ19" s="45">
        <f>SUM(AJ17:AJ18)</f>
        <v>0</v>
      </c>
      <c r="AK19" s="45">
        <f>SUM(AK17:AK18)</f>
        <v>0</v>
      </c>
      <c r="AL19" s="45">
        <f>SUM(AL17:AL18)</f>
        <v>0</v>
      </c>
      <c r="AM19" s="50">
        <f>Juin!AM19</f>
        <v>24.54</v>
      </c>
      <c r="AN19" s="51">
        <f>IF(A18="","",IF(A18&gt;NomMois,0,IF(A18&lt;$A$3,2.08,(NETWORKDAYS(A18,$A$2)/21.66667)*2.08)))</f>
        <v>2.08</v>
      </c>
      <c r="AO19" s="51">
        <f>IF( AN19="",0,+AN19+Octobre!AO19)</f>
        <v>12.48</v>
      </c>
      <c r="AP19" s="50"/>
      <c r="AQ19" s="45">
        <f>+AM19-AI19</f>
        <v>14.54</v>
      </c>
      <c r="AR19" s="45">
        <f>+AP19-AJ19</f>
        <v>0</v>
      </c>
      <c r="AS19" s="102">
        <f t="shared" ref="AS19" si="4">+AO19+AQ19</f>
        <v>27.02</v>
      </c>
    </row>
    <row r="20" spans="1:45" s="63" customFormat="1" ht="6.75" customHeight="1" x14ac:dyDescent="0.25">
      <c r="A20" s="60"/>
      <c r="B20" s="53"/>
      <c r="C20" s="60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0"/>
      <c r="AG20" s="60"/>
      <c r="AH20" s="61"/>
      <c r="AI20" s="61"/>
      <c r="AJ20" s="61"/>
      <c r="AK20" s="61"/>
      <c r="AL20" s="61"/>
      <c r="AM20" s="60"/>
      <c r="AN20" s="61"/>
      <c r="AO20" s="61"/>
      <c r="AP20" s="60"/>
      <c r="AQ20" s="61"/>
      <c r="AR20" s="61"/>
      <c r="AS20" s="65"/>
    </row>
    <row r="21" spans="1:45" s="63" customFormat="1" ht="12.95" customHeight="1" x14ac:dyDescent="0.25">
      <c r="A21" s="41"/>
      <c r="B21" s="42" t="s">
        <v>15</v>
      </c>
      <c r="C21" s="67"/>
      <c r="D21" s="67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43"/>
      <c r="AC21" s="43"/>
      <c r="AD21" s="43"/>
      <c r="AE21" s="43"/>
      <c r="AF21" s="43"/>
      <c r="AG21" s="43"/>
      <c r="AH21" s="44">
        <f>COUNTA(Novembre!$C21:$AG21)</f>
        <v>0</v>
      </c>
      <c r="AI21" s="45">
        <f>(COUNTIFS(Novembre!$C21:$AG21,("cp")))/2+Octobre!AI21</f>
        <v>1</v>
      </c>
      <c r="AJ21" s="45">
        <f>COUNTIFS(Novembre!$C21:$AG21,"RTT")/2+Octobre!AJ21</f>
        <v>0</v>
      </c>
      <c r="AK21" s="45">
        <f>COUNTIFS(Novembre!$C21:$AG21,"m")/2+Octobre!AK21</f>
        <v>0</v>
      </c>
      <c r="AL21" s="45">
        <f>COUNTIFS(Novembre!$C21:$AG21,"a")/2+Octobre!AL21</f>
        <v>0.5</v>
      </c>
      <c r="AM21" s="46"/>
      <c r="AN21" s="47"/>
      <c r="AO21" s="47"/>
      <c r="AP21" s="46"/>
      <c r="AQ21" s="47"/>
      <c r="AR21" s="47"/>
      <c r="AS21" s="47"/>
    </row>
    <row r="22" spans="1:45" s="63" customFormat="1" ht="12.95" customHeight="1" x14ac:dyDescent="0.25">
      <c r="A22" s="48">
        <v>41824</v>
      </c>
      <c r="B22" s="42" t="s">
        <v>16</v>
      </c>
      <c r="C22" s="67"/>
      <c r="D22" s="67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43"/>
      <c r="AC22" s="43"/>
      <c r="AD22" s="43"/>
      <c r="AE22" s="43"/>
      <c r="AF22" s="43"/>
      <c r="AG22" s="43"/>
      <c r="AH22" s="44">
        <f>COUNTA(Novembre!$C22:$AG22)</f>
        <v>0</v>
      </c>
      <c r="AI22" s="45">
        <f>(COUNTIFS(Novembre!$C22:$AG22,("cp")))/2+Octobre!AI22</f>
        <v>1</v>
      </c>
      <c r="AJ22" s="45">
        <f>COUNTIFS(Novembre!$C22:$AG22,"RTT")/2+Octobre!AJ22</f>
        <v>0</v>
      </c>
      <c r="AK22" s="45">
        <f>COUNTIFS(Novembre!$C22:$AG22,"m")/2+Octobre!AK22</f>
        <v>0</v>
      </c>
      <c r="AL22" s="45">
        <f>COUNTIFS(Novembre!$C22:$AG22,"a")/2+Octobre!AL22</f>
        <v>0.5</v>
      </c>
      <c r="AM22" s="46"/>
      <c r="AN22" s="47"/>
      <c r="AO22" s="47"/>
      <c r="AP22" s="46"/>
      <c r="AQ22" s="47"/>
      <c r="AR22" s="47"/>
      <c r="AS22" s="101"/>
    </row>
    <row r="23" spans="1:45" s="63" customFormat="1" ht="12.95" customHeight="1" x14ac:dyDescent="0.25">
      <c r="A23" s="41"/>
      <c r="B23" s="42"/>
      <c r="C23" s="49" t="str">
        <f t="shared" ref="C23:AG23" si="5">IF(C21&gt;0,C21,IF(C22&gt;0,C22,""))</f>
        <v/>
      </c>
      <c r="D23" s="49" t="str">
        <f t="shared" si="5"/>
        <v/>
      </c>
      <c r="E23" s="49" t="str">
        <f t="shared" si="5"/>
        <v/>
      </c>
      <c r="F23" s="49" t="str">
        <f t="shared" si="5"/>
        <v/>
      </c>
      <c r="G23" s="49" t="str">
        <f t="shared" si="5"/>
        <v/>
      </c>
      <c r="H23" s="49" t="str">
        <f t="shared" si="5"/>
        <v/>
      </c>
      <c r="I23" s="49" t="str">
        <f t="shared" si="5"/>
        <v/>
      </c>
      <c r="J23" s="49" t="str">
        <f t="shared" si="5"/>
        <v/>
      </c>
      <c r="K23" s="49" t="str">
        <f t="shared" si="5"/>
        <v/>
      </c>
      <c r="L23" s="49" t="str">
        <f t="shared" si="5"/>
        <v/>
      </c>
      <c r="M23" s="49" t="str">
        <f t="shared" si="5"/>
        <v/>
      </c>
      <c r="N23" s="49" t="str">
        <f t="shared" si="5"/>
        <v/>
      </c>
      <c r="O23" s="49" t="str">
        <f t="shared" si="5"/>
        <v/>
      </c>
      <c r="P23" s="49" t="str">
        <f t="shared" si="5"/>
        <v/>
      </c>
      <c r="Q23" s="49" t="str">
        <f t="shared" si="5"/>
        <v/>
      </c>
      <c r="R23" s="49" t="str">
        <f t="shared" si="5"/>
        <v/>
      </c>
      <c r="S23" s="49" t="str">
        <f t="shared" si="5"/>
        <v/>
      </c>
      <c r="T23" s="49" t="str">
        <f t="shared" si="5"/>
        <v/>
      </c>
      <c r="U23" s="49" t="str">
        <f t="shared" si="5"/>
        <v/>
      </c>
      <c r="V23" s="49" t="str">
        <f t="shared" si="5"/>
        <v/>
      </c>
      <c r="W23" s="49" t="str">
        <f t="shared" si="5"/>
        <v/>
      </c>
      <c r="X23" s="49" t="str">
        <f t="shared" si="5"/>
        <v/>
      </c>
      <c r="Y23" s="49" t="str">
        <f t="shared" si="5"/>
        <v/>
      </c>
      <c r="Z23" s="49" t="str">
        <f t="shared" si="5"/>
        <v/>
      </c>
      <c r="AA23" s="49" t="str">
        <f t="shared" si="5"/>
        <v/>
      </c>
      <c r="AB23" s="49" t="str">
        <f t="shared" si="5"/>
        <v/>
      </c>
      <c r="AC23" s="49" t="str">
        <f t="shared" si="5"/>
        <v/>
      </c>
      <c r="AD23" s="49" t="str">
        <f t="shared" si="5"/>
        <v/>
      </c>
      <c r="AE23" s="49" t="str">
        <f t="shared" si="5"/>
        <v/>
      </c>
      <c r="AF23" s="49" t="str">
        <f t="shared" si="5"/>
        <v/>
      </c>
      <c r="AG23" s="49" t="str">
        <f t="shared" si="5"/>
        <v/>
      </c>
      <c r="AH23" s="44">
        <f>SUM(AH21:AH22)</f>
        <v>0</v>
      </c>
      <c r="AI23" s="45">
        <f>SUM(AI21:AI22)</f>
        <v>2</v>
      </c>
      <c r="AJ23" s="45">
        <f>SUM(AJ21:AJ22)</f>
        <v>0</v>
      </c>
      <c r="AK23" s="45">
        <f>SUM(AK21:AK22)</f>
        <v>0</v>
      </c>
      <c r="AL23" s="45">
        <f>SUM(AL21:AL22)</f>
        <v>1</v>
      </c>
      <c r="AM23" s="50">
        <f>Juin!AM23</f>
        <v>11.23</v>
      </c>
      <c r="AN23" s="51">
        <f>IF(A22="","",IF(A22&gt;NomMois,0,IF(A22&lt;$A$3,2.08,(NETWORKDAYS(A22,$A$2)/21.66667)*2.08)))</f>
        <v>2.08</v>
      </c>
      <c r="AO23" s="51">
        <f>IF( AN23="",0,+AN23+Octobre!AO23)</f>
        <v>12.48</v>
      </c>
      <c r="AP23" s="50"/>
      <c r="AQ23" s="45">
        <f>+AM23-AI23</f>
        <v>9.23</v>
      </c>
      <c r="AR23" s="45">
        <f>+AP23-AJ23</f>
        <v>0</v>
      </c>
      <c r="AS23" s="102">
        <f t="shared" ref="AS23" si="6">+AO23+AQ23</f>
        <v>21.71</v>
      </c>
    </row>
    <row r="24" spans="1:45" s="63" customFormat="1" ht="6.75" customHeight="1" x14ac:dyDescent="0.25">
      <c r="A24" s="60"/>
      <c r="B24" s="53"/>
      <c r="C24" s="60"/>
      <c r="D24" s="60"/>
      <c r="E24" s="60"/>
      <c r="F24" s="60"/>
      <c r="G24" s="60"/>
      <c r="H24" s="60"/>
      <c r="I24" s="60"/>
      <c r="J24" s="60"/>
      <c r="K24" s="60"/>
      <c r="L24" s="60"/>
      <c r="M24" s="60"/>
      <c r="N24" s="60"/>
      <c r="O24" s="60"/>
      <c r="P24" s="60"/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60"/>
      <c r="AD24" s="60"/>
      <c r="AE24" s="60"/>
      <c r="AF24" s="60"/>
      <c r="AG24" s="60"/>
      <c r="AH24" s="61"/>
      <c r="AI24" s="61"/>
      <c r="AJ24" s="61"/>
      <c r="AK24" s="61"/>
      <c r="AL24" s="61"/>
      <c r="AM24" s="60"/>
      <c r="AN24" s="61"/>
      <c r="AO24" s="61"/>
      <c r="AP24" s="60"/>
      <c r="AQ24" s="61"/>
      <c r="AR24" s="61"/>
      <c r="AS24" s="65"/>
    </row>
    <row r="25" spans="1:45" s="63" customFormat="1" ht="12.95" customHeight="1" x14ac:dyDescent="0.25">
      <c r="A25" s="41"/>
      <c r="B25" s="42" t="s">
        <v>15</v>
      </c>
      <c r="C25" s="67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  <c r="AA25" s="43"/>
      <c r="AB25" s="43"/>
      <c r="AC25" s="43"/>
      <c r="AD25" s="43"/>
      <c r="AE25" s="43"/>
      <c r="AF25" s="43"/>
      <c r="AG25" s="43"/>
      <c r="AH25" s="44">
        <f>COUNTA(Novembre!$C25:$AG25)</f>
        <v>0</v>
      </c>
      <c r="AI25" s="45">
        <f>(COUNTIFS(Novembre!$C25:$AG25,("cp")))/2+Octobre!AI25</f>
        <v>3.5</v>
      </c>
      <c r="AJ25" s="45">
        <f>COUNTIFS(Novembre!$C25:$AG25,"RTT")/2+Octobre!AJ25</f>
        <v>0</v>
      </c>
      <c r="AK25" s="45">
        <f>COUNTIFS(Novembre!$C25:$AG25,"m")/2+Octobre!AK25</f>
        <v>0</v>
      </c>
      <c r="AL25" s="45">
        <f>COUNTIFS(Novembre!$C25:$AG25,"a")/2+Octobre!AL25</f>
        <v>0</v>
      </c>
      <c r="AM25" s="46"/>
      <c r="AN25" s="47"/>
      <c r="AO25" s="47"/>
      <c r="AP25" s="46"/>
      <c r="AQ25" s="47"/>
      <c r="AR25" s="47"/>
      <c r="AS25" s="47"/>
    </row>
    <row r="26" spans="1:45" s="63" customFormat="1" ht="12.95" customHeight="1" x14ac:dyDescent="0.25">
      <c r="A26" s="48">
        <v>38626</v>
      </c>
      <c r="B26" s="42" t="s">
        <v>16</v>
      </c>
      <c r="C26" s="67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43"/>
      <c r="AB26" s="43"/>
      <c r="AC26" s="43"/>
      <c r="AD26" s="43"/>
      <c r="AE26" s="43"/>
      <c r="AF26" s="43"/>
      <c r="AG26" s="43"/>
      <c r="AH26" s="44">
        <f>COUNTA(Novembre!$C26:$AG26)</f>
        <v>0</v>
      </c>
      <c r="AI26" s="45">
        <f>(COUNTIFS(Novembre!$C26:$AG26,("cp")))/2+Octobre!AI26</f>
        <v>3.5</v>
      </c>
      <c r="AJ26" s="45">
        <f>COUNTIFS(Novembre!$C26:$AG26,"RTT")/2+Octobre!AJ26</f>
        <v>0</v>
      </c>
      <c r="AK26" s="45">
        <f>COUNTIFS(Novembre!$C26:$AG26,"m")/2+Octobre!AK26</f>
        <v>0</v>
      </c>
      <c r="AL26" s="45">
        <f>COUNTIFS(Novembre!$C26:$AG26,"a")/2+Octobre!AL26</f>
        <v>0</v>
      </c>
      <c r="AM26" s="46"/>
      <c r="AN26" s="47"/>
      <c r="AO26" s="47"/>
      <c r="AP26" s="46"/>
      <c r="AQ26" s="47"/>
      <c r="AR26" s="47"/>
      <c r="AS26" s="101"/>
    </row>
    <row r="27" spans="1:45" s="63" customFormat="1" ht="12.95" customHeight="1" x14ac:dyDescent="0.25">
      <c r="A27" s="41"/>
      <c r="B27" s="42"/>
      <c r="C27" s="49" t="str">
        <f t="shared" ref="C27:AG27" si="7">IF(C25&gt;0,C25,IF(C26&gt;0,C26,""))</f>
        <v/>
      </c>
      <c r="D27" s="49" t="str">
        <f t="shared" si="7"/>
        <v/>
      </c>
      <c r="E27" s="49" t="str">
        <f t="shared" si="7"/>
        <v/>
      </c>
      <c r="F27" s="49" t="str">
        <f t="shared" si="7"/>
        <v/>
      </c>
      <c r="G27" s="49" t="str">
        <f t="shared" si="7"/>
        <v/>
      </c>
      <c r="H27" s="49" t="str">
        <f t="shared" si="7"/>
        <v/>
      </c>
      <c r="I27" s="49" t="str">
        <f t="shared" si="7"/>
        <v/>
      </c>
      <c r="J27" s="49" t="str">
        <f t="shared" si="7"/>
        <v/>
      </c>
      <c r="K27" s="49" t="str">
        <f t="shared" si="7"/>
        <v/>
      </c>
      <c r="L27" s="49" t="str">
        <f t="shared" si="7"/>
        <v/>
      </c>
      <c r="M27" s="49" t="str">
        <f t="shared" si="7"/>
        <v/>
      </c>
      <c r="N27" s="49" t="str">
        <f t="shared" si="7"/>
        <v/>
      </c>
      <c r="O27" s="49" t="str">
        <f t="shared" si="7"/>
        <v/>
      </c>
      <c r="P27" s="49" t="str">
        <f t="shared" si="7"/>
        <v/>
      </c>
      <c r="Q27" s="49" t="str">
        <f t="shared" si="7"/>
        <v/>
      </c>
      <c r="R27" s="49" t="str">
        <f t="shared" si="7"/>
        <v/>
      </c>
      <c r="S27" s="49" t="str">
        <f t="shared" si="7"/>
        <v/>
      </c>
      <c r="T27" s="49" t="str">
        <f t="shared" si="7"/>
        <v/>
      </c>
      <c r="U27" s="49" t="str">
        <f t="shared" si="7"/>
        <v/>
      </c>
      <c r="V27" s="49" t="str">
        <f t="shared" si="7"/>
        <v/>
      </c>
      <c r="W27" s="49" t="str">
        <f t="shared" si="7"/>
        <v/>
      </c>
      <c r="X27" s="49" t="str">
        <f t="shared" si="7"/>
        <v/>
      </c>
      <c r="Y27" s="49" t="str">
        <f t="shared" si="7"/>
        <v/>
      </c>
      <c r="Z27" s="49" t="str">
        <f t="shared" si="7"/>
        <v/>
      </c>
      <c r="AA27" s="49" t="str">
        <f t="shared" si="7"/>
        <v/>
      </c>
      <c r="AB27" s="49" t="str">
        <f t="shared" si="7"/>
        <v/>
      </c>
      <c r="AC27" s="49" t="str">
        <f t="shared" si="7"/>
        <v/>
      </c>
      <c r="AD27" s="49" t="str">
        <f t="shared" si="7"/>
        <v/>
      </c>
      <c r="AE27" s="49" t="str">
        <f t="shared" si="7"/>
        <v/>
      </c>
      <c r="AF27" s="49" t="str">
        <f t="shared" si="7"/>
        <v/>
      </c>
      <c r="AG27" s="49" t="str">
        <f t="shared" si="7"/>
        <v/>
      </c>
      <c r="AH27" s="44">
        <f>SUM(AH25:AH26)</f>
        <v>0</v>
      </c>
      <c r="AI27" s="45">
        <f>SUM(AI25:AI26)</f>
        <v>7</v>
      </c>
      <c r="AJ27" s="45">
        <f>SUM(AJ25:AJ26)</f>
        <v>0</v>
      </c>
      <c r="AK27" s="45">
        <f>SUM(AK25:AK26)</f>
        <v>0</v>
      </c>
      <c r="AL27" s="45">
        <f>SUM(AL25:AL26)</f>
        <v>0</v>
      </c>
      <c r="AM27" s="50">
        <f>Juin!AM27</f>
        <v>28.7</v>
      </c>
      <c r="AN27" s="51">
        <f>IF(A26="","",IF(A26&gt;NomMois,0,IF(A26&lt;$A$3,2.08,(NETWORKDAYS(A26,$A$2)/21.66667)*2.08)))</f>
        <v>2.08</v>
      </c>
      <c r="AO27" s="51">
        <f>IF( AN27="",0,+AN27+Octobre!AO27)</f>
        <v>12.48</v>
      </c>
      <c r="AP27" s="50"/>
      <c r="AQ27" s="45">
        <f>+AM27-AI27</f>
        <v>21.7</v>
      </c>
      <c r="AR27" s="45">
        <f>+AP27-AJ27</f>
        <v>0</v>
      </c>
      <c r="AS27" s="102">
        <f t="shared" ref="AS27" si="8">+AO27+AQ27</f>
        <v>34.18</v>
      </c>
    </row>
    <row r="28" spans="1:45" s="63" customFormat="1" ht="6.75" customHeight="1" x14ac:dyDescent="0.25">
      <c r="A28" s="60"/>
      <c r="B28" s="53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1"/>
      <c r="AI28" s="61"/>
      <c r="AJ28" s="61"/>
      <c r="AK28" s="61"/>
      <c r="AL28" s="61"/>
      <c r="AM28" s="60"/>
      <c r="AN28" s="61"/>
      <c r="AO28" s="61"/>
      <c r="AP28" s="60"/>
      <c r="AQ28" s="61"/>
      <c r="AR28" s="61"/>
      <c r="AS28" s="65"/>
    </row>
    <row r="29" spans="1:45" s="63" customFormat="1" ht="12.95" customHeight="1" x14ac:dyDescent="0.25">
      <c r="A29" s="41"/>
      <c r="B29" s="42" t="s">
        <v>15</v>
      </c>
      <c r="C29" s="67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4">
        <f>COUNTA(Novembre!$C29:$AG29)</f>
        <v>0</v>
      </c>
      <c r="AI29" s="45">
        <f>(COUNTIFS(Novembre!$C29:$AG29,("cp")))/2+Octobre!AI29</f>
        <v>7.5</v>
      </c>
      <c r="AJ29" s="45">
        <f>COUNTIFS(Novembre!$C29:$AG29,"RTT")/2+Octobre!AJ29</f>
        <v>0</v>
      </c>
      <c r="AK29" s="45">
        <f>COUNTIFS(Novembre!$C29:$AG29,"m")/2+Octobre!AK29</f>
        <v>0</v>
      </c>
      <c r="AL29" s="45">
        <f>COUNTIFS(Novembre!$C29:$AG29,"a")/2+Octobre!AL29</f>
        <v>0</v>
      </c>
      <c r="AM29" s="46"/>
      <c r="AN29" s="47"/>
      <c r="AO29" s="47"/>
      <c r="AP29" s="46"/>
      <c r="AQ29" s="47"/>
      <c r="AR29" s="47"/>
      <c r="AS29" s="47"/>
    </row>
    <row r="30" spans="1:45" s="63" customFormat="1" ht="12.95" customHeight="1" x14ac:dyDescent="0.25">
      <c r="A30" s="48">
        <v>36892</v>
      </c>
      <c r="B30" s="42" t="s">
        <v>16</v>
      </c>
      <c r="C30" s="67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4">
        <f>COUNTA(Novembre!$C30:$AG30)</f>
        <v>0</v>
      </c>
      <c r="AI30" s="45">
        <f>(COUNTIFS(Novembre!$C30:$AG30,("cp")))/2+Octobre!AI30</f>
        <v>8</v>
      </c>
      <c r="AJ30" s="45">
        <f>COUNTIFS(Novembre!$C30:$AG30,"RTT")/2+Octobre!AJ30</f>
        <v>0</v>
      </c>
      <c r="AK30" s="45">
        <f>COUNTIFS(Novembre!$C30:$AG30,"m")/2+Octobre!AK30</f>
        <v>0</v>
      </c>
      <c r="AL30" s="45">
        <f>COUNTIFS(Novembre!$C30:$AG30,"a")/2+Octobre!AL30</f>
        <v>0</v>
      </c>
      <c r="AM30" s="46"/>
      <c r="AN30" s="47"/>
      <c r="AO30" s="47"/>
      <c r="AP30" s="46"/>
      <c r="AQ30" s="47"/>
      <c r="AR30" s="47"/>
      <c r="AS30" s="101"/>
    </row>
    <row r="31" spans="1:45" s="63" customFormat="1" ht="12.95" customHeight="1" x14ac:dyDescent="0.25">
      <c r="A31" s="41"/>
      <c r="B31" s="42"/>
      <c r="C31" s="49" t="str">
        <f t="shared" ref="C31:AG31" si="9">IF(C29&gt;0,C29,IF(C30&gt;0,C30,""))</f>
        <v/>
      </c>
      <c r="D31" s="49" t="str">
        <f t="shared" si="9"/>
        <v/>
      </c>
      <c r="E31" s="49" t="str">
        <f t="shared" si="9"/>
        <v/>
      </c>
      <c r="F31" s="49" t="str">
        <f t="shared" si="9"/>
        <v/>
      </c>
      <c r="G31" s="49" t="str">
        <f t="shared" si="9"/>
        <v/>
      </c>
      <c r="H31" s="49" t="str">
        <f t="shared" si="9"/>
        <v/>
      </c>
      <c r="I31" s="49" t="str">
        <f t="shared" si="9"/>
        <v/>
      </c>
      <c r="J31" s="49" t="str">
        <f t="shared" si="9"/>
        <v/>
      </c>
      <c r="K31" s="49" t="str">
        <f t="shared" si="9"/>
        <v/>
      </c>
      <c r="L31" s="49" t="str">
        <f t="shared" si="9"/>
        <v/>
      </c>
      <c r="M31" s="49" t="str">
        <f t="shared" si="9"/>
        <v/>
      </c>
      <c r="N31" s="49" t="str">
        <f t="shared" si="9"/>
        <v/>
      </c>
      <c r="O31" s="49" t="str">
        <f t="shared" si="9"/>
        <v/>
      </c>
      <c r="P31" s="49" t="str">
        <f t="shared" si="9"/>
        <v/>
      </c>
      <c r="Q31" s="49" t="str">
        <f t="shared" si="9"/>
        <v/>
      </c>
      <c r="R31" s="49" t="str">
        <f t="shared" si="9"/>
        <v/>
      </c>
      <c r="S31" s="49" t="str">
        <f t="shared" si="9"/>
        <v/>
      </c>
      <c r="T31" s="49" t="str">
        <f t="shared" si="9"/>
        <v/>
      </c>
      <c r="U31" s="49" t="str">
        <f t="shared" si="9"/>
        <v/>
      </c>
      <c r="V31" s="49" t="str">
        <f t="shared" si="9"/>
        <v/>
      </c>
      <c r="W31" s="49" t="str">
        <f t="shared" si="9"/>
        <v/>
      </c>
      <c r="X31" s="49" t="str">
        <f t="shared" si="9"/>
        <v/>
      </c>
      <c r="Y31" s="49" t="str">
        <f t="shared" si="9"/>
        <v/>
      </c>
      <c r="Z31" s="49" t="str">
        <f t="shared" si="9"/>
        <v/>
      </c>
      <c r="AA31" s="49" t="str">
        <f t="shared" si="9"/>
        <v/>
      </c>
      <c r="AB31" s="49" t="str">
        <f t="shared" si="9"/>
        <v/>
      </c>
      <c r="AC31" s="49" t="str">
        <f t="shared" si="9"/>
        <v/>
      </c>
      <c r="AD31" s="49" t="str">
        <f t="shared" si="9"/>
        <v/>
      </c>
      <c r="AE31" s="49" t="str">
        <f t="shared" si="9"/>
        <v/>
      </c>
      <c r="AF31" s="49" t="str">
        <f t="shared" si="9"/>
        <v/>
      </c>
      <c r="AG31" s="49" t="str">
        <f t="shared" si="9"/>
        <v/>
      </c>
      <c r="AH31" s="44">
        <f>SUM(AH29:AH30)</f>
        <v>0</v>
      </c>
      <c r="AI31" s="45">
        <f>SUM(AI29:AI30)</f>
        <v>15.5</v>
      </c>
      <c r="AJ31" s="45">
        <f>SUM(AJ29:AJ30)</f>
        <v>0</v>
      </c>
      <c r="AK31" s="45">
        <f>SUM(AK29:AK30)</f>
        <v>0</v>
      </c>
      <c r="AL31" s="45">
        <f>SUM(AL29:AL30)</f>
        <v>0</v>
      </c>
      <c r="AM31" s="50">
        <f>Juin!AM31</f>
        <v>30.37</v>
      </c>
      <c r="AN31" s="51">
        <f>IF(A30="","",IF(A30&gt;NomMois,0,IF(A30&lt;$A$3,2.08,(NETWORKDAYS(A30,$A$2)/21.66667)*2.08)))</f>
        <v>2.08</v>
      </c>
      <c r="AO31" s="51">
        <f>IF( AN31="",0,+AN31+Octobre!AO31)</f>
        <v>12.48</v>
      </c>
      <c r="AP31" s="50"/>
      <c r="AQ31" s="45">
        <f>+AM31-AI31</f>
        <v>14.870000000000001</v>
      </c>
      <c r="AR31" s="45">
        <f>+AP31-AJ31</f>
        <v>0</v>
      </c>
      <c r="AS31" s="102">
        <f t="shared" ref="AS31:AS91" si="10">+AO31+AQ31</f>
        <v>27.35</v>
      </c>
    </row>
    <row r="32" spans="1:45" s="63" customFormat="1" ht="6.75" customHeight="1" x14ac:dyDescent="0.25">
      <c r="A32" s="60"/>
      <c r="B32" s="53"/>
      <c r="C32" s="60"/>
      <c r="D32" s="60"/>
      <c r="E32" s="60"/>
      <c r="F32" s="60"/>
      <c r="G32" s="60"/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1"/>
      <c r="AI32" s="61"/>
      <c r="AJ32" s="61"/>
      <c r="AK32" s="61"/>
      <c r="AL32" s="61"/>
      <c r="AM32" s="60"/>
      <c r="AN32" s="61"/>
      <c r="AO32" s="61"/>
      <c r="AP32" s="60"/>
      <c r="AQ32" s="69"/>
      <c r="AR32" s="69"/>
      <c r="AS32" s="65"/>
    </row>
    <row r="33" spans="1:45" s="63" customFormat="1" ht="12.95" customHeight="1" x14ac:dyDescent="0.25">
      <c r="A33" s="41"/>
      <c r="B33" s="42" t="s">
        <v>15</v>
      </c>
      <c r="C33" s="67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4">
        <f>COUNTA(Novembre!$C33:$AG33)</f>
        <v>0</v>
      </c>
      <c r="AI33" s="45">
        <f>(COUNTIFS(Novembre!$C33:$AG33,("cp")))/2+Octobre!AI33</f>
        <v>8</v>
      </c>
      <c r="AJ33" s="45">
        <f>COUNTIFS(Novembre!$C33:$AG33,"RTT")/2+Octobre!AJ33</f>
        <v>0</v>
      </c>
      <c r="AK33" s="45">
        <f>COUNTIFS(Novembre!$C33:$AG33,"m")/2+Octobre!AK33</f>
        <v>0</v>
      </c>
      <c r="AL33" s="45">
        <f>COUNTIFS(Novembre!$C33:$AG33,"a")/2+Octobre!AL33</f>
        <v>0</v>
      </c>
      <c r="AM33" s="46"/>
      <c r="AN33" s="47"/>
      <c r="AO33" s="47"/>
      <c r="AP33" s="46"/>
      <c r="AQ33" s="47"/>
      <c r="AR33" s="47"/>
      <c r="AS33" s="47"/>
    </row>
    <row r="34" spans="1:45" s="63" customFormat="1" ht="12.95" customHeight="1" x14ac:dyDescent="0.25">
      <c r="A34" s="48">
        <v>42110</v>
      </c>
      <c r="B34" s="42" t="s">
        <v>16</v>
      </c>
      <c r="C34" s="67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3"/>
      <c r="AE34" s="43"/>
      <c r="AF34" s="43"/>
      <c r="AG34" s="43"/>
      <c r="AH34" s="44">
        <f>COUNTA(Novembre!$C34:$AG34)</f>
        <v>0</v>
      </c>
      <c r="AI34" s="45">
        <f>(COUNTIFS(Novembre!$C34:$AG34,("cp")))/2+Octobre!AI34</f>
        <v>8</v>
      </c>
      <c r="AJ34" s="45">
        <f>COUNTIFS(Novembre!$C34:$AG34,"RTT")/2+Octobre!AJ34</f>
        <v>0</v>
      </c>
      <c r="AK34" s="45">
        <f>COUNTIFS(Novembre!$C34:$AG34,"m")/2+Octobre!AK34</f>
        <v>0</v>
      </c>
      <c r="AL34" s="45">
        <f>COUNTIFS(Novembre!$C34:$AG34,"a")/2+Octobre!AL34</f>
        <v>0</v>
      </c>
      <c r="AM34" s="46"/>
      <c r="AN34" s="47"/>
      <c r="AO34" s="47"/>
      <c r="AP34" s="46"/>
      <c r="AQ34" s="47"/>
      <c r="AR34" s="47"/>
      <c r="AS34" s="101"/>
    </row>
    <row r="35" spans="1:45" s="63" customFormat="1" ht="12.95" customHeight="1" x14ac:dyDescent="0.25">
      <c r="A35" s="41"/>
      <c r="B35" s="42"/>
      <c r="C35" s="49" t="str">
        <f t="shared" ref="C35:AG35" si="11">IF(C33&gt;0,C33,IF(C34&gt;0,C34,""))</f>
        <v/>
      </c>
      <c r="D35" s="49" t="str">
        <f t="shared" si="11"/>
        <v/>
      </c>
      <c r="E35" s="49" t="str">
        <f t="shared" si="11"/>
        <v/>
      </c>
      <c r="F35" s="49" t="str">
        <f t="shared" si="11"/>
        <v/>
      </c>
      <c r="G35" s="49" t="str">
        <f t="shared" si="11"/>
        <v/>
      </c>
      <c r="H35" s="49" t="str">
        <f t="shared" si="11"/>
        <v/>
      </c>
      <c r="I35" s="49" t="str">
        <f t="shared" si="11"/>
        <v/>
      </c>
      <c r="J35" s="49" t="str">
        <f t="shared" si="11"/>
        <v/>
      </c>
      <c r="K35" s="49" t="str">
        <f t="shared" si="11"/>
        <v/>
      </c>
      <c r="L35" s="49" t="str">
        <f t="shared" si="11"/>
        <v/>
      </c>
      <c r="M35" s="49" t="str">
        <f t="shared" si="11"/>
        <v/>
      </c>
      <c r="N35" s="49" t="str">
        <f t="shared" si="11"/>
        <v/>
      </c>
      <c r="O35" s="49" t="str">
        <f t="shared" si="11"/>
        <v/>
      </c>
      <c r="P35" s="49" t="str">
        <f t="shared" si="11"/>
        <v/>
      </c>
      <c r="Q35" s="49" t="str">
        <f t="shared" si="11"/>
        <v/>
      </c>
      <c r="R35" s="49" t="str">
        <f t="shared" si="11"/>
        <v/>
      </c>
      <c r="S35" s="49" t="str">
        <f t="shared" si="11"/>
        <v/>
      </c>
      <c r="T35" s="49" t="str">
        <f t="shared" si="11"/>
        <v/>
      </c>
      <c r="U35" s="49" t="str">
        <f t="shared" si="11"/>
        <v/>
      </c>
      <c r="V35" s="49" t="str">
        <f t="shared" si="11"/>
        <v/>
      </c>
      <c r="W35" s="49" t="str">
        <f t="shared" si="11"/>
        <v/>
      </c>
      <c r="X35" s="49" t="str">
        <f t="shared" si="11"/>
        <v/>
      </c>
      <c r="Y35" s="49" t="str">
        <f t="shared" si="11"/>
        <v/>
      </c>
      <c r="Z35" s="49" t="str">
        <f t="shared" si="11"/>
        <v/>
      </c>
      <c r="AA35" s="49" t="str">
        <f t="shared" si="11"/>
        <v/>
      </c>
      <c r="AB35" s="49" t="str">
        <f t="shared" si="11"/>
        <v/>
      </c>
      <c r="AC35" s="49" t="str">
        <f t="shared" si="11"/>
        <v/>
      </c>
      <c r="AD35" s="49" t="str">
        <f t="shared" si="11"/>
        <v/>
      </c>
      <c r="AE35" s="49" t="str">
        <f t="shared" si="11"/>
        <v/>
      </c>
      <c r="AF35" s="49" t="str">
        <f t="shared" si="11"/>
        <v/>
      </c>
      <c r="AG35" s="49" t="str">
        <f t="shared" si="11"/>
        <v/>
      </c>
      <c r="AH35" s="44">
        <f>SUM(AH33:AH34)</f>
        <v>0</v>
      </c>
      <c r="AI35" s="45">
        <f>SUM(AI33:AI34)</f>
        <v>16</v>
      </c>
      <c r="AJ35" s="45">
        <f>SUM(AJ33:AJ34)</f>
        <v>0</v>
      </c>
      <c r="AK35" s="45">
        <f>SUM(AK33:AK34)</f>
        <v>0</v>
      </c>
      <c r="AL35" s="45">
        <f>SUM(AL33:AL34)</f>
        <v>0</v>
      </c>
      <c r="AM35" s="50">
        <f>Juin!AM35</f>
        <v>14.56</v>
      </c>
      <c r="AN35" s="51">
        <f>IF(A34="","",IF(A34&gt;NomMois,0,IF(A34&lt;$A$3,2.08,(NETWORKDAYS(A34,$A$2)/21.66667)*2.08)))</f>
        <v>2.08</v>
      </c>
      <c r="AO35" s="51">
        <f>IF( AN35="",0,+AN35+Octobre!AO35)</f>
        <v>12.48</v>
      </c>
      <c r="AP35" s="50"/>
      <c r="AQ35" s="45">
        <f>+AM35-AI35</f>
        <v>-1.4399999999999995</v>
      </c>
      <c r="AR35" s="45">
        <f>+AP35-AJ35</f>
        <v>0</v>
      </c>
      <c r="AS35" s="102">
        <f t="shared" si="10"/>
        <v>11.040000000000001</v>
      </c>
    </row>
    <row r="36" spans="1:45" s="63" customFormat="1" ht="6.75" customHeight="1" x14ac:dyDescent="0.25">
      <c r="A36" s="60"/>
      <c r="B36" s="53"/>
      <c r="C36" s="60"/>
      <c r="D36" s="60"/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0"/>
      <c r="Z36" s="60"/>
      <c r="AA36" s="60"/>
      <c r="AB36" s="60"/>
      <c r="AC36" s="60"/>
      <c r="AD36" s="60"/>
      <c r="AE36" s="60"/>
      <c r="AF36" s="60"/>
      <c r="AG36" s="60"/>
      <c r="AH36" s="61"/>
      <c r="AI36" s="61"/>
      <c r="AJ36" s="61"/>
      <c r="AK36" s="61"/>
      <c r="AL36" s="61"/>
      <c r="AM36" s="60"/>
      <c r="AN36" s="61"/>
      <c r="AO36" s="61"/>
      <c r="AP36" s="60"/>
      <c r="AQ36" s="61"/>
      <c r="AR36" s="61"/>
      <c r="AS36" s="65"/>
    </row>
    <row r="37" spans="1:45" s="63" customFormat="1" ht="12.95" customHeight="1" x14ac:dyDescent="0.25">
      <c r="A37" s="41"/>
      <c r="B37" s="42" t="s">
        <v>15</v>
      </c>
      <c r="C37" s="67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 t="s">
        <v>7</v>
      </c>
      <c r="W37" s="43"/>
      <c r="X37" s="43"/>
      <c r="Y37" s="43"/>
      <c r="Z37" s="43"/>
      <c r="AA37" s="43"/>
      <c r="AB37" s="43"/>
      <c r="AC37" s="43"/>
      <c r="AD37" s="43"/>
      <c r="AE37" s="43"/>
      <c r="AF37" s="43"/>
      <c r="AG37" s="43"/>
      <c r="AH37" s="44">
        <f>COUNTA(Novembre!$C37:$AG37)</f>
        <v>1</v>
      </c>
      <c r="AI37" s="45">
        <f>(COUNTIFS(Novembre!$C37:$AG37,("cp")))/2+Octobre!AI37</f>
        <v>6</v>
      </c>
      <c r="AJ37" s="45">
        <f>COUNTIFS(Novembre!$C37:$AG37,"RTT")/2+Octobre!AJ37</f>
        <v>0</v>
      </c>
      <c r="AK37" s="45">
        <f>COUNTIFS(Novembre!$C37:$AG37,"m")/2+Octobre!AK37</f>
        <v>0</v>
      </c>
      <c r="AL37" s="45">
        <f>COUNTIFS(Novembre!$C37:$AG37,"a")/2+Octobre!AL37</f>
        <v>0</v>
      </c>
      <c r="AM37" s="46"/>
      <c r="AN37" s="47"/>
      <c r="AO37" s="47"/>
      <c r="AP37" s="46"/>
      <c r="AQ37" s="47"/>
      <c r="AR37" s="47"/>
      <c r="AS37" s="47"/>
    </row>
    <row r="38" spans="1:45" s="63" customFormat="1" ht="12.95" customHeight="1" x14ac:dyDescent="0.25">
      <c r="A38" s="48">
        <v>42373</v>
      </c>
      <c r="B38" s="42" t="s">
        <v>16</v>
      </c>
      <c r="C38" s="67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 t="s">
        <v>7</v>
      </c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4">
        <f>COUNTA(Novembre!$C38:$AG38)</f>
        <v>1</v>
      </c>
      <c r="AI38" s="45">
        <f>(COUNTIFS(Novembre!$C38:$AG38,("cp")))/2+Octobre!AI38</f>
        <v>6</v>
      </c>
      <c r="AJ38" s="45">
        <f>COUNTIFS(Novembre!$C38:$AG38,"RTT")/2+Octobre!AJ38</f>
        <v>0</v>
      </c>
      <c r="AK38" s="45">
        <f>COUNTIFS(Novembre!$C38:$AG38,"m")/2+Octobre!AK38</f>
        <v>0</v>
      </c>
      <c r="AL38" s="45">
        <f>COUNTIFS(Novembre!$C38:$AG38,"a")/2+Octobre!AL38</f>
        <v>0</v>
      </c>
      <c r="AM38" s="46"/>
      <c r="AN38" s="47"/>
      <c r="AO38" s="47"/>
      <c r="AP38" s="46"/>
      <c r="AQ38" s="47"/>
      <c r="AR38" s="47"/>
      <c r="AS38" s="101"/>
    </row>
    <row r="39" spans="1:45" s="63" customFormat="1" ht="12.95" customHeight="1" x14ac:dyDescent="0.25">
      <c r="A39" s="41"/>
      <c r="B39" s="42"/>
      <c r="C39" s="49" t="str">
        <f t="shared" ref="C39:AG39" si="12">IF(C37&gt;0,C37,IF(C38&gt;0,C38,""))</f>
        <v/>
      </c>
      <c r="D39" s="49" t="str">
        <f t="shared" si="12"/>
        <v/>
      </c>
      <c r="E39" s="49" t="str">
        <f t="shared" si="12"/>
        <v/>
      </c>
      <c r="F39" s="49" t="str">
        <f t="shared" si="12"/>
        <v/>
      </c>
      <c r="G39" s="49" t="str">
        <f t="shared" si="12"/>
        <v/>
      </c>
      <c r="H39" s="49" t="str">
        <f t="shared" si="12"/>
        <v/>
      </c>
      <c r="I39" s="49" t="str">
        <f t="shared" si="12"/>
        <v/>
      </c>
      <c r="J39" s="49" t="str">
        <f t="shared" si="12"/>
        <v/>
      </c>
      <c r="K39" s="49" t="str">
        <f t="shared" si="12"/>
        <v/>
      </c>
      <c r="L39" s="49" t="str">
        <f t="shared" si="12"/>
        <v/>
      </c>
      <c r="M39" s="49" t="str">
        <f t="shared" si="12"/>
        <v/>
      </c>
      <c r="N39" s="49" t="str">
        <f t="shared" si="12"/>
        <v/>
      </c>
      <c r="O39" s="49" t="str">
        <f t="shared" si="12"/>
        <v/>
      </c>
      <c r="P39" s="49" t="str">
        <f t="shared" si="12"/>
        <v/>
      </c>
      <c r="Q39" s="49" t="str">
        <f t="shared" si="12"/>
        <v/>
      </c>
      <c r="R39" s="49" t="str">
        <f t="shared" si="12"/>
        <v/>
      </c>
      <c r="S39" s="49" t="str">
        <f t="shared" si="12"/>
        <v/>
      </c>
      <c r="T39" s="49" t="str">
        <f t="shared" si="12"/>
        <v/>
      </c>
      <c r="U39" s="49" t="str">
        <f t="shared" si="12"/>
        <v/>
      </c>
      <c r="V39" s="49" t="str">
        <f t="shared" si="12"/>
        <v>CP</v>
      </c>
      <c r="W39" s="49" t="str">
        <f t="shared" si="12"/>
        <v/>
      </c>
      <c r="X39" s="49" t="str">
        <f t="shared" si="12"/>
        <v/>
      </c>
      <c r="Y39" s="49" t="str">
        <f t="shared" si="12"/>
        <v/>
      </c>
      <c r="Z39" s="49" t="str">
        <f t="shared" si="12"/>
        <v/>
      </c>
      <c r="AA39" s="49" t="str">
        <f t="shared" si="12"/>
        <v/>
      </c>
      <c r="AB39" s="49" t="str">
        <f t="shared" si="12"/>
        <v/>
      </c>
      <c r="AC39" s="49" t="str">
        <f t="shared" si="12"/>
        <v/>
      </c>
      <c r="AD39" s="49" t="str">
        <f t="shared" si="12"/>
        <v/>
      </c>
      <c r="AE39" s="49" t="str">
        <f t="shared" si="12"/>
        <v/>
      </c>
      <c r="AF39" s="49" t="str">
        <f t="shared" si="12"/>
        <v/>
      </c>
      <c r="AG39" s="49" t="str">
        <f t="shared" si="12"/>
        <v/>
      </c>
      <c r="AH39" s="44">
        <f>SUM(AH37:AH38)</f>
        <v>2</v>
      </c>
      <c r="AI39" s="45">
        <f>SUM(AI37:AI38)</f>
        <v>12</v>
      </c>
      <c r="AJ39" s="45">
        <f>SUM(AJ37:AJ38)</f>
        <v>0</v>
      </c>
      <c r="AK39" s="45">
        <f>SUM(AK37:AK38)</f>
        <v>0</v>
      </c>
      <c r="AL39" s="45">
        <f>SUM(AL37:AL38)</f>
        <v>0</v>
      </c>
      <c r="AM39" s="50">
        <f>Juin!AM39</f>
        <v>14.14</v>
      </c>
      <c r="AN39" s="51">
        <f>IF(A38="","",IF(A38&gt;NomMois,0,IF(A38&lt;$A$3,2.08,(NETWORKDAYS(A38,$A$2)/21.66667)*2.08)))</f>
        <v>2.08</v>
      </c>
      <c r="AO39" s="51">
        <f>IF( AN39="",0,+AN39+Octobre!AO39)</f>
        <v>12.48</v>
      </c>
      <c r="AP39" s="50"/>
      <c r="AQ39" s="45">
        <f>+AM39-AI39</f>
        <v>2.1400000000000006</v>
      </c>
      <c r="AR39" s="45">
        <f>+AP39-AJ39</f>
        <v>0</v>
      </c>
      <c r="AS39" s="102">
        <f t="shared" si="10"/>
        <v>14.620000000000001</v>
      </c>
    </row>
    <row r="40" spans="1:45" s="63" customFormat="1" ht="6.75" customHeight="1" x14ac:dyDescent="0.25">
      <c r="A40" s="60"/>
      <c r="B40" s="53"/>
      <c r="C40" s="60"/>
      <c r="D40" s="60"/>
      <c r="E40" s="60"/>
      <c r="F40" s="60"/>
      <c r="G40" s="60"/>
      <c r="H40" s="60"/>
      <c r="I40" s="60"/>
      <c r="J40" s="60"/>
      <c r="K40" s="60"/>
      <c r="L40" s="60"/>
      <c r="M40" s="60"/>
      <c r="N40" s="60"/>
      <c r="O40" s="60"/>
      <c r="P40" s="60"/>
      <c r="Q40" s="60"/>
      <c r="R40" s="60"/>
      <c r="S40" s="60"/>
      <c r="T40" s="60"/>
      <c r="U40" s="60"/>
      <c r="V40" s="60"/>
      <c r="W40" s="60"/>
      <c r="X40" s="60"/>
      <c r="Y40" s="60"/>
      <c r="Z40" s="60"/>
      <c r="AA40" s="60"/>
      <c r="AB40" s="60"/>
      <c r="AC40" s="60"/>
      <c r="AD40" s="60"/>
      <c r="AE40" s="60"/>
      <c r="AF40" s="60"/>
      <c r="AG40" s="60"/>
      <c r="AH40" s="61"/>
      <c r="AI40" s="61"/>
      <c r="AJ40" s="61"/>
      <c r="AK40" s="61"/>
      <c r="AL40" s="61"/>
      <c r="AM40" s="60"/>
      <c r="AN40" s="61"/>
      <c r="AO40" s="61"/>
      <c r="AP40" s="60"/>
      <c r="AQ40" s="61"/>
      <c r="AR40" s="61"/>
      <c r="AS40" s="65"/>
    </row>
    <row r="41" spans="1:45" s="63" customFormat="1" ht="12.95" customHeight="1" x14ac:dyDescent="0.25">
      <c r="A41" s="41"/>
      <c r="B41" s="42" t="s">
        <v>15</v>
      </c>
      <c r="C41" s="67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4">
        <f>COUNTA(Novembre!$C41:$AG41)</f>
        <v>0</v>
      </c>
      <c r="AI41" s="45">
        <f>(COUNTIFS(Novembre!$C41:$AG41,("cp")))/2+Octobre!AI41</f>
        <v>7.5</v>
      </c>
      <c r="AJ41" s="45">
        <f>COUNTIFS(Novembre!$C41:$AG41,"RTT")/2+Octobre!AJ41</f>
        <v>0</v>
      </c>
      <c r="AK41" s="45">
        <f>COUNTIFS(Novembre!$C41:$AG41,"m")/2+Octobre!AK41</f>
        <v>0</v>
      </c>
      <c r="AL41" s="45">
        <f>COUNTIFS(Novembre!$C41:$AG41,"a")/2+Octobre!AL41</f>
        <v>0</v>
      </c>
      <c r="AM41" s="46"/>
      <c r="AN41" s="47"/>
      <c r="AO41" s="47"/>
      <c r="AP41" s="46"/>
      <c r="AQ41" s="47"/>
      <c r="AR41" s="47"/>
      <c r="AS41" s="47"/>
    </row>
    <row r="42" spans="1:45" s="63" customFormat="1" ht="12.95" customHeight="1" x14ac:dyDescent="0.25">
      <c r="A42" s="48">
        <v>41821</v>
      </c>
      <c r="B42" s="42" t="s">
        <v>16</v>
      </c>
      <c r="C42" s="67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3"/>
      <c r="AE42" s="43"/>
      <c r="AF42" s="43"/>
      <c r="AG42" s="43"/>
      <c r="AH42" s="44">
        <f>COUNTA(Novembre!$C42:$AG42)</f>
        <v>0</v>
      </c>
      <c r="AI42" s="45">
        <f>(COUNTIFS(Novembre!$C42:$AG42,("cp")))/2+Octobre!AI42</f>
        <v>7.5</v>
      </c>
      <c r="AJ42" s="45">
        <f>COUNTIFS(Novembre!$C42:$AG42,"RTT")/2+Octobre!AJ42</f>
        <v>0</v>
      </c>
      <c r="AK42" s="45">
        <f>COUNTIFS(Novembre!$C42:$AG42,"m")/2+Octobre!AK42</f>
        <v>0</v>
      </c>
      <c r="AL42" s="45">
        <f>COUNTIFS(Novembre!$C42:$AG42,"a")/2+Octobre!AL42</f>
        <v>0</v>
      </c>
      <c r="AM42" s="46"/>
      <c r="AN42" s="47"/>
      <c r="AO42" s="47"/>
      <c r="AP42" s="46"/>
      <c r="AQ42" s="47"/>
      <c r="AR42" s="47"/>
      <c r="AS42" s="101"/>
    </row>
    <row r="43" spans="1:45" s="63" customFormat="1" ht="12.95" customHeight="1" x14ac:dyDescent="0.25">
      <c r="A43" s="41"/>
      <c r="B43" s="42"/>
      <c r="C43" s="49" t="str">
        <f t="shared" ref="C43:AG43" si="13">IF(C41&gt;0,C41,IF(C42&gt;0,C42,""))</f>
        <v/>
      </c>
      <c r="D43" s="49" t="str">
        <f t="shared" si="13"/>
        <v/>
      </c>
      <c r="E43" s="49" t="str">
        <f t="shared" si="13"/>
        <v/>
      </c>
      <c r="F43" s="49" t="str">
        <f t="shared" si="13"/>
        <v/>
      </c>
      <c r="G43" s="49" t="str">
        <f t="shared" si="13"/>
        <v/>
      </c>
      <c r="H43" s="49" t="str">
        <f t="shared" si="13"/>
        <v/>
      </c>
      <c r="I43" s="49" t="str">
        <f t="shared" si="13"/>
        <v/>
      </c>
      <c r="J43" s="49" t="str">
        <f t="shared" si="13"/>
        <v/>
      </c>
      <c r="K43" s="49" t="str">
        <f t="shared" si="13"/>
        <v/>
      </c>
      <c r="L43" s="49" t="str">
        <f t="shared" si="13"/>
        <v/>
      </c>
      <c r="M43" s="49" t="str">
        <f t="shared" si="13"/>
        <v/>
      </c>
      <c r="N43" s="49" t="str">
        <f t="shared" si="13"/>
        <v/>
      </c>
      <c r="O43" s="49" t="str">
        <f t="shared" si="13"/>
        <v/>
      </c>
      <c r="P43" s="49" t="str">
        <f t="shared" si="13"/>
        <v/>
      </c>
      <c r="Q43" s="49" t="str">
        <f t="shared" si="13"/>
        <v/>
      </c>
      <c r="R43" s="49" t="str">
        <f t="shared" si="13"/>
        <v/>
      </c>
      <c r="S43" s="49" t="str">
        <f t="shared" si="13"/>
        <v/>
      </c>
      <c r="T43" s="49" t="str">
        <f t="shared" si="13"/>
        <v/>
      </c>
      <c r="U43" s="49" t="str">
        <f t="shared" si="13"/>
        <v/>
      </c>
      <c r="V43" s="49" t="str">
        <f t="shared" si="13"/>
        <v/>
      </c>
      <c r="W43" s="49" t="str">
        <f t="shared" si="13"/>
        <v/>
      </c>
      <c r="X43" s="49" t="str">
        <f t="shared" si="13"/>
        <v/>
      </c>
      <c r="Y43" s="49" t="str">
        <f t="shared" si="13"/>
        <v/>
      </c>
      <c r="Z43" s="49" t="str">
        <f t="shared" si="13"/>
        <v/>
      </c>
      <c r="AA43" s="49" t="str">
        <f t="shared" si="13"/>
        <v/>
      </c>
      <c r="AB43" s="49" t="str">
        <f t="shared" si="13"/>
        <v/>
      </c>
      <c r="AC43" s="49" t="str">
        <f t="shared" si="13"/>
        <v/>
      </c>
      <c r="AD43" s="49" t="str">
        <f t="shared" si="13"/>
        <v/>
      </c>
      <c r="AE43" s="49" t="str">
        <f t="shared" si="13"/>
        <v/>
      </c>
      <c r="AF43" s="49" t="str">
        <f t="shared" si="13"/>
        <v/>
      </c>
      <c r="AG43" s="49" t="str">
        <f t="shared" si="13"/>
        <v/>
      </c>
      <c r="AH43" s="44">
        <f>SUM(AH41:AH42)</f>
        <v>0</v>
      </c>
      <c r="AI43" s="45">
        <f>SUM(AI41:AI42)</f>
        <v>15</v>
      </c>
      <c r="AJ43" s="45">
        <f>SUM(AJ41:AJ42)</f>
        <v>0</v>
      </c>
      <c r="AK43" s="45">
        <f>SUM(AK41:AK42)</f>
        <v>0</v>
      </c>
      <c r="AL43" s="45">
        <f>SUM(AL41:AL42)</f>
        <v>0</v>
      </c>
      <c r="AM43" s="50">
        <f>Juin!AM43</f>
        <v>20.38</v>
      </c>
      <c r="AN43" s="51">
        <f>IF(A42="","",IF(A42&gt;NomMois,0,IF(A42&lt;$A$3,2.08,(NETWORKDAYS(A42,$A$2)/21.66667)*2.08)))</f>
        <v>2.08</v>
      </c>
      <c r="AO43" s="51">
        <f>IF( AN43="",0,+AN43+Octobre!AO43)</f>
        <v>12.48</v>
      </c>
      <c r="AP43" s="50"/>
      <c r="AQ43" s="45">
        <f>+AM43-AI43</f>
        <v>5.379999999999999</v>
      </c>
      <c r="AR43" s="45">
        <f>+AP43-AJ43</f>
        <v>0</v>
      </c>
      <c r="AS43" s="102">
        <f t="shared" si="10"/>
        <v>17.86</v>
      </c>
    </row>
    <row r="44" spans="1:45" s="63" customFormat="1" ht="6.75" customHeight="1" x14ac:dyDescent="0.25">
      <c r="A44" s="60"/>
      <c r="B44" s="53"/>
      <c r="C44" s="60"/>
      <c r="D44" s="60"/>
      <c r="E44" s="60"/>
      <c r="F44" s="60"/>
      <c r="G44" s="60"/>
      <c r="H44" s="60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61"/>
      <c r="AI44" s="61"/>
      <c r="AJ44" s="61"/>
      <c r="AK44" s="61"/>
      <c r="AL44" s="61"/>
      <c r="AM44" s="60"/>
      <c r="AN44" s="61"/>
      <c r="AO44" s="61"/>
      <c r="AP44" s="60"/>
      <c r="AQ44" s="69"/>
      <c r="AR44" s="69"/>
      <c r="AS44" s="65"/>
    </row>
    <row r="45" spans="1:45" s="63" customFormat="1" ht="12.95" customHeight="1" x14ac:dyDescent="0.25">
      <c r="A45" s="41"/>
      <c r="B45" s="42" t="s">
        <v>15</v>
      </c>
      <c r="C45" s="67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 t="s">
        <v>7</v>
      </c>
      <c r="X45" s="43" t="s">
        <v>7</v>
      </c>
      <c r="Y45" s="43"/>
      <c r="Z45" s="43"/>
      <c r="AA45" s="43"/>
      <c r="AB45" s="43"/>
      <c r="AC45" s="43"/>
      <c r="AD45" s="43"/>
      <c r="AE45" s="43"/>
      <c r="AF45" s="43"/>
      <c r="AG45" s="43"/>
      <c r="AH45" s="44">
        <f>COUNTA(Novembre!$C45:$AG45)</f>
        <v>2</v>
      </c>
      <c r="AI45" s="45">
        <f>(COUNTIFS(Novembre!$C45:$AG45,("cp")))/2+Octobre!AI45</f>
        <v>1</v>
      </c>
      <c r="AJ45" s="45">
        <f>COUNTIFS(Novembre!$C45:$AG45,"RTT")/2+Octobre!AJ45</f>
        <v>0</v>
      </c>
      <c r="AK45" s="45">
        <f>COUNTIFS(Novembre!$C45:$AG45,"m")/2+Octobre!AK45</f>
        <v>0</v>
      </c>
      <c r="AL45" s="45">
        <f>COUNTIFS(Novembre!$C45:$AG45,"a")/2+Octobre!AL45</f>
        <v>0</v>
      </c>
      <c r="AM45" s="46"/>
      <c r="AN45" s="47"/>
      <c r="AO45" s="47"/>
      <c r="AP45" s="46"/>
      <c r="AQ45" s="47"/>
      <c r="AR45" s="47"/>
      <c r="AS45" s="47"/>
    </row>
    <row r="46" spans="1:45" s="63" customFormat="1" ht="12.95" customHeight="1" x14ac:dyDescent="0.25">
      <c r="A46" s="48">
        <v>40575</v>
      </c>
      <c r="B46" s="42" t="s">
        <v>16</v>
      </c>
      <c r="C46" s="67"/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 t="s">
        <v>7</v>
      </c>
      <c r="X46" s="43" t="s">
        <v>7</v>
      </c>
      <c r="Y46" s="43"/>
      <c r="Z46" s="43"/>
      <c r="AA46" s="43"/>
      <c r="AB46" s="43"/>
      <c r="AC46" s="43"/>
      <c r="AD46" s="43"/>
      <c r="AE46" s="43"/>
      <c r="AF46" s="43"/>
      <c r="AG46" s="43"/>
      <c r="AH46" s="44">
        <f>COUNTA(Novembre!$C46:$AG46)</f>
        <v>2</v>
      </c>
      <c r="AI46" s="45">
        <f>(COUNTIFS(Novembre!$C46:$AG46,("cp")))/2+Octobre!AI46</f>
        <v>1.5</v>
      </c>
      <c r="AJ46" s="45">
        <f>COUNTIFS(Novembre!$C46:$AG46,"RTT")/2+Octobre!AJ46</f>
        <v>0</v>
      </c>
      <c r="AK46" s="45">
        <f>COUNTIFS(Novembre!$C46:$AG46,"m")/2+Octobre!AK46</f>
        <v>0</v>
      </c>
      <c r="AL46" s="45">
        <f>COUNTIFS(Novembre!$C46:$AG46,"a")/2+Octobre!AL46</f>
        <v>0</v>
      </c>
      <c r="AM46" s="46"/>
      <c r="AN46" s="47"/>
      <c r="AO46" s="47"/>
      <c r="AP46" s="46"/>
      <c r="AQ46" s="47"/>
      <c r="AR46" s="47"/>
      <c r="AS46" s="101"/>
    </row>
    <row r="47" spans="1:45" s="63" customFormat="1" ht="12.95" customHeight="1" x14ac:dyDescent="0.25">
      <c r="A47" s="41"/>
      <c r="B47" s="42"/>
      <c r="C47" s="49" t="str">
        <f t="shared" ref="C47:AG47" si="14">IF(C45&gt;0,C45,IF(C46&gt;0,C46,""))</f>
        <v/>
      </c>
      <c r="D47" s="49" t="str">
        <f t="shared" si="14"/>
        <v/>
      </c>
      <c r="E47" s="49" t="str">
        <f t="shared" si="14"/>
        <v/>
      </c>
      <c r="F47" s="49" t="str">
        <f t="shared" si="14"/>
        <v/>
      </c>
      <c r="G47" s="49" t="str">
        <f t="shared" si="14"/>
        <v/>
      </c>
      <c r="H47" s="49" t="str">
        <f t="shared" si="14"/>
        <v/>
      </c>
      <c r="I47" s="49" t="str">
        <f t="shared" si="14"/>
        <v/>
      </c>
      <c r="J47" s="49" t="str">
        <f t="shared" si="14"/>
        <v/>
      </c>
      <c r="K47" s="49" t="str">
        <f t="shared" si="14"/>
        <v/>
      </c>
      <c r="L47" s="49" t="str">
        <f t="shared" si="14"/>
        <v/>
      </c>
      <c r="M47" s="49" t="str">
        <f t="shared" si="14"/>
        <v/>
      </c>
      <c r="N47" s="49" t="str">
        <f t="shared" si="14"/>
        <v/>
      </c>
      <c r="O47" s="49" t="str">
        <f t="shared" si="14"/>
        <v/>
      </c>
      <c r="P47" s="49" t="str">
        <f t="shared" si="14"/>
        <v/>
      </c>
      <c r="Q47" s="49" t="str">
        <f t="shared" si="14"/>
        <v/>
      </c>
      <c r="R47" s="49" t="str">
        <f t="shared" si="14"/>
        <v/>
      </c>
      <c r="S47" s="49" t="str">
        <f t="shared" si="14"/>
        <v/>
      </c>
      <c r="T47" s="49" t="str">
        <f t="shared" si="14"/>
        <v/>
      </c>
      <c r="U47" s="49" t="str">
        <f t="shared" si="14"/>
        <v/>
      </c>
      <c r="V47" s="49" t="str">
        <f t="shared" si="14"/>
        <v/>
      </c>
      <c r="W47" s="49" t="str">
        <f t="shared" si="14"/>
        <v>CP</v>
      </c>
      <c r="X47" s="49" t="str">
        <f t="shared" si="14"/>
        <v>CP</v>
      </c>
      <c r="Y47" s="49" t="str">
        <f t="shared" si="14"/>
        <v/>
      </c>
      <c r="Z47" s="49" t="str">
        <f t="shared" si="14"/>
        <v/>
      </c>
      <c r="AA47" s="49" t="str">
        <f t="shared" si="14"/>
        <v/>
      </c>
      <c r="AB47" s="49" t="str">
        <f t="shared" si="14"/>
        <v/>
      </c>
      <c r="AC47" s="49" t="str">
        <f t="shared" si="14"/>
        <v/>
      </c>
      <c r="AD47" s="49" t="str">
        <f t="shared" si="14"/>
        <v/>
      </c>
      <c r="AE47" s="49" t="str">
        <f t="shared" si="14"/>
        <v/>
      </c>
      <c r="AF47" s="49" t="str">
        <f t="shared" si="14"/>
        <v/>
      </c>
      <c r="AG47" s="49" t="str">
        <f t="shared" si="14"/>
        <v/>
      </c>
      <c r="AH47" s="44">
        <f>SUM(AH45:AH46)</f>
        <v>4</v>
      </c>
      <c r="AI47" s="45">
        <f>SUM(AI45:AI46)</f>
        <v>2.5</v>
      </c>
      <c r="AJ47" s="45">
        <f>SUM(AJ45:AJ46)</f>
        <v>0</v>
      </c>
      <c r="AK47" s="45">
        <f>SUM(AK45:AK46)</f>
        <v>0</v>
      </c>
      <c r="AL47" s="45">
        <f>SUM(AL45:AL46)</f>
        <v>0</v>
      </c>
      <c r="AM47" s="50">
        <f>Juin!AM47</f>
        <v>24.96</v>
      </c>
      <c r="AN47" s="51">
        <f>IF(A46="","",IF(A46&gt;NomMois,0,IF(A46&lt;$A$3,2.08,(NETWORKDAYS(A46,$A$2)/21.66667)*2.08)))</f>
        <v>2.08</v>
      </c>
      <c r="AO47" s="51">
        <f>IF( AN47="",0,+AN47+Octobre!AO47)</f>
        <v>12.48</v>
      </c>
      <c r="AP47" s="50"/>
      <c r="AQ47" s="45">
        <f>+AM47-AI47</f>
        <v>22.46</v>
      </c>
      <c r="AR47" s="45">
        <f>+AP47-AJ47</f>
        <v>0</v>
      </c>
      <c r="AS47" s="102">
        <f t="shared" si="10"/>
        <v>34.94</v>
      </c>
    </row>
    <row r="48" spans="1:45" s="63" customFormat="1" ht="6.75" customHeight="1" x14ac:dyDescent="0.25">
      <c r="A48" s="60"/>
      <c r="B48" s="53"/>
      <c r="C48" s="60"/>
      <c r="D48" s="60"/>
      <c r="E48" s="60"/>
      <c r="F48" s="60"/>
      <c r="G48" s="60"/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60"/>
      <c r="Z48" s="60"/>
      <c r="AA48" s="60"/>
      <c r="AB48" s="60"/>
      <c r="AC48" s="60"/>
      <c r="AD48" s="60"/>
      <c r="AE48" s="60"/>
      <c r="AF48" s="60"/>
      <c r="AG48" s="60"/>
      <c r="AH48" s="61"/>
      <c r="AI48" s="61"/>
      <c r="AJ48" s="61"/>
      <c r="AK48" s="61"/>
      <c r="AL48" s="61"/>
      <c r="AM48" s="60"/>
      <c r="AN48" s="61"/>
      <c r="AO48" s="61"/>
      <c r="AP48" s="60"/>
      <c r="AQ48" s="69"/>
      <c r="AR48" s="69"/>
      <c r="AS48" s="65"/>
    </row>
    <row r="49" spans="1:45" s="63" customFormat="1" ht="12.95" customHeight="1" x14ac:dyDescent="0.25">
      <c r="A49" s="41"/>
      <c r="B49" s="42" t="s">
        <v>15</v>
      </c>
      <c r="C49" s="67"/>
      <c r="D49" s="43" t="s">
        <v>7</v>
      </c>
      <c r="E49" s="43" t="s">
        <v>7</v>
      </c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 t="s">
        <v>7</v>
      </c>
      <c r="T49" s="43"/>
      <c r="U49" s="43"/>
      <c r="V49" s="43"/>
      <c r="W49" s="43"/>
      <c r="X49" s="43"/>
      <c r="Y49" s="43"/>
      <c r="Z49" s="43"/>
      <c r="AA49" s="43"/>
      <c r="AB49" s="43"/>
      <c r="AC49" s="43"/>
      <c r="AD49" s="43"/>
      <c r="AE49" s="43"/>
      <c r="AF49" s="43"/>
      <c r="AG49" s="43"/>
      <c r="AH49" s="44">
        <f>COUNTA(Novembre!$C49:$AG49)</f>
        <v>3</v>
      </c>
      <c r="AI49" s="45">
        <f>(COUNTIFS(Novembre!$C49:$AG49,("cp")))/2+Octobre!AI49</f>
        <v>2.5</v>
      </c>
      <c r="AJ49" s="45">
        <f>COUNTIFS(Novembre!$C49:$AG49,"RTT")/2+Octobre!AJ49</f>
        <v>0</v>
      </c>
      <c r="AK49" s="45">
        <f>COUNTIFS(Novembre!$C49:$AG49,"m")/2+Octobre!AK49</f>
        <v>0</v>
      </c>
      <c r="AL49" s="45">
        <f>COUNTIFS(Novembre!$C49:$AG49,"a")/2+Octobre!AL49</f>
        <v>0</v>
      </c>
      <c r="AM49" s="46"/>
      <c r="AN49" s="47"/>
      <c r="AO49" s="47"/>
      <c r="AP49" s="46"/>
      <c r="AQ49" s="47"/>
      <c r="AR49" s="47"/>
      <c r="AS49" s="47"/>
    </row>
    <row r="50" spans="1:45" s="63" customFormat="1" ht="12.95" customHeight="1" x14ac:dyDescent="0.25">
      <c r="A50" s="48">
        <v>42793</v>
      </c>
      <c r="B50" s="42" t="s">
        <v>16</v>
      </c>
      <c r="C50" s="67"/>
      <c r="D50" s="43" t="s">
        <v>7</v>
      </c>
      <c r="E50" s="43" t="s">
        <v>7</v>
      </c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 t="s">
        <v>7</v>
      </c>
      <c r="T50" s="43"/>
      <c r="U50" s="43"/>
      <c r="V50" s="43"/>
      <c r="W50" s="43"/>
      <c r="X50" s="43"/>
      <c r="Y50" s="43"/>
      <c r="Z50" s="43"/>
      <c r="AA50" s="43"/>
      <c r="AB50" s="43"/>
      <c r="AC50" s="43"/>
      <c r="AD50" s="43"/>
      <c r="AE50" s="43"/>
      <c r="AF50" s="43"/>
      <c r="AG50" s="43"/>
      <c r="AH50" s="44">
        <f>COUNTA(Novembre!$C50:$AG50)</f>
        <v>3</v>
      </c>
      <c r="AI50" s="45">
        <f>(COUNTIFS(Novembre!$C50:$AG50,("cp")))/2+Octobre!AI50</f>
        <v>2.5</v>
      </c>
      <c r="AJ50" s="45">
        <f>COUNTIFS(Novembre!$C50:$AG50,"RTT")/2+Octobre!AJ50</f>
        <v>0</v>
      </c>
      <c r="AK50" s="45">
        <f>COUNTIFS(Novembre!$C50:$AG50,"m")/2+Octobre!AK50</f>
        <v>0</v>
      </c>
      <c r="AL50" s="45">
        <f>COUNTIFS(Novembre!$C50:$AG50,"a")/2+Octobre!AL50</f>
        <v>0</v>
      </c>
      <c r="AM50" s="46"/>
      <c r="AN50" s="47"/>
      <c r="AO50" s="47"/>
      <c r="AP50" s="46"/>
      <c r="AQ50" s="47"/>
      <c r="AR50" s="47"/>
      <c r="AS50" s="101"/>
    </row>
    <row r="51" spans="1:45" s="63" customFormat="1" ht="12.95" customHeight="1" x14ac:dyDescent="0.25">
      <c r="A51" s="41"/>
      <c r="B51" s="42"/>
      <c r="C51" s="49" t="str">
        <f t="shared" ref="C51:AG51" si="15">IF(C49&gt;0,C49,IF(C50&gt;0,C50,""))</f>
        <v/>
      </c>
      <c r="D51" s="49" t="str">
        <f t="shared" si="15"/>
        <v>CP</v>
      </c>
      <c r="E51" s="49" t="str">
        <f t="shared" si="15"/>
        <v>CP</v>
      </c>
      <c r="F51" s="49" t="str">
        <f t="shared" si="15"/>
        <v/>
      </c>
      <c r="G51" s="49" t="str">
        <f t="shared" si="15"/>
        <v/>
      </c>
      <c r="H51" s="49" t="str">
        <f t="shared" si="15"/>
        <v/>
      </c>
      <c r="I51" s="49" t="str">
        <f t="shared" si="15"/>
        <v/>
      </c>
      <c r="J51" s="49" t="str">
        <f t="shared" si="15"/>
        <v/>
      </c>
      <c r="K51" s="49" t="str">
        <f t="shared" si="15"/>
        <v/>
      </c>
      <c r="L51" s="49" t="str">
        <f t="shared" si="15"/>
        <v/>
      </c>
      <c r="M51" s="49" t="str">
        <f t="shared" si="15"/>
        <v/>
      </c>
      <c r="N51" s="49" t="str">
        <f t="shared" si="15"/>
        <v/>
      </c>
      <c r="O51" s="49" t="str">
        <f t="shared" si="15"/>
        <v/>
      </c>
      <c r="P51" s="49" t="str">
        <f t="shared" si="15"/>
        <v/>
      </c>
      <c r="Q51" s="49" t="str">
        <f t="shared" si="15"/>
        <v/>
      </c>
      <c r="R51" s="49" t="str">
        <f t="shared" si="15"/>
        <v/>
      </c>
      <c r="S51" s="49" t="str">
        <f t="shared" si="15"/>
        <v>CP</v>
      </c>
      <c r="T51" s="49" t="str">
        <f t="shared" si="15"/>
        <v/>
      </c>
      <c r="U51" s="49" t="str">
        <f t="shared" si="15"/>
        <v/>
      </c>
      <c r="V51" s="49" t="str">
        <f t="shared" si="15"/>
        <v/>
      </c>
      <c r="W51" s="49" t="str">
        <f t="shared" si="15"/>
        <v/>
      </c>
      <c r="X51" s="49" t="str">
        <f t="shared" si="15"/>
        <v/>
      </c>
      <c r="Y51" s="49" t="str">
        <f t="shared" si="15"/>
        <v/>
      </c>
      <c r="Z51" s="49" t="str">
        <f t="shared" si="15"/>
        <v/>
      </c>
      <c r="AA51" s="49" t="str">
        <f t="shared" si="15"/>
        <v/>
      </c>
      <c r="AB51" s="49" t="str">
        <f t="shared" si="15"/>
        <v/>
      </c>
      <c r="AC51" s="49" t="str">
        <f t="shared" si="15"/>
        <v/>
      </c>
      <c r="AD51" s="49" t="str">
        <f t="shared" si="15"/>
        <v/>
      </c>
      <c r="AE51" s="49" t="str">
        <f t="shared" si="15"/>
        <v/>
      </c>
      <c r="AF51" s="49" t="str">
        <f t="shared" si="15"/>
        <v/>
      </c>
      <c r="AG51" s="49" t="str">
        <f t="shared" si="15"/>
        <v/>
      </c>
      <c r="AH51" s="44">
        <f>SUM(AH49:AH50)</f>
        <v>6</v>
      </c>
      <c r="AI51" s="45">
        <f>SUM(AI49:AI50)</f>
        <v>5</v>
      </c>
      <c r="AJ51" s="45">
        <f>SUM(AJ49:AJ50)</f>
        <v>0</v>
      </c>
      <c r="AK51" s="45">
        <f>SUM(AK49:AK50)</f>
        <v>0</v>
      </c>
      <c r="AL51" s="45">
        <f>SUM(AL49:AL50)</f>
        <v>0</v>
      </c>
      <c r="AM51" s="50">
        <f>Juin!AM51</f>
        <v>6.41</v>
      </c>
      <c r="AN51" s="51">
        <f>IF(A50="","",IF(A50&gt;NomMois,0,IF(A50&lt;$A$3,2.08,(NETWORKDAYS(A50,$A$2)/21.66667)*2.08)))</f>
        <v>2.08</v>
      </c>
      <c r="AO51" s="51">
        <f>IF( AN51="",0,+AN51+Octobre!AO51)</f>
        <v>12.48</v>
      </c>
      <c r="AP51" s="50"/>
      <c r="AQ51" s="45">
        <f>+AM51-AI51</f>
        <v>1.4100000000000001</v>
      </c>
      <c r="AR51" s="45">
        <f>+AP51-AJ51</f>
        <v>0</v>
      </c>
      <c r="AS51" s="102">
        <f t="shared" si="10"/>
        <v>13.89</v>
      </c>
    </row>
    <row r="52" spans="1:45" s="63" customFormat="1" ht="6.75" customHeight="1" x14ac:dyDescent="0.25">
      <c r="A52" s="60"/>
      <c r="B52" s="53"/>
      <c r="C52" s="60"/>
      <c r="D52" s="60"/>
      <c r="E52" s="60"/>
      <c r="F52" s="60"/>
      <c r="G52" s="60"/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0"/>
      <c r="W52" s="60"/>
      <c r="X52" s="60"/>
      <c r="Y52" s="60"/>
      <c r="Z52" s="60"/>
      <c r="AA52" s="60"/>
      <c r="AB52" s="60"/>
      <c r="AC52" s="60"/>
      <c r="AD52" s="60"/>
      <c r="AE52" s="60"/>
      <c r="AF52" s="60"/>
      <c r="AG52" s="60"/>
      <c r="AH52" s="61"/>
      <c r="AI52" s="61"/>
      <c r="AJ52" s="61"/>
      <c r="AK52" s="61"/>
      <c r="AL52" s="61"/>
      <c r="AM52" s="60"/>
      <c r="AN52" s="61"/>
      <c r="AO52" s="61"/>
      <c r="AP52" s="60"/>
      <c r="AQ52" s="69"/>
      <c r="AR52" s="69"/>
      <c r="AS52" s="65"/>
    </row>
    <row r="53" spans="1:45" s="63" customFormat="1" ht="12.95" customHeight="1" x14ac:dyDescent="0.25">
      <c r="A53" s="41"/>
      <c r="B53" s="42" t="s">
        <v>15</v>
      </c>
      <c r="C53" s="67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  <c r="AA53" s="43"/>
      <c r="AB53" s="43"/>
      <c r="AC53" s="43"/>
      <c r="AD53" s="43"/>
      <c r="AE53" s="43"/>
      <c r="AF53" s="43"/>
      <c r="AG53" s="43"/>
      <c r="AH53" s="44">
        <f>COUNTA(Novembre!$C53:$AG53)</f>
        <v>0</v>
      </c>
      <c r="AI53" s="45">
        <f>(COUNTIFS(Novembre!$C53:$AG53,("cp")))/2+Octobre!AI53</f>
        <v>9</v>
      </c>
      <c r="AJ53" s="45">
        <f>COUNTIFS(Novembre!$C53:$AG53,"RTT")/2+Octobre!AJ53</f>
        <v>0</v>
      </c>
      <c r="AK53" s="45">
        <f>COUNTIFS(Novembre!$C53:$AG53,"m")/2+Octobre!AK53</f>
        <v>0</v>
      </c>
      <c r="AL53" s="45">
        <f>COUNTIFS(Novembre!$C53:$AG53,"a")/2+Octobre!AL53</f>
        <v>0</v>
      </c>
      <c r="AM53" s="46"/>
      <c r="AN53" s="47"/>
      <c r="AO53" s="47"/>
      <c r="AP53" s="46"/>
      <c r="AQ53" s="47"/>
      <c r="AR53" s="47"/>
      <c r="AS53" s="47"/>
    </row>
    <row r="54" spans="1:45" s="63" customFormat="1" ht="12.95" customHeight="1" x14ac:dyDescent="0.25">
      <c r="A54" s="48">
        <v>42660</v>
      </c>
      <c r="B54" s="42" t="s">
        <v>16</v>
      </c>
      <c r="C54" s="67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  <c r="AA54" s="43"/>
      <c r="AB54" s="43"/>
      <c r="AC54" s="43"/>
      <c r="AD54" s="43"/>
      <c r="AE54" s="43"/>
      <c r="AF54" s="43"/>
      <c r="AG54" s="43"/>
      <c r="AH54" s="44">
        <f>COUNTA(Novembre!$C54:$AG54)</f>
        <v>0</v>
      </c>
      <c r="AI54" s="45">
        <f>(COUNTIFS(Novembre!$C54:$AG54,("cp")))/2+Octobre!AI54</f>
        <v>9</v>
      </c>
      <c r="AJ54" s="45">
        <f>COUNTIFS(Novembre!$C54:$AG54,"RTT")/2+Octobre!AJ54</f>
        <v>0</v>
      </c>
      <c r="AK54" s="45">
        <f>COUNTIFS(Novembre!$C54:$AG54,"m")/2+Octobre!AK54</f>
        <v>0</v>
      </c>
      <c r="AL54" s="45">
        <f>COUNTIFS(Novembre!$C54:$AG54,"a")/2+Octobre!AL54</f>
        <v>0</v>
      </c>
      <c r="AM54" s="46"/>
      <c r="AN54" s="47"/>
      <c r="AO54" s="47"/>
      <c r="AP54" s="46"/>
      <c r="AQ54" s="47"/>
      <c r="AR54" s="47"/>
      <c r="AS54" s="101"/>
    </row>
    <row r="55" spans="1:45" s="63" customFormat="1" ht="12.95" customHeight="1" x14ac:dyDescent="0.25">
      <c r="A55" s="41"/>
      <c r="B55" s="42"/>
      <c r="C55" s="49" t="str">
        <f t="shared" ref="C55:AG55" si="16">IF(C53&gt;0,C53,IF(C54&gt;0,C54,""))</f>
        <v/>
      </c>
      <c r="D55" s="49" t="str">
        <f t="shared" si="16"/>
        <v/>
      </c>
      <c r="E55" s="49" t="str">
        <f t="shared" si="16"/>
        <v/>
      </c>
      <c r="F55" s="49" t="str">
        <f t="shared" si="16"/>
        <v/>
      </c>
      <c r="G55" s="49" t="str">
        <f t="shared" si="16"/>
        <v/>
      </c>
      <c r="H55" s="49" t="str">
        <f t="shared" si="16"/>
        <v/>
      </c>
      <c r="I55" s="49" t="str">
        <f t="shared" si="16"/>
        <v/>
      </c>
      <c r="J55" s="49" t="str">
        <f t="shared" si="16"/>
        <v/>
      </c>
      <c r="K55" s="49" t="str">
        <f t="shared" si="16"/>
        <v/>
      </c>
      <c r="L55" s="49" t="str">
        <f t="shared" si="16"/>
        <v/>
      </c>
      <c r="M55" s="49" t="str">
        <f t="shared" si="16"/>
        <v/>
      </c>
      <c r="N55" s="49" t="str">
        <f t="shared" si="16"/>
        <v/>
      </c>
      <c r="O55" s="49" t="str">
        <f t="shared" si="16"/>
        <v/>
      </c>
      <c r="P55" s="49" t="str">
        <f t="shared" si="16"/>
        <v/>
      </c>
      <c r="Q55" s="49" t="str">
        <f t="shared" si="16"/>
        <v/>
      </c>
      <c r="R55" s="49" t="str">
        <f t="shared" si="16"/>
        <v/>
      </c>
      <c r="S55" s="49" t="str">
        <f t="shared" si="16"/>
        <v/>
      </c>
      <c r="T55" s="49" t="str">
        <f t="shared" si="16"/>
        <v/>
      </c>
      <c r="U55" s="49" t="str">
        <f t="shared" si="16"/>
        <v/>
      </c>
      <c r="V55" s="49" t="str">
        <f t="shared" si="16"/>
        <v/>
      </c>
      <c r="W55" s="49" t="str">
        <f t="shared" si="16"/>
        <v/>
      </c>
      <c r="X55" s="49" t="str">
        <f t="shared" si="16"/>
        <v/>
      </c>
      <c r="Y55" s="49" t="str">
        <f t="shared" si="16"/>
        <v/>
      </c>
      <c r="Z55" s="49" t="str">
        <f t="shared" si="16"/>
        <v/>
      </c>
      <c r="AA55" s="49" t="str">
        <f t="shared" si="16"/>
        <v/>
      </c>
      <c r="AB55" s="49" t="str">
        <f t="shared" si="16"/>
        <v/>
      </c>
      <c r="AC55" s="49" t="str">
        <f t="shared" si="16"/>
        <v/>
      </c>
      <c r="AD55" s="49" t="str">
        <f t="shared" si="16"/>
        <v/>
      </c>
      <c r="AE55" s="49" t="str">
        <f t="shared" si="16"/>
        <v/>
      </c>
      <c r="AF55" s="49" t="str">
        <f t="shared" si="16"/>
        <v/>
      </c>
      <c r="AG55" s="49" t="str">
        <f t="shared" si="16"/>
        <v/>
      </c>
      <c r="AH55" s="44">
        <f>SUM(AH53:AH54)</f>
        <v>0</v>
      </c>
      <c r="AI55" s="45">
        <f>SUM(AI53:AI54)</f>
        <v>18</v>
      </c>
      <c r="AJ55" s="45">
        <f>SUM(AJ53:AJ54)</f>
        <v>0</v>
      </c>
      <c r="AK55" s="45">
        <f>SUM(AK53:AK54)</f>
        <v>0</v>
      </c>
      <c r="AL55" s="45">
        <f>SUM(AL53:AL54)</f>
        <v>0</v>
      </c>
      <c r="AM55" s="50">
        <f>Juin!AM55</f>
        <v>15.68</v>
      </c>
      <c r="AN55" s="51">
        <f>IF(A54="","",IF(A54&gt;NomMois,0,IF(A54&lt;$A$3,2.08,(NETWORKDAYS(A54,$A$2)/21.66667)*2.08)))</f>
        <v>2.08</v>
      </c>
      <c r="AO55" s="51">
        <f>IF( AN55="",0,+AN55+Octobre!AO55)</f>
        <v>12.48</v>
      </c>
      <c r="AP55" s="50"/>
      <c r="AQ55" s="45">
        <f>+AM55-AI55</f>
        <v>-2.3200000000000003</v>
      </c>
      <c r="AR55" s="45">
        <f>+AP55-AJ55</f>
        <v>0</v>
      </c>
      <c r="AS55" s="102">
        <f t="shared" si="10"/>
        <v>10.16</v>
      </c>
    </row>
    <row r="56" spans="1:45" s="63" customFormat="1" ht="6.75" customHeight="1" x14ac:dyDescent="0.25">
      <c r="A56" s="60"/>
      <c r="B56" s="53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60"/>
      <c r="X56" s="60"/>
      <c r="Y56" s="60"/>
      <c r="Z56" s="60"/>
      <c r="AA56" s="60"/>
      <c r="AB56" s="60"/>
      <c r="AC56" s="60"/>
      <c r="AD56" s="60"/>
      <c r="AE56" s="60"/>
      <c r="AF56" s="60"/>
      <c r="AG56" s="60"/>
      <c r="AH56" s="61"/>
      <c r="AI56" s="61"/>
      <c r="AJ56" s="61"/>
      <c r="AK56" s="61"/>
      <c r="AL56" s="61"/>
      <c r="AM56" s="60"/>
      <c r="AN56" s="61"/>
      <c r="AO56" s="61"/>
      <c r="AP56" s="60"/>
      <c r="AQ56" s="69"/>
      <c r="AR56" s="69"/>
      <c r="AS56" s="65"/>
    </row>
    <row r="57" spans="1:45" s="63" customFormat="1" ht="12.95" customHeight="1" x14ac:dyDescent="0.25">
      <c r="A57" s="41"/>
      <c r="B57" s="42" t="s">
        <v>15</v>
      </c>
      <c r="C57" s="67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3"/>
      <c r="AB57" s="43"/>
      <c r="AC57" s="43"/>
      <c r="AD57" s="43"/>
      <c r="AE57" s="43"/>
      <c r="AF57" s="43"/>
      <c r="AG57" s="43"/>
      <c r="AH57" s="44">
        <f>COUNTA(Novembre!$C57:$AG57)</f>
        <v>0</v>
      </c>
      <c r="AI57" s="45">
        <f>(COUNTIFS(Novembre!$C57:$AG57,("cp")))/2+Octobre!AI57</f>
        <v>0</v>
      </c>
      <c r="AJ57" s="45">
        <f>COUNTIFS(Novembre!$C57:$AG57,"RTT")/2+Octobre!AJ57</f>
        <v>0</v>
      </c>
      <c r="AK57" s="45">
        <f>COUNTIFS(Novembre!$C57:$AG57,"m")/2+Octobre!AK57</f>
        <v>0</v>
      </c>
      <c r="AL57" s="45">
        <f>COUNTIFS(Novembre!$C57:$AG57,"a")/2+Octobre!AL57</f>
        <v>0</v>
      </c>
      <c r="AM57" s="46"/>
      <c r="AN57" s="47"/>
      <c r="AO57" s="47"/>
      <c r="AP57" s="46"/>
      <c r="AQ57" s="47"/>
      <c r="AR57" s="47"/>
      <c r="AS57" s="47"/>
    </row>
    <row r="58" spans="1:45" s="63" customFormat="1" ht="12.95" customHeight="1" x14ac:dyDescent="0.25">
      <c r="A58" s="48">
        <v>42975</v>
      </c>
      <c r="B58" s="42" t="s">
        <v>16</v>
      </c>
      <c r="C58" s="67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3"/>
      <c r="AB58" s="43"/>
      <c r="AC58" s="43"/>
      <c r="AD58" s="43"/>
      <c r="AE58" s="43"/>
      <c r="AF58" s="43"/>
      <c r="AG58" s="43"/>
      <c r="AH58" s="44">
        <f>COUNTA(Novembre!$C58:$AG58)</f>
        <v>0</v>
      </c>
      <c r="AI58" s="45">
        <f>(COUNTIFS(Novembre!$C58:$AG58,("cp")))/2+Octobre!AI58</f>
        <v>0</v>
      </c>
      <c r="AJ58" s="45">
        <f>COUNTIFS(Novembre!$C58:$AG58,"RTT")/2+Octobre!AJ58</f>
        <v>0</v>
      </c>
      <c r="AK58" s="45">
        <f>COUNTIFS(Novembre!$C58:$AG58,"m")/2+Octobre!AK58</f>
        <v>0</v>
      </c>
      <c r="AL58" s="45">
        <f>COUNTIFS(Novembre!$C58:$AG58,"a")/2+Octobre!AL58</f>
        <v>0</v>
      </c>
      <c r="AM58" s="46"/>
      <c r="AN58" s="47"/>
      <c r="AO58" s="47"/>
      <c r="AP58" s="46"/>
      <c r="AQ58" s="47"/>
      <c r="AR58" s="47"/>
      <c r="AS58" s="101"/>
    </row>
    <row r="59" spans="1:45" s="63" customFormat="1" ht="12.95" customHeight="1" x14ac:dyDescent="0.25">
      <c r="A59" s="41"/>
      <c r="B59" s="42"/>
      <c r="C59" s="49" t="str">
        <f t="shared" ref="C59:AG59" si="17">IF(C57&gt;0,C57,IF(C58&gt;0,C58,""))</f>
        <v/>
      </c>
      <c r="D59" s="49" t="str">
        <f t="shared" si="17"/>
        <v/>
      </c>
      <c r="E59" s="49" t="str">
        <f t="shared" si="17"/>
        <v/>
      </c>
      <c r="F59" s="49" t="str">
        <f t="shared" si="17"/>
        <v/>
      </c>
      <c r="G59" s="49" t="str">
        <f t="shared" si="17"/>
        <v/>
      </c>
      <c r="H59" s="49" t="str">
        <f t="shared" si="17"/>
        <v/>
      </c>
      <c r="I59" s="49" t="str">
        <f t="shared" si="17"/>
        <v/>
      </c>
      <c r="J59" s="49" t="str">
        <f t="shared" si="17"/>
        <v/>
      </c>
      <c r="K59" s="49" t="str">
        <f t="shared" si="17"/>
        <v/>
      </c>
      <c r="L59" s="49" t="str">
        <f t="shared" si="17"/>
        <v/>
      </c>
      <c r="M59" s="49" t="str">
        <f t="shared" si="17"/>
        <v/>
      </c>
      <c r="N59" s="49" t="str">
        <f t="shared" si="17"/>
        <v/>
      </c>
      <c r="O59" s="49" t="str">
        <f t="shared" si="17"/>
        <v/>
      </c>
      <c r="P59" s="49" t="str">
        <f t="shared" si="17"/>
        <v/>
      </c>
      <c r="Q59" s="49" t="str">
        <f t="shared" si="17"/>
        <v/>
      </c>
      <c r="R59" s="49" t="str">
        <f t="shared" si="17"/>
        <v/>
      </c>
      <c r="S59" s="49" t="str">
        <f t="shared" si="17"/>
        <v/>
      </c>
      <c r="T59" s="49" t="str">
        <f t="shared" si="17"/>
        <v/>
      </c>
      <c r="U59" s="49" t="str">
        <f t="shared" si="17"/>
        <v/>
      </c>
      <c r="V59" s="49" t="str">
        <f t="shared" si="17"/>
        <v/>
      </c>
      <c r="W59" s="49" t="str">
        <f t="shared" si="17"/>
        <v/>
      </c>
      <c r="X59" s="49" t="str">
        <f t="shared" si="17"/>
        <v/>
      </c>
      <c r="Y59" s="49" t="str">
        <f t="shared" si="17"/>
        <v/>
      </c>
      <c r="Z59" s="49" t="str">
        <f t="shared" si="17"/>
        <v/>
      </c>
      <c r="AA59" s="49" t="str">
        <f t="shared" si="17"/>
        <v/>
      </c>
      <c r="AB59" s="49" t="str">
        <f t="shared" si="17"/>
        <v/>
      </c>
      <c r="AC59" s="49" t="str">
        <f t="shared" si="17"/>
        <v/>
      </c>
      <c r="AD59" s="49" t="str">
        <f t="shared" si="17"/>
        <v/>
      </c>
      <c r="AE59" s="49" t="str">
        <f t="shared" si="17"/>
        <v/>
      </c>
      <c r="AF59" s="49" t="str">
        <f t="shared" si="17"/>
        <v/>
      </c>
      <c r="AG59" s="49" t="str">
        <f t="shared" si="17"/>
        <v/>
      </c>
      <c r="AH59" s="44">
        <f>SUM(AH57:AH58)</f>
        <v>0</v>
      </c>
      <c r="AI59" s="45">
        <f>SUM(AI57:AI58)</f>
        <v>0</v>
      </c>
      <c r="AJ59" s="45">
        <f>SUM(AJ57:AJ58)</f>
        <v>0</v>
      </c>
      <c r="AK59" s="45">
        <f>SUM(AK57:AK58)</f>
        <v>0</v>
      </c>
      <c r="AL59" s="45">
        <f>SUM(AL57:AL58)</f>
        <v>0</v>
      </c>
      <c r="AM59" s="50">
        <v>0</v>
      </c>
      <c r="AN59" s="51">
        <f>IF(A58="","",IF(A58&gt;NomMois,0,IF(A58&lt;$A$3,2.08,(NETWORKDAYS(A58,$A$2)/21.66667)*2.08)))</f>
        <v>2.08</v>
      </c>
      <c r="AO59" s="51">
        <f>IF( AN59="",0,+AN59+Octobre!AO59)</f>
        <v>6.6239999409230865</v>
      </c>
      <c r="AP59" s="50"/>
      <c r="AQ59" s="45">
        <f>+AM59-AI59</f>
        <v>0</v>
      </c>
      <c r="AR59" s="45">
        <f>+AP59-AJ59</f>
        <v>0</v>
      </c>
      <c r="AS59" s="102">
        <f t="shared" si="10"/>
        <v>6.6239999409230865</v>
      </c>
    </row>
    <row r="60" spans="1:45" s="63" customFormat="1" ht="6.75" customHeight="1" x14ac:dyDescent="0.25">
      <c r="A60" s="60"/>
      <c r="B60" s="42"/>
      <c r="C60" s="64"/>
      <c r="D60" s="64"/>
      <c r="E60" s="64"/>
      <c r="F60" s="64"/>
      <c r="G60" s="64"/>
      <c r="H60" s="64"/>
      <c r="I60" s="64"/>
      <c r="J60" s="64"/>
      <c r="K60" s="64"/>
      <c r="L60" s="64"/>
      <c r="M60" s="64"/>
      <c r="N60" s="64"/>
      <c r="O60" s="64"/>
      <c r="P60" s="64"/>
      <c r="Q60" s="64"/>
      <c r="R60" s="64"/>
      <c r="S60" s="64"/>
      <c r="T60" s="64"/>
      <c r="U60" s="64"/>
      <c r="V60" s="64"/>
      <c r="W60" s="64"/>
      <c r="X60" s="64"/>
      <c r="Y60" s="64"/>
      <c r="Z60" s="64"/>
      <c r="AA60" s="64"/>
      <c r="AB60" s="64"/>
      <c r="AC60" s="64"/>
      <c r="AD60" s="64"/>
      <c r="AE60" s="64"/>
      <c r="AF60" s="64"/>
      <c r="AG60" s="64"/>
      <c r="AH60" s="65"/>
      <c r="AI60" s="65"/>
      <c r="AJ60" s="65"/>
      <c r="AK60" s="65"/>
      <c r="AL60" s="65"/>
      <c r="AM60" s="64"/>
      <c r="AN60" s="65"/>
      <c r="AO60" s="65"/>
      <c r="AP60" s="64"/>
      <c r="AQ60" s="69"/>
      <c r="AR60" s="69"/>
      <c r="AS60" s="65"/>
    </row>
    <row r="61" spans="1:45" s="63" customFormat="1" ht="12.95" customHeight="1" x14ac:dyDescent="0.25">
      <c r="A61" s="41"/>
      <c r="B61" s="42" t="s">
        <v>15</v>
      </c>
      <c r="C61" s="67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  <c r="AA61" s="43"/>
      <c r="AB61" s="43"/>
      <c r="AC61" s="43"/>
      <c r="AD61" s="43"/>
      <c r="AE61" s="43"/>
      <c r="AF61" s="43"/>
      <c r="AG61" s="43"/>
      <c r="AH61" s="44">
        <f>COUNTA(Novembre!$C61:$AG61)</f>
        <v>0</v>
      </c>
      <c r="AI61" s="45">
        <f>(COUNTIFS(Novembre!$C61:$AG61,("cp")))/2+Octobre!AI61</f>
        <v>10</v>
      </c>
      <c r="AJ61" s="45">
        <f>COUNTIFS(Novembre!$C61:$AG61,"RTT")/2+Octobre!AJ61</f>
        <v>0</v>
      </c>
      <c r="AK61" s="45">
        <f>COUNTIFS(Novembre!$C61:$AG61,"m")/2+Octobre!AK61</f>
        <v>0</v>
      </c>
      <c r="AL61" s="45">
        <f>COUNTIFS(Novembre!$C61:$AG61,"a")/2+Octobre!AL61</f>
        <v>0</v>
      </c>
      <c r="AM61" s="46"/>
      <c r="AN61" s="47"/>
      <c r="AO61" s="47"/>
      <c r="AP61" s="46"/>
      <c r="AQ61" s="47"/>
      <c r="AR61" s="47"/>
      <c r="AS61" s="47"/>
    </row>
    <row r="62" spans="1:45" s="63" customFormat="1" ht="12.95" customHeight="1" x14ac:dyDescent="0.25">
      <c r="A62" s="48">
        <v>42646</v>
      </c>
      <c r="B62" s="42" t="s">
        <v>16</v>
      </c>
      <c r="C62" s="67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  <c r="AA62" s="43"/>
      <c r="AB62" s="43"/>
      <c r="AC62" s="43"/>
      <c r="AD62" s="43"/>
      <c r="AE62" s="43"/>
      <c r="AF62" s="43"/>
      <c r="AG62" s="43"/>
      <c r="AH62" s="44">
        <f>COUNTA(Novembre!$C62:$AG62)</f>
        <v>0</v>
      </c>
      <c r="AI62" s="45">
        <f>(COUNTIFS(Novembre!$C62:$AG62,("cp")))/2+Octobre!AI62</f>
        <v>10</v>
      </c>
      <c r="AJ62" s="45">
        <f>COUNTIFS(Novembre!$C62:$AG62,"RTT")/2+Octobre!AJ62</f>
        <v>0</v>
      </c>
      <c r="AK62" s="45">
        <f>COUNTIFS(Novembre!$C62:$AG62,"m")/2+Octobre!AK62</f>
        <v>0</v>
      </c>
      <c r="AL62" s="45">
        <f>COUNTIFS(Novembre!$C62:$AG62,"a")/2+Octobre!AL62</f>
        <v>0</v>
      </c>
      <c r="AM62" s="46"/>
      <c r="AN62" s="47"/>
      <c r="AO62" s="47"/>
      <c r="AP62" s="46"/>
      <c r="AQ62" s="47"/>
      <c r="AR62" s="47"/>
      <c r="AS62" s="101"/>
    </row>
    <row r="63" spans="1:45" s="63" customFormat="1" ht="12.95" customHeight="1" x14ac:dyDescent="0.25">
      <c r="A63" s="41"/>
      <c r="B63" s="42"/>
      <c r="C63" s="49" t="str">
        <f t="shared" ref="C63:AG63" si="18">IF(C61&gt;0,C61,IF(C62&gt;0,C62,""))</f>
        <v/>
      </c>
      <c r="D63" s="49" t="str">
        <f t="shared" si="18"/>
        <v/>
      </c>
      <c r="E63" s="49" t="str">
        <f t="shared" si="18"/>
        <v/>
      </c>
      <c r="F63" s="49" t="str">
        <f t="shared" si="18"/>
        <v/>
      </c>
      <c r="G63" s="49" t="str">
        <f t="shared" si="18"/>
        <v/>
      </c>
      <c r="H63" s="49" t="str">
        <f t="shared" si="18"/>
        <v/>
      </c>
      <c r="I63" s="49" t="str">
        <f t="shared" si="18"/>
        <v/>
      </c>
      <c r="J63" s="49" t="str">
        <f t="shared" si="18"/>
        <v/>
      </c>
      <c r="K63" s="49" t="str">
        <f t="shared" si="18"/>
        <v/>
      </c>
      <c r="L63" s="49" t="str">
        <f t="shared" si="18"/>
        <v/>
      </c>
      <c r="M63" s="49" t="str">
        <f t="shared" si="18"/>
        <v/>
      </c>
      <c r="N63" s="49" t="str">
        <f t="shared" si="18"/>
        <v/>
      </c>
      <c r="O63" s="49" t="str">
        <f t="shared" si="18"/>
        <v/>
      </c>
      <c r="P63" s="49" t="str">
        <f t="shared" si="18"/>
        <v/>
      </c>
      <c r="Q63" s="49" t="str">
        <f t="shared" si="18"/>
        <v/>
      </c>
      <c r="R63" s="49" t="str">
        <f t="shared" si="18"/>
        <v/>
      </c>
      <c r="S63" s="49" t="str">
        <f t="shared" si="18"/>
        <v/>
      </c>
      <c r="T63" s="49" t="str">
        <f t="shared" si="18"/>
        <v/>
      </c>
      <c r="U63" s="49" t="str">
        <f t="shared" si="18"/>
        <v/>
      </c>
      <c r="V63" s="49" t="str">
        <f t="shared" si="18"/>
        <v/>
      </c>
      <c r="W63" s="49" t="str">
        <f t="shared" si="18"/>
        <v/>
      </c>
      <c r="X63" s="49" t="str">
        <f t="shared" si="18"/>
        <v/>
      </c>
      <c r="Y63" s="49" t="str">
        <f t="shared" si="18"/>
        <v/>
      </c>
      <c r="Z63" s="49" t="str">
        <f t="shared" si="18"/>
        <v/>
      </c>
      <c r="AA63" s="49" t="str">
        <f t="shared" si="18"/>
        <v/>
      </c>
      <c r="AB63" s="49" t="str">
        <f t="shared" si="18"/>
        <v/>
      </c>
      <c r="AC63" s="49" t="str">
        <f t="shared" si="18"/>
        <v/>
      </c>
      <c r="AD63" s="49" t="str">
        <f t="shared" si="18"/>
        <v/>
      </c>
      <c r="AE63" s="49" t="str">
        <f t="shared" si="18"/>
        <v/>
      </c>
      <c r="AF63" s="49" t="str">
        <f t="shared" si="18"/>
        <v/>
      </c>
      <c r="AG63" s="49" t="str">
        <f t="shared" si="18"/>
        <v/>
      </c>
      <c r="AH63" s="44">
        <f>SUM(AH61:AH62)</f>
        <v>0</v>
      </c>
      <c r="AI63" s="45">
        <f>SUM(AI61:AI62)</f>
        <v>20</v>
      </c>
      <c r="AJ63" s="45">
        <f>SUM(AJ61:AJ62)</f>
        <v>0</v>
      </c>
      <c r="AK63" s="45">
        <f>SUM(AK61:AK62)</f>
        <v>0</v>
      </c>
      <c r="AL63" s="45">
        <f>SUM(AL61:AL62)</f>
        <v>0</v>
      </c>
      <c r="AM63" s="50">
        <f>Juin!AM63</f>
        <v>16.64</v>
      </c>
      <c r="AN63" s="51">
        <f>IF(A62="","",IF(A62&gt;NomMois,0,IF(A62&lt;$A$3,2.08,(NETWORKDAYS(A62,$A$2)/21.66667)*2.08)))</f>
        <v>2.08</v>
      </c>
      <c r="AO63" s="51">
        <f>IF( AN63="",0,+AN63+Octobre!AO63)</f>
        <v>12.48</v>
      </c>
      <c r="AP63" s="50"/>
      <c r="AQ63" s="45">
        <f>+AM63-AI63</f>
        <v>-3.3599999999999994</v>
      </c>
      <c r="AR63" s="45">
        <f>+AP63-AJ63</f>
        <v>0</v>
      </c>
      <c r="AS63" s="102">
        <f t="shared" si="10"/>
        <v>9.120000000000001</v>
      </c>
    </row>
    <row r="64" spans="1:45" s="63" customFormat="1" ht="6.75" customHeight="1" x14ac:dyDescent="0.25">
      <c r="A64" s="60"/>
      <c r="B64" s="53"/>
      <c r="C64" s="60"/>
      <c r="D64" s="60"/>
      <c r="E64" s="60"/>
      <c r="F64" s="60"/>
      <c r="G64" s="60"/>
      <c r="H64" s="60"/>
      <c r="I64" s="60"/>
      <c r="J64" s="60"/>
      <c r="K64" s="60"/>
      <c r="L64" s="60"/>
      <c r="M64" s="60"/>
      <c r="N64" s="60"/>
      <c r="O64" s="60"/>
      <c r="P64" s="60"/>
      <c r="Q64" s="60"/>
      <c r="R64" s="60"/>
      <c r="S64" s="60"/>
      <c r="T64" s="60"/>
      <c r="U64" s="60"/>
      <c r="V64" s="60"/>
      <c r="W64" s="60"/>
      <c r="X64" s="60"/>
      <c r="Y64" s="60"/>
      <c r="Z64" s="60"/>
      <c r="AA64" s="60"/>
      <c r="AB64" s="60"/>
      <c r="AC64" s="60"/>
      <c r="AD64" s="60"/>
      <c r="AE64" s="60"/>
      <c r="AF64" s="60"/>
      <c r="AG64" s="60"/>
      <c r="AH64" s="61">
        <v>0</v>
      </c>
      <c r="AI64" s="61">
        <v>0</v>
      </c>
      <c r="AJ64" s="61">
        <v>0</v>
      </c>
      <c r="AK64" s="61">
        <v>0</v>
      </c>
      <c r="AL64" s="61">
        <v>0</v>
      </c>
      <c r="AM64" s="60"/>
      <c r="AN64" s="61"/>
      <c r="AO64" s="61"/>
      <c r="AP64" s="60"/>
      <c r="AQ64" s="69"/>
      <c r="AR64" s="69"/>
      <c r="AS64" s="65"/>
    </row>
    <row r="65" spans="1:45" s="63" customFormat="1" ht="12.95" customHeight="1" x14ac:dyDescent="0.25">
      <c r="A65" s="41"/>
      <c r="B65" s="42" t="s">
        <v>15</v>
      </c>
      <c r="C65" s="67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  <c r="W65" s="43"/>
      <c r="X65" s="43"/>
      <c r="Y65" s="43"/>
      <c r="Z65" s="43"/>
      <c r="AA65" s="43"/>
      <c r="AB65" s="43"/>
      <c r="AC65" s="43"/>
      <c r="AD65" s="43"/>
      <c r="AE65" s="43"/>
      <c r="AF65" s="43"/>
      <c r="AG65" s="43"/>
      <c r="AH65" s="44">
        <f>COUNTA(Novembre!$C65:$AG65)</f>
        <v>0</v>
      </c>
      <c r="AI65" s="45">
        <f>(COUNTIFS(Novembre!$C65:$AG65,("cp")))/2+Octobre!AI65</f>
        <v>8</v>
      </c>
      <c r="AJ65" s="45">
        <f>COUNTIFS(Novembre!$C65:$AG65,"RTT")/2+Octobre!AJ65</f>
        <v>0</v>
      </c>
      <c r="AK65" s="45">
        <f>COUNTIFS(Novembre!$C65:$AG65,"m")/2+Octobre!AK65</f>
        <v>0</v>
      </c>
      <c r="AL65" s="45">
        <f>COUNTIFS(Novembre!$C65:$AG65,"a")/2+Octobre!AL65</f>
        <v>0</v>
      </c>
      <c r="AM65" s="46"/>
      <c r="AN65" s="47"/>
      <c r="AO65" s="47"/>
      <c r="AP65" s="46"/>
      <c r="AQ65" s="47"/>
      <c r="AR65" s="47"/>
      <c r="AS65" s="47"/>
    </row>
    <row r="66" spans="1:45" s="63" customFormat="1" ht="12.95" customHeight="1" x14ac:dyDescent="0.25">
      <c r="A66" s="48">
        <v>42410</v>
      </c>
      <c r="B66" s="42" t="s">
        <v>16</v>
      </c>
      <c r="C66" s="67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3"/>
      <c r="T66" s="43"/>
      <c r="U66" s="43"/>
      <c r="V66" s="43"/>
      <c r="W66" s="43"/>
      <c r="X66" s="43"/>
      <c r="Y66" s="43"/>
      <c r="Z66" s="43"/>
      <c r="AA66" s="43"/>
      <c r="AB66" s="43"/>
      <c r="AC66" s="43"/>
      <c r="AD66" s="43"/>
      <c r="AE66" s="43"/>
      <c r="AF66" s="43"/>
      <c r="AG66" s="43"/>
      <c r="AH66" s="44">
        <f>COUNTA(Novembre!$C66:$AG66)</f>
        <v>0</v>
      </c>
      <c r="AI66" s="45">
        <f>(COUNTIFS(Novembre!$C66:$AG66,("cp")))/2+Octobre!AI66</f>
        <v>8</v>
      </c>
      <c r="AJ66" s="45">
        <f>COUNTIFS(Novembre!$C66:$AG66,"RTT")/2+Octobre!AJ66</f>
        <v>0</v>
      </c>
      <c r="AK66" s="45">
        <f>COUNTIFS(Novembre!$C66:$AG66,"m")/2+Octobre!AK66</f>
        <v>0</v>
      </c>
      <c r="AL66" s="45">
        <f>COUNTIFS(Novembre!$C66:$AG66,"a")/2+Octobre!AL66</f>
        <v>0</v>
      </c>
      <c r="AM66" s="46"/>
      <c r="AN66" s="47"/>
      <c r="AO66" s="47"/>
      <c r="AP66" s="46"/>
      <c r="AQ66" s="47"/>
      <c r="AR66" s="47"/>
      <c r="AS66" s="101"/>
    </row>
    <row r="67" spans="1:45" s="63" customFormat="1" ht="12.95" customHeight="1" x14ac:dyDescent="0.25">
      <c r="A67" s="41"/>
      <c r="B67" s="42"/>
      <c r="C67" s="49" t="str">
        <f t="shared" ref="C67:AG67" si="19">IF(C65&gt;0,C65,IF(C66&gt;0,C66,""))</f>
        <v/>
      </c>
      <c r="D67" s="49" t="str">
        <f t="shared" si="19"/>
        <v/>
      </c>
      <c r="E67" s="49" t="str">
        <f t="shared" si="19"/>
        <v/>
      </c>
      <c r="F67" s="49" t="str">
        <f t="shared" si="19"/>
        <v/>
      </c>
      <c r="G67" s="49" t="str">
        <f t="shared" si="19"/>
        <v/>
      </c>
      <c r="H67" s="49" t="str">
        <f t="shared" si="19"/>
        <v/>
      </c>
      <c r="I67" s="49" t="str">
        <f t="shared" si="19"/>
        <v/>
      </c>
      <c r="J67" s="49" t="str">
        <f t="shared" si="19"/>
        <v/>
      </c>
      <c r="K67" s="49" t="str">
        <f t="shared" si="19"/>
        <v/>
      </c>
      <c r="L67" s="49" t="str">
        <f t="shared" si="19"/>
        <v/>
      </c>
      <c r="M67" s="49" t="str">
        <f t="shared" si="19"/>
        <v/>
      </c>
      <c r="N67" s="49" t="str">
        <f t="shared" si="19"/>
        <v/>
      </c>
      <c r="O67" s="49" t="str">
        <f t="shared" si="19"/>
        <v/>
      </c>
      <c r="P67" s="49" t="str">
        <f t="shared" si="19"/>
        <v/>
      </c>
      <c r="Q67" s="49" t="str">
        <f t="shared" si="19"/>
        <v/>
      </c>
      <c r="R67" s="49" t="str">
        <f t="shared" si="19"/>
        <v/>
      </c>
      <c r="S67" s="49" t="str">
        <f t="shared" si="19"/>
        <v/>
      </c>
      <c r="T67" s="49" t="str">
        <f t="shared" si="19"/>
        <v/>
      </c>
      <c r="U67" s="49" t="str">
        <f t="shared" si="19"/>
        <v/>
      </c>
      <c r="V67" s="49" t="str">
        <f t="shared" si="19"/>
        <v/>
      </c>
      <c r="W67" s="49" t="str">
        <f t="shared" si="19"/>
        <v/>
      </c>
      <c r="X67" s="49" t="str">
        <f t="shared" si="19"/>
        <v/>
      </c>
      <c r="Y67" s="49" t="str">
        <f t="shared" si="19"/>
        <v/>
      </c>
      <c r="Z67" s="49" t="str">
        <f t="shared" si="19"/>
        <v/>
      </c>
      <c r="AA67" s="49" t="str">
        <f t="shared" si="19"/>
        <v/>
      </c>
      <c r="AB67" s="49" t="str">
        <f t="shared" si="19"/>
        <v/>
      </c>
      <c r="AC67" s="49" t="str">
        <f t="shared" si="19"/>
        <v/>
      </c>
      <c r="AD67" s="49" t="str">
        <f t="shared" si="19"/>
        <v/>
      </c>
      <c r="AE67" s="49" t="str">
        <f t="shared" si="19"/>
        <v/>
      </c>
      <c r="AF67" s="49" t="str">
        <f t="shared" si="19"/>
        <v/>
      </c>
      <c r="AG67" s="49" t="str">
        <f t="shared" si="19"/>
        <v/>
      </c>
      <c r="AH67" s="44">
        <f>SUM(AH65:AH66)</f>
        <v>0</v>
      </c>
      <c r="AI67" s="45">
        <f>SUM(AI65:AI66)</f>
        <v>16</v>
      </c>
      <c r="AJ67" s="45">
        <f>SUM(AJ65:AJ66)</f>
        <v>0</v>
      </c>
      <c r="AK67" s="45">
        <f>SUM(AK65:AK66)</f>
        <v>0</v>
      </c>
      <c r="AL67" s="45">
        <f>SUM(AL65:AL66)</f>
        <v>0</v>
      </c>
      <c r="AM67" s="50">
        <f>Juin!AM67</f>
        <v>22.46</v>
      </c>
      <c r="AN67" s="51">
        <f>IF(A66="","",IF(A66&gt;NomMois,0,IF(A66&lt;$A$3,2.08,(NETWORKDAYS(A66,$A$2)/21.66667)*2.08)))</f>
        <v>2.08</v>
      </c>
      <c r="AO67" s="51">
        <f>IF( AN67="",0,+AN67+Octobre!AO67)</f>
        <v>12.48</v>
      </c>
      <c r="AP67" s="50"/>
      <c r="AQ67" s="45">
        <f>+AM67-AI67</f>
        <v>6.4600000000000009</v>
      </c>
      <c r="AR67" s="45">
        <f>+AP67-AJ67</f>
        <v>0</v>
      </c>
      <c r="AS67" s="102">
        <f t="shared" si="10"/>
        <v>18.940000000000001</v>
      </c>
    </row>
    <row r="68" spans="1:45" s="63" customFormat="1" ht="6.75" customHeight="1" x14ac:dyDescent="0.25">
      <c r="A68" s="64"/>
      <c r="B68" s="42"/>
      <c r="C68" s="64"/>
      <c r="D68" s="64"/>
      <c r="E68" s="64"/>
      <c r="F68" s="64"/>
      <c r="G68" s="64"/>
      <c r="H68" s="64"/>
      <c r="I68" s="64"/>
      <c r="J68" s="64"/>
      <c r="K68" s="64"/>
      <c r="L68" s="64"/>
      <c r="M68" s="64"/>
      <c r="N68" s="64"/>
      <c r="O68" s="64"/>
      <c r="P68" s="64"/>
      <c r="Q68" s="64"/>
      <c r="R68" s="64"/>
      <c r="S68" s="64"/>
      <c r="T68" s="64"/>
      <c r="U68" s="64"/>
      <c r="V68" s="64"/>
      <c r="W68" s="64"/>
      <c r="X68" s="64"/>
      <c r="Y68" s="64"/>
      <c r="Z68" s="64"/>
      <c r="AA68" s="64"/>
      <c r="AB68" s="64"/>
      <c r="AC68" s="64"/>
      <c r="AD68" s="64"/>
      <c r="AE68" s="64"/>
      <c r="AF68" s="64"/>
      <c r="AG68" s="64"/>
      <c r="AH68" s="65"/>
      <c r="AI68" s="65"/>
      <c r="AJ68" s="65"/>
      <c r="AK68" s="65"/>
      <c r="AL68" s="65"/>
      <c r="AM68" s="64"/>
      <c r="AN68" s="65"/>
      <c r="AO68" s="65"/>
      <c r="AP68" s="64"/>
      <c r="AQ68" s="69"/>
      <c r="AR68" s="69"/>
      <c r="AS68" s="65"/>
    </row>
    <row r="69" spans="1:45" s="63" customFormat="1" ht="12.95" customHeight="1" x14ac:dyDescent="0.25">
      <c r="A69" s="41"/>
      <c r="B69" s="42" t="s">
        <v>15</v>
      </c>
      <c r="C69" s="67"/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 t="s">
        <v>7</v>
      </c>
      <c r="X69" s="43"/>
      <c r="Y69" s="43"/>
      <c r="Z69" s="43" t="s">
        <v>10</v>
      </c>
      <c r="AA69" s="43"/>
      <c r="AB69" s="43"/>
      <c r="AC69" s="43" t="s">
        <v>10</v>
      </c>
      <c r="AD69" s="43"/>
      <c r="AE69" s="43"/>
      <c r="AF69" s="43"/>
      <c r="AG69" s="43"/>
      <c r="AH69" s="44">
        <f>COUNTA(Novembre!$C69:$AG69)</f>
        <v>3</v>
      </c>
      <c r="AI69" s="45">
        <f>(COUNTIFS(Novembre!$C69:$AG69,("cp")))/2+Octobre!AI69</f>
        <v>10.5</v>
      </c>
      <c r="AJ69" s="45">
        <f>COUNTIFS(Novembre!$C69:$AG69,"RTT")/2+Octobre!AJ69</f>
        <v>0</v>
      </c>
      <c r="AK69" s="45">
        <f>COUNTIFS(Novembre!$C69:$AG69,"m")/2+Octobre!AK69</f>
        <v>0</v>
      </c>
      <c r="AL69" s="45">
        <f>COUNTIFS(Novembre!$C69:$AG69,"a")/2+Octobre!AL69</f>
        <v>2</v>
      </c>
      <c r="AM69" s="46"/>
      <c r="AN69" s="47"/>
      <c r="AO69" s="47"/>
      <c r="AP69" s="46"/>
      <c r="AQ69" s="47"/>
      <c r="AR69" s="47"/>
      <c r="AS69" s="47"/>
    </row>
    <row r="70" spans="1:45" s="63" customFormat="1" ht="12.95" customHeight="1" x14ac:dyDescent="0.25">
      <c r="A70" s="48">
        <v>41701</v>
      </c>
      <c r="B70" s="42" t="s">
        <v>16</v>
      </c>
      <c r="C70" s="67"/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  <c r="S70" s="43"/>
      <c r="T70" s="43"/>
      <c r="U70" s="43"/>
      <c r="V70" s="43"/>
      <c r="W70" s="43" t="s">
        <v>7</v>
      </c>
      <c r="X70" s="43"/>
      <c r="Y70" s="43"/>
      <c r="Z70" s="43" t="s">
        <v>10</v>
      </c>
      <c r="AA70" s="43"/>
      <c r="AB70" s="43"/>
      <c r="AC70" s="43" t="s">
        <v>10</v>
      </c>
      <c r="AD70" s="43"/>
      <c r="AE70" s="43"/>
      <c r="AF70" s="43"/>
      <c r="AG70" s="43"/>
      <c r="AH70" s="44">
        <f>COUNTA(Novembre!$C70:$AG70)</f>
        <v>3</v>
      </c>
      <c r="AI70" s="45">
        <f>(COUNTIFS(Novembre!$C70:$AG70,("cp")))/2+Octobre!AI70</f>
        <v>10.5</v>
      </c>
      <c r="AJ70" s="45">
        <f>COUNTIFS(Novembre!$C70:$AG70,"RTT")/2+Octobre!AJ70</f>
        <v>0</v>
      </c>
      <c r="AK70" s="45">
        <f>COUNTIFS(Novembre!$C70:$AG70,"m")/2+Octobre!AK70</f>
        <v>0</v>
      </c>
      <c r="AL70" s="45">
        <f>COUNTIFS(Novembre!$C70:$AG70,"a")/2+Octobre!AL70</f>
        <v>2</v>
      </c>
      <c r="AM70" s="46"/>
      <c r="AN70" s="47"/>
      <c r="AO70" s="47"/>
      <c r="AP70" s="46"/>
      <c r="AQ70" s="47"/>
      <c r="AR70" s="47"/>
      <c r="AS70" s="101"/>
    </row>
    <row r="71" spans="1:45" s="63" customFormat="1" ht="12.95" customHeight="1" x14ac:dyDescent="0.25">
      <c r="A71" s="41"/>
      <c r="B71" s="42"/>
      <c r="C71" s="49" t="str">
        <f t="shared" ref="C71:AG71" si="20">IF(C69&gt;0,C69,IF(C70&gt;0,C70,""))</f>
        <v/>
      </c>
      <c r="D71" s="49" t="str">
        <f t="shared" si="20"/>
        <v/>
      </c>
      <c r="E71" s="49" t="str">
        <f t="shared" si="20"/>
        <v/>
      </c>
      <c r="F71" s="49" t="str">
        <f t="shared" si="20"/>
        <v/>
      </c>
      <c r="G71" s="49" t="str">
        <f t="shared" si="20"/>
        <v/>
      </c>
      <c r="H71" s="49" t="str">
        <f t="shared" si="20"/>
        <v/>
      </c>
      <c r="I71" s="49" t="str">
        <f t="shared" si="20"/>
        <v/>
      </c>
      <c r="J71" s="49" t="str">
        <f t="shared" si="20"/>
        <v/>
      </c>
      <c r="K71" s="49" t="str">
        <f t="shared" si="20"/>
        <v/>
      </c>
      <c r="L71" s="49" t="str">
        <f t="shared" si="20"/>
        <v/>
      </c>
      <c r="M71" s="49" t="str">
        <f t="shared" si="20"/>
        <v/>
      </c>
      <c r="N71" s="49" t="str">
        <f t="shared" si="20"/>
        <v/>
      </c>
      <c r="O71" s="49" t="str">
        <f t="shared" si="20"/>
        <v/>
      </c>
      <c r="P71" s="49" t="str">
        <f t="shared" si="20"/>
        <v/>
      </c>
      <c r="Q71" s="49" t="str">
        <f t="shared" si="20"/>
        <v/>
      </c>
      <c r="R71" s="49" t="str">
        <f t="shared" si="20"/>
        <v/>
      </c>
      <c r="S71" s="49" t="str">
        <f t="shared" si="20"/>
        <v/>
      </c>
      <c r="T71" s="49" t="str">
        <f t="shared" si="20"/>
        <v/>
      </c>
      <c r="U71" s="49" t="str">
        <f t="shared" si="20"/>
        <v/>
      </c>
      <c r="V71" s="49" t="str">
        <f t="shared" si="20"/>
        <v/>
      </c>
      <c r="W71" s="49" t="str">
        <f t="shared" si="20"/>
        <v>CP</v>
      </c>
      <c r="X71" s="49" t="str">
        <f t="shared" si="20"/>
        <v/>
      </c>
      <c r="Y71" s="49" t="str">
        <f t="shared" si="20"/>
        <v/>
      </c>
      <c r="Z71" s="49" t="str">
        <f t="shared" si="20"/>
        <v>A</v>
      </c>
      <c r="AA71" s="49" t="str">
        <f t="shared" si="20"/>
        <v/>
      </c>
      <c r="AB71" s="49" t="str">
        <f t="shared" si="20"/>
        <v/>
      </c>
      <c r="AC71" s="49" t="str">
        <f t="shared" si="20"/>
        <v>A</v>
      </c>
      <c r="AD71" s="49" t="str">
        <f t="shared" si="20"/>
        <v/>
      </c>
      <c r="AE71" s="49" t="str">
        <f t="shared" si="20"/>
        <v/>
      </c>
      <c r="AF71" s="49" t="str">
        <f t="shared" si="20"/>
        <v/>
      </c>
      <c r="AG71" s="49" t="str">
        <f t="shared" si="20"/>
        <v/>
      </c>
      <c r="AH71" s="44">
        <f>SUM(AH69:AH70)</f>
        <v>6</v>
      </c>
      <c r="AI71" s="45">
        <f>SUM(AI69:AI70)</f>
        <v>21</v>
      </c>
      <c r="AJ71" s="45">
        <f>SUM(AJ69:AJ70)</f>
        <v>0</v>
      </c>
      <c r="AK71" s="45">
        <f>SUM(AK69:AK70)</f>
        <v>0</v>
      </c>
      <c r="AL71" s="45">
        <f>SUM(AL69:AL70)</f>
        <v>4</v>
      </c>
      <c r="AM71" s="50">
        <f>Juin!AM71</f>
        <v>45.34</v>
      </c>
      <c r="AN71" s="51">
        <f>IF(A70="","",IF(A70&gt;NomMois,0,IF(A70&lt;$A$3,2.08,(NETWORKDAYS(A70,$A$2)/21.66667)*2.08)))</f>
        <v>2.08</v>
      </c>
      <c r="AO71" s="51">
        <f>IF( AN71="",0,+AN71+Octobre!AO71)</f>
        <v>12.48</v>
      </c>
      <c r="AP71" s="50"/>
      <c r="AQ71" s="45">
        <f>+AM71-AI71</f>
        <v>24.340000000000003</v>
      </c>
      <c r="AR71" s="45">
        <f>+AP71-AJ71</f>
        <v>0</v>
      </c>
      <c r="AS71" s="102">
        <f t="shared" si="10"/>
        <v>36.820000000000007</v>
      </c>
    </row>
    <row r="72" spans="1:45" s="63" customFormat="1" ht="6.75" customHeight="1" x14ac:dyDescent="0.25">
      <c r="A72" s="60"/>
      <c r="B72" s="53"/>
      <c r="C72" s="60"/>
      <c r="D72" s="60"/>
      <c r="E72" s="60"/>
      <c r="F72" s="60"/>
      <c r="G72" s="60"/>
      <c r="H72" s="60"/>
      <c r="I72" s="60"/>
      <c r="J72" s="60"/>
      <c r="K72" s="60"/>
      <c r="L72" s="60"/>
      <c r="M72" s="60"/>
      <c r="N72" s="60"/>
      <c r="O72" s="60"/>
      <c r="P72" s="60"/>
      <c r="Q72" s="60"/>
      <c r="R72" s="60"/>
      <c r="S72" s="60"/>
      <c r="T72" s="60"/>
      <c r="U72" s="60"/>
      <c r="V72" s="60"/>
      <c r="W72" s="60"/>
      <c r="X72" s="60"/>
      <c r="Y72" s="60"/>
      <c r="Z72" s="60"/>
      <c r="AA72" s="60"/>
      <c r="AB72" s="60"/>
      <c r="AC72" s="60"/>
      <c r="AD72" s="60"/>
      <c r="AE72" s="60"/>
      <c r="AF72" s="60"/>
      <c r="AG72" s="60"/>
      <c r="AH72" s="61"/>
      <c r="AI72" s="61"/>
      <c r="AJ72" s="61"/>
      <c r="AK72" s="61"/>
      <c r="AL72" s="61"/>
      <c r="AM72" s="60"/>
      <c r="AN72" s="61"/>
      <c r="AO72" s="61"/>
      <c r="AP72" s="60"/>
      <c r="AQ72" s="69"/>
      <c r="AR72" s="69"/>
      <c r="AS72" s="65"/>
    </row>
    <row r="73" spans="1:45" s="63" customFormat="1" ht="12.95" customHeight="1" x14ac:dyDescent="0.25">
      <c r="A73" s="41"/>
      <c r="B73" s="42" t="s">
        <v>15</v>
      </c>
      <c r="C73" s="67"/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43"/>
      <c r="AH73" s="44">
        <f>COUNTA(Novembre!$C73:$AG73)</f>
        <v>0</v>
      </c>
      <c r="AI73" s="45">
        <f>(COUNTIFS(Novembre!$C73:$AG73,("cp")))/2+Octobre!AI73</f>
        <v>0</v>
      </c>
      <c r="AJ73" s="45">
        <f>COUNTIFS(Novembre!$C73:$AG73,"RTT")/2+Octobre!AJ73</f>
        <v>0</v>
      </c>
      <c r="AK73" s="45">
        <f>COUNTIFS(Novembre!$C73:$AG73,"m")/2+Octobre!AK73</f>
        <v>0</v>
      </c>
      <c r="AL73" s="45">
        <f>COUNTIFS(Novembre!$C73:$AG73,"a")/2+Octobre!AL73</f>
        <v>0</v>
      </c>
      <c r="AM73" s="46"/>
      <c r="AN73" s="47"/>
      <c r="AO73" s="47"/>
      <c r="AP73" s="46"/>
      <c r="AQ73" s="47"/>
      <c r="AR73" s="47"/>
      <c r="AS73" s="47"/>
    </row>
    <row r="74" spans="1:45" s="63" customFormat="1" ht="12.95" customHeight="1" x14ac:dyDescent="0.25">
      <c r="A74" s="48">
        <v>42979</v>
      </c>
      <c r="B74" s="42" t="s">
        <v>16</v>
      </c>
      <c r="C74" s="67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43"/>
      <c r="AH74" s="44">
        <f>COUNTA(Novembre!$C74:$AG74)</f>
        <v>0</v>
      </c>
      <c r="AI74" s="45">
        <f>(COUNTIFS(Novembre!$C74:$AG74,("cp")))/2+Octobre!AI74</f>
        <v>0</v>
      </c>
      <c r="AJ74" s="45">
        <f>COUNTIFS(Novembre!$C74:$AG74,"RTT")/2+Octobre!AJ74</f>
        <v>0</v>
      </c>
      <c r="AK74" s="45">
        <f>COUNTIFS(Novembre!$C74:$AG74,"m")/2+Octobre!AK74</f>
        <v>0</v>
      </c>
      <c r="AL74" s="45">
        <f>COUNTIFS(Novembre!$C74:$AG74,"a")/2+Octobre!AL74</f>
        <v>0</v>
      </c>
      <c r="AM74" s="46"/>
      <c r="AN74" s="47"/>
      <c r="AO74" s="47"/>
      <c r="AP74" s="46"/>
      <c r="AQ74" s="47"/>
      <c r="AR74" s="47"/>
      <c r="AS74" s="101"/>
    </row>
    <row r="75" spans="1:45" s="63" customFormat="1" ht="12.95" customHeight="1" x14ac:dyDescent="0.25">
      <c r="A75" s="41"/>
      <c r="B75" s="42"/>
      <c r="C75" s="49" t="str">
        <f t="shared" ref="C75:AG75" si="21">IF(C73&gt;0,C73,IF(C74&gt;0,C74,""))</f>
        <v/>
      </c>
      <c r="D75" s="49" t="str">
        <f t="shared" si="21"/>
        <v/>
      </c>
      <c r="E75" s="49" t="str">
        <f t="shared" si="21"/>
        <v/>
      </c>
      <c r="F75" s="49" t="str">
        <f t="shared" si="21"/>
        <v/>
      </c>
      <c r="G75" s="49" t="str">
        <f t="shared" si="21"/>
        <v/>
      </c>
      <c r="H75" s="49" t="str">
        <f t="shared" si="21"/>
        <v/>
      </c>
      <c r="I75" s="49" t="str">
        <f t="shared" si="21"/>
        <v/>
      </c>
      <c r="J75" s="49" t="str">
        <f t="shared" si="21"/>
        <v/>
      </c>
      <c r="K75" s="49" t="str">
        <f t="shared" si="21"/>
        <v/>
      </c>
      <c r="L75" s="49" t="str">
        <f t="shared" si="21"/>
        <v/>
      </c>
      <c r="M75" s="49" t="str">
        <f t="shared" si="21"/>
        <v/>
      </c>
      <c r="N75" s="49" t="str">
        <f t="shared" si="21"/>
        <v/>
      </c>
      <c r="O75" s="49" t="str">
        <f t="shared" si="21"/>
        <v/>
      </c>
      <c r="P75" s="49" t="str">
        <f t="shared" si="21"/>
        <v/>
      </c>
      <c r="Q75" s="49" t="str">
        <f t="shared" si="21"/>
        <v/>
      </c>
      <c r="R75" s="49" t="str">
        <f t="shared" si="21"/>
        <v/>
      </c>
      <c r="S75" s="49" t="str">
        <f t="shared" si="21"/>
        <v/>
      </c>
      <c r="T75" s="49" t="str">
        <f t="shared" si="21"/>
        <v/>
      </c>
      <c r="U75" s="49" t="str">
        <f t="shared" si="21"/>
        <v/>
      </c>
      <c r="V75" s="49" t="str">
        <f t="shared" si="21"/>
        <v/>
      </c>
      <c r="W75" s="49" t="str">
        <f t="shared" si="21"/>
        <v/>
      </c>
      <c r="X75" s="49" t="str">
        <f t="shared" si="21"/>
        <v/>
      </c>
      <c r="Y75" s="49" t="str">
        <f t="shared" si="21"/>
        <v/>
      </c>
      <c r="Z75" s="49" t="str">
        <f t="shared" si="21"/>
        <v/>
      </c>
      <c r="AA75" s="49" t="str">
        <f t="shared" si="21"/>
        <v/>
      </c>
      <c r="AB75" s="49" t="str">
        <f t="shared" si="21"/>
        <v/>
      </c>
      <c r="AC75" s="49" t="str">
        <f t="shared" si="21"/>
        <v/>
      </c>
      <c r="AD75" s="49" t="str">
        <f t="shared" si="21"/>
        <v/>
      </c>
      <c r="AE75" s="49" t="str">
        <f t="shared" si="21"/>
        <v/>
      </c>
      <c r="AF75" s="49" t="str">
        <f t="shared" si="21"/>
        <v/>
      </c>
      <c r="AG75" s="49" t="str">
        <f t="shared" si="21"/>
        <v/>
      </c>
      <c r="AH75" s="44">
        <f>SUM(AH73:AH74)</f>
        <v>0</v>
      </c>
      <c r="AI75" s="45">
        <f>SUM(AI73:AI74)</f>
        <v>0</v>
      </c>
      <c r="AJ75" s="45">
        <f>SUM(AJ73:AJ74)</f>
        <v>0</v>
      </c>
      <c r="AK75" s="45">
        <f>SUM(AK73:AK74)</f>
        <v>0</v>
      </c>
      <c r="AL75" s="45">
        <f>SUM(AL73:AL74)</f>
        <v>0</v>
      </c>
      <c r="AM75" s="50">
        <f>Juin!AM75</f>
        <v>0</v>
      </c>
      <c r="AN75" s="51">
        <f>IF(A74="","",IF(A74&gt;NomMois,0,IF(A74&lt;$A$3,2.08,(NETWORKDAYS(A74,$A$2)/21.66667)*2.08)))</f>
        <v>2.08</v>
      </c>
      <c r="AO75" s="51">
        <f>IF( AN75="",0,+AN75+Octobre!AO75)</f>
        <v>6.1759996898462024</v>
      </c>
      <c r="AP75" s="50"/>
      <c r="AQ75" s="45">
        <f>+AM75-AI75</f>
        <v>0</v>
      </c>
      <c r="AR75" s="45">
        <f>+AP75-AJ75</f>
        <v>0</v>
      </c>
      <c r="AS75" s="102">
        <f t="shared" si="10"/>
        <v>6.1759996898462024</v>
      </c>
    </row>
    <row r="76" spans="1:45" s="63" customFormat="1" ht="6.75" customHeight="1" x14ac:dyDescent="0.25">
      <c r="A76" s="64"/>
      <c r="B76" s="42"/>
      <c r="C76" s="64"/>
      <c r="D76" s="64"/>
      <c r="E76" s="64"/>
      <c r="F76" s="64"/>
      <c r="G76" s="64"/>
      <c r="H76" s="64"/>
      <c r="I76" s="64"/>
      <c r="J76" s="64"/>
      <c r="K76" s="64"/>
      <c r="L76" s="64"/>
      <c r="M76" s="64"/>
      <c r="N76" s="64"/>
      <c r="O76" s="64"/>
      <c r="P76" s="64"/>
      <c r="Q76" s="64"/>
      <c r="R76" s="64"/>
      <c r="S76" s="64"/>
      <c r="T76" s="64"/>
      <c r="U76" s="64"/>
      <c r="V76" s="64"/>
      <c r="W76" s="64"/>
      <c r="X76" s="64"/>
      <c r="Y76" s="64"/>
      <c r="Z76" s="64"/>
      <c r="AA76" s="64"/>
      <c r="AB76" s="64"/>
      <c r="AC76" s="64"/>
      <c r="AD76" s="64"/>
      <c r="AE76" s="64"/>
      <c r="AF76" s="64"/>
      <c r="AG76" s="64"/>
      <c r="AH76" s="65"/>
      <c r="AI76" s="65"/>
      <c r="AJ76" s="65"/>
      <c r="AK76" s="65"/>
      <c r="AL76" s="65"/>
      <c r="AM76" s="64"/>
      <c r="AN76" s="65"/>
      <c r="AO76" s="65"/>
      <c r="AP76" s="64"/>
      <c r="AQ76" s="69"/>
      <c r="AR76" s="69"/>
      <c r="AS76" s="65"/>
    </row>
    <row r="77" spans="1:45" s="63" customFormat="1" ht="12.95" customHeight="1" x14ac:dyDescent="0.25">
      <c r="A77" s="41"/>
      <c r="B77" s="42" t="s">
        <v>15</v>
      </c>
      <c r="C77" s="67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43"/>
      <c r="AH77" s="44">
        <f>COUNTA(Novembre!$C77:$AG77)</f>
        <v>0</v>
      </c>
      <c r="AI77" s="45">
        <f>(COUNTIFS(Novembre!$C77:$AG77,("cp")))/2+Octobre!AI77</f>
        <v>0</v>
      </c>
      <c r="AJ77" s="45">
        <f>COUNTIFS(Novembre!$C77:$AG77,"RTT")/2+Octobre!AJ77</f>
        <v>0</v>
      </c>
      <c r="AK77" s="45">
        <f>COUNTIFS(Novembre!$C77:$AG77,"m")/2+Octobre!AK77</f>
        <v>0</v>
      </c>
      <c r="AL77" s="45">
        <f>COUNTIFS(Novembre!$C77:$AG77,"a")/2+Octobre!AL77</f>
        <v>0</v>
      </c>
      <c r="AM77" s="46"/>
      <c r="AN77" s="47"/>
      <c r="AO77" s="47"/>
      <c r="AP77" s="46"/>
      <c r="AQ77" s="47"/>
      <c r="AR77" s="47"/>
      <c r="AS77" s="47"/>
    </row>
    <row r="78" spans="1:45" s="63" customFormat="1" ht="12.95" customHeight="1" x14ac:dyDescent="0.25">
      <c r="A78" s="48">
        <v>43059</v>
      </c>
      <c r="B78" s="42" t="s">
        <v>16</v>
      </c>
      <c r="C78" s="67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  <c r="AA78" s="43"/>
      <c r="AB78" s="43"/>
      <c r="AC78" s="43"/>
      <c r="AD78" s="43"/>
      <c r="AE78" s="43"/>
      <c r="AF78" s="43"/>
      <c r="AG78" s="43"/>
      <c r="AH78" s="44">
        <f>COUNTA(Novembre!$C78:$AG78)</f>
        <v>0</v>
      </c>
      <c r="AI78" s="45">
        <f>(COUNTIFS(Novembre!$C78:$AG78,("cp")))/2+Octobre!AI78</f>
        <v>0</v>
      </c>
      <c r="AJ78" s="45">
        <f>COUNTIFS(Novembre!$C78:$AG78,"RTT")/2+Octobre!AJ78</f>
        <v>0</v>
      </c>
      <c r="AK78" s="45">
        <f>COUNTIFS(Novembre!$C78:$AG78,"m")/2+Octobre!AK78</f>
        <v>0</v>
      </c>
      <c r="AL78" s="45">
        <f>COUNTIFS(Novembre!$C78:$AG78,"a")/2+Octobre!AL78</f>
        <v>0</v>
      </c>
      <c r="AM78" s="46"/>
      <c r="AN78" s="47"/>
      <c r="AO78" s="47"/>
      <c r="AP78" s="46"/>
      <c r="AQ78" s="47"/>
      <c r="AR78" s="47"/>
      <c r="AS78" s="101"/>
    </row>
    <row r="79" spans="1:45" s="63" customFormat="1" ht="12.95" customHeight="1" x14ac:dyDescent="0.25">
      <c r="A79" s="41"/>
      <c r="B79" s="42"/>
      <c r="C79" s="49" t="str">
        <f t="shared" ref="C79:AG79" si="22">IF(C77&gt;0,C77,IF(C78&gt;0,C78,""))</f>
        <v/>
      </c>
      <c r="D79" s="49" t="str">
        <f t="shared" si="22"/>
        <v/>
      </c>
      <c r="E79" s="49" t="str">
        <f t="shared" si="22"/>
        <v/>
      </c>
      <c r="F79" s="49" t="str">
        <f t="shared" si="22"/>
        <v/>
      </c>
      <c r="G79" s="49" t="str">
        <f t="shared" si="22"/>
        <v/>
      </c>
      <c r="H79" s="49" t="str">
        <f t="shared" si="22"/>
        <v/>
      </c>
      <c r="I79" s="49" t="str">
        <f t="shared" si="22"/>
        <v/>
      </c>
      <c r="J79" s="49" t="str">
        <f t="shared" si="22"/>
        <v/>
      </c>
      <c r="K79" s="49" t="str">
        <f t="shared" si="22"/>
        <v/>
      </c>
      <c r="L79" s="49" t="str">
        <f t="shared" si="22"/>
        <v/>
      </c>
      <c r="M79" s="49" t="str">
        <f t="shared" si="22"/>
        <v/>
      </c>
      <c r="N79" s="49" t="str">
        <f t="shared" si="22"/>
        <v/>
      </c>
      <c r="O79" s="49" t="str">
        <f t="shared" si="22"/>
        <v/>
      </c>
      <c r="P79" s="49" t="str">
        <f t="shared" si="22"/>
        <v/>
      </c>
      <c r="Q79" s="49" t="str">
        <f t="shared" si="22"/>
        <v/>
      </c>
      <c r="R79" s="49" t="str">
        <f t="shared" si="22"/>
        <v/>
      </c>
      <c r="S79" s="49" t="str">
        <f t="shared" si="22"/>
        <v/>
      </c>
      <c r="T79" s="49" t="str">
        <f t="shared" si="22"/>
        <v/>
      </c>
      <c r="U79" s="49" t="str">
        <f t="shared" si="22"/>
        <v/>
      </c>
      <c r="V79" s="49" t="str">
        <f t="shared" si="22"/>
        <v/>
      </c>
      <c r="W79" s="49" t="str">
        <f t="shared" si="22"/>
        <v/>
      </c>
      <c r="X79" s="49" t="str">
        <f t="shared" si="22"/>
        <v/>
      </c>
      <c r="Y79" s="49" t="str">
        <f t="shared" si="22"/>
        <v/>
      </c>
      <c r="Z79" s="49" t="str">
        <f t="shared" si="22"/>
        <v/>
      </c>
      <c r="AA79" s="49" t="str">
        <f t="shared" si="22"/>
        <v/>
      </c>
      <c r="AB79" s="49" t="str">
        <f t="shared" si="22"/>
        <v/>
      </c>
      <c r="AC79" s="49" t="str">
        <f t="shared" si="22"/>
        <v/>
      </c>
      <c r="AD79" s="49" t="str">
        <f t="shared" si="22"/>
        <v/>
      </c>
      <c r="AE79" s="49" t="str">
        <f t="shared" si="22"/>
        <v/>
      </c>
      <c r="AF79" s="49" t="str">
        <f t="shared" si="22"/>
        <v/>
      </c>
      <c r="AG79" s="49" t="str">
        <f t="shared" si="22"/>
        <v/>
      </c>
      <c r="AH79" s="44">
        <f>SUM(AH77:AH78)</f>
        <v>0</v>
      </c>
      <c r="AI79" s="45">
        <f>SUM(AI77:AI78)</f>
        <v>0</v>
      </c>
      <c r="AJ79" s="45">
        <f>SUM(AJ77:AJ78)</f>
        <v>0</v>
      </c>
      <c r="AK79" s="45">
        <f>SUM(AK77:AK78)</f>
        <v>0</v>
      </c>
      <c r="AL79" s="45">
        <f>SUM(AL77:AL78)</f>
        <v>0</v>
      </c>
      <c r="AM79" s="50">
        <f>Juin!AM79</f>
        <v>0</v>
      </c>
      <c r="AN79" s="51">
        <f>IF(A78="","",IF(A78&gt;NomMois,0,IF(A78&lt;$A$3,2.08,(NETWORKDAYS(A78,$A$2)/21.66667)*2.08)))</f>
        <v>0.86399986707694354</v>
      </c>
      <c r="AO79" s="51">
        <f>IF( AN79="",0,+AN79+Octobre!AO79)</f>
        <v>0.86399986707694354</v>
      </c>
      <c r="AP79" s="50"/>
      <c r="AQ79" s="45">
        <f>+AM79-AI79</f>
        <v>0</v>
      </c>
      <c r="AR79" s="45">
        <f>+AP79-AJ79</f>
        <v>0</v>
      </c>
      <c r="AS79" s="102">
        <f t="shared" si="10"/>
        <v>0.86399986707694354</v>
      </c>
    </row>
    <row r="80" spans="1:45" s="63" customFormat="1" ht="6.75" customHeight="1" x14ac:dyDescent="0.25">
      <c r="A80" s="64"/>
      <c r="B80" s="42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  <c r="X80" s="64"/>
      <c r="Y80" s="64"/>
      <c r="Z80" s="64"/>
      <c r="AA80" s="64"/>
      <c r="AB80" s="64"/>
      <c r="AC80" s="64"/>
      <c r="AD80" s="64"/>
      <c r="AE80" s="64"/>
      <c r="AF80" s="64"/>
      <c r="AG80" s="64"/>
      <c r="AH80" s="65"/>
      <c r="AI80" s="65"/>
      <c r="AJ80" s="65"/>
      <c r="AK80" s="65"/>
      <c r="AL80" s="65"/>
      <c r="AM80" s="64"/>
      <c r="AN80" s="65"/>
      <c r="AO80" s="65"/>
      <c r="AP80" s="64"/>
      <c r="AQ80" s="69"/>
      <c r="AR80" s="69"/>
      <c r="AS80" s="65"/>
    </row>
    <row r="81" spans="1:45" s="63" customFormat="1" ht="12.95" customHeight="1" x14ac:dyDescent="0.25">
      <c r="A81" s="41"/>
      <c r="B81" s="42" t="s">
        <v>15</v>
      </c>
      <c r="C81" s="67"/>
      <c r="D81" s="43"/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  <c r="AA81" s="43"/>
      <c r="AB81" s="43"/>
      <c r="AC81" s="43"/>
      <c r="AD81" s="43"/>
      <c r="AE81" s="43"/>
      <c r="AF81" s="43"/>
      <c r="AG81" s="43"/>
      <c r="AH81" s="44">
        <f>COUNTA(Novembre!$C81:$AG81)</f>
        <v>0</v>
      </c>
      <c r="AI81" s="45">
        <f>(COUNTIFS(Novembre!$C81:$AG81,("cp")))/2+Octobre!AI81</f>
        <v>2.5</v>
      </c>
      <c r="AJ81" s="45">
        <f>COUNTIFS(Novembre!$C81:$AG81,"RTT")/2+Octobre!AJ81</f>
        <v>0</v>
      </c>
      <c r="AK81" s="45">
        <f>COUNTIFS(Novembre!$C81:$AG81,"m")/2+Octobre!AK81</f>
        <v>0</v>
      </c>
      <c r="AL81" s="45">
        <f>COUNTIFS(Novembre!$C81:$AG81,"a")/2+Octobre!AL81</f>
        <v>0</v>
      </c>
      <c r="AM81" s="46"/>
      <c r="AN81" s="47"/>
      <c r="AO81" s="47"/>
      <c r="AP81" s="46"/>
      <c r="AQ81" s="47"/>
      <c r="AR81" s="47"/>
      <c r="AS81" s="47"/>
    </row>
    <row r="82" spans="1:45" s="63" customFormat="1" ht="12.95" customHeight="1" x14ac:dyDescent="0.25">
      <c r="A82" s="48">
        <v>42506</v>
      </c>
      <c r="B82" s="42" t="s">
        <v>16</v>
      </c>
      <c r="C82" s="67"/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  <c r="S82" s="43"/>
      <c r="T82" s="43"/>
      <c r="U82" s="43"/>
      <c r="V82" s="43"/>
      <c r="W82" s="43"/>
      <c r="X82" s="43"/>
      <c r="Y82" s="43"/>
      <c r="Z82" s="43"/>
      <c r="AA82" s="43"/>
      <c r="AB82" s="43"/>
      <c r="AC82" s="43"/>
      <c r="AD82" s="43"/>
      <c r="AE82" s="43"/>
      <c r="AF82" s="43"/>
      <c r="AG82" s="43"/>
      <c r="AH82" s="44">
        <f>COUNTA(Novembre!$C82:$AG82)</f>
        <v>0</v>
      </c>
      <c r="AI82" s="45">
        <f>(COUNTIFS(Novembre!$C82:$AG82,("cp")))/2+Octobre!AI82</f>
        <v>2.5</v>
      </c>
      <c r="AJ82" s="45">
        <f>COUNTIFS(Novembre!$C82:$AG82,"RTT")/2+Octobre!AJ82</f>
        <v>0</v>
      </c>
      <c r="AK82" s="45">
        <f>COUNTIFS(Novembre!$C82:$AG82,"m")/2+Octobre!AK82</f>
        <v>0</v>
      </c>
      <c r="AL82" s="45">
        <f>COUNTIFS(Novembre!$C82:$AG82,"a")/2+Octobre!AL82</f>
        <v>0</v>
      </c>
      <c r="AM82" s="46"/>
      <c r="AN82" s="47"/>
      <c r="AO82" s="47"/>
      <c r="AP82" s="46"/>
      <c r="AQ82" s="47"/>
      <c r="AR82" s="47"/>
      <c r="AS82" s="101"/>
    </row>
    <row r="83" spans="1:45" s="63" customFormat="1" ht="12.95" customHeight="1" x14ac:dyDescent="0.25">
      <c r="A83" s="41"/>
      <c r="B83" s="42"/>
      <c r="C83" s="49" t="str">
        <f t="shared" ref="C83:AG83" si="23">IF(C81&gt;0,C81,IF(C82&gt;0,C82,""))</f>
        <v/>
      </c>
      <c r="D83" s="49" t="str">
        <f t="shared" si="23"/>
        <v/>
      </c>
      <c r="E83" s="49" t="str">
        <f t="shared" si="23"/>
        <v/>
      </c>
      <c r="F83" s="49" t="str">
        <f t="shared" si="23"/>
        <v/>
      </c>
      <c r="G83" s="49" t="str">
        <f t="shared" si="23"/>
        <v/>
      </c>
      <c r="H83" s="49" t="str">
        <f t="shared" si="23"/>
        <v/>
      </c>
      <c r="I83" s="49" t="str">
        <f t="shared" si="23"/>
        <v/>
      </c>
      <c r="J83" s="49" t="str">
        <f t="shared" si="23"/>
        <v/>
      </c>
      <c r="K83" s="49" t="str">
        <f t="shared" si="23"/>
        <v/>
      </c>
      <c r="L83" s="49" t="str">
        <f t="shared" si="23"/>
        <v/>
      </c>
      <c r="M83" s="49" t="str">
        <f t="shared" si="23"/>
        <v/>
      </c>
      <c r="N83" s="49" t="str">
        <f t="shared" si="23"/>
        <v/>
      </c>
      <c r="O83" s="49" t="str">
        <f t="shared" si="23"/>
        <v/>
      </c>
      <c r="P83" s="49" t="str">
        <f t="shared" si="23"/>
        <v/>
      </c>
      <c r="Q83" s="49" t="str">
        <f t="shared" si="23"/>
        <v/>
      </c>
      <c r="R83" s="49" t="str">
        <f t="shared" si="23"/>
        <v/>
      </c>
      <c r="S83" s="49" t="str">
        <f t="shared" si="23"/>
        <v/>
      </c>
      <c r="T83" s="49" t="str">
        <f t="shared" si="23"/>
        <v/>
      </c>
      <c r="U83" s="49" t="str">
        <f t="shared" si="23"/>
        <v/>
      </c>
      <c r="V83" s="49" t="str">
        <f t="shared" si="23"/>
        <v/>
      </c>
      <c r="W83" s="49" t="str">
        <f t="shared" si="23"/>
        <v/>
      </c>
      <c r="X83" s="49" t="str">
        <f t="shared" si="23"/>
        <v/>
      </c>
      <c r="Y83" s="49" t="str">
        <f t="shared" si="23"/>
        <v/>
      </c>
      <c r="Z83" s="49" t="str">
        <f t="shared" si="23"/>
        <v/>
      </c>
      <c r="AA83" s="49" t="str">
        <f t="shared" si="23"/>
        <v/>
      </c>
      <c r="AB83" s="49" t="str">
        <f t="shared" si="23"/>
        <v/>
      </c>
      <c r="AC83" s="49" t="str">
        <f t="shared" si="23"/>
        <v/>
      </c>
      <c r="AD83" s="49" t="str">
        <f t="shared" si="23"/>
        <v/>
      </c>
      <c r="AE83" s="49" t="str">
        <f t="shared" si="23"/>
        <v/>
      </c>
      <c r="AF83" s="49" t="str">
        <f t="shared" si="23"/>
        <v/>
      </c>
      <c r="AG83" s="49" t="str">
        <f t="shared" si="23"/>
        <v/>
      </c>
      <c r="AH83" s="44">
        <f>SUM(AH81:AH82)</f>
        <v>0</v>
      </c>
      <c r="AI83" s="45">
        <f>SUM(AI81:AI82)</f>
        <v>5</v>
      </c>
      <c r="AJ83" s="45">
        <f>SUM(AJ81:AJ82)</f>
        <v>0</v>
      </c>
      <c r="AK83" s="45">
        <f>SUM(AK81:AK82)</f>
        <v>0</v>
      </c>
      <c r="AL83" s="45">
        <f>SUM(AL81:AL82)</f>
        <v>0</v>
      </c>
      <c r="AM83" s="50">
        <f>Juin!AM83</f>
        <v>-9.98</v>
      </c>
      <c r="AN83" s="51">
        <f>IF(A82="","",IF(A82&gt;NomMois,0,IF(A82&lt;$A$3,2.08,(NETWORKDAYS(A82,$A$2)/21.66667)*2.08)))</f>
        <v>2.08</v>
      </c>
      <c r="AO83" s="51">
        <f>IF( AN83="",0,+AN83+Octobre!AO83)</f>
        <v>12.48</v>
      </c>
      <c r="AP83" s="50"/>
      <c r="AQ83" s="45">
        <f>+AM83-AI83</f>
        <v>-14.98</v>
      </c>
      <c r="AR83" s="45">
        <f>+AP83-AJ83</f>
        <v>0</v>
      </c>
      <c r="AS83" s="102">
        <f t="shared" si="10"/>
        <v>-2.5</v>
      </c>
    </row>
    <row r="84" spans="1:45" s="63" customFormat="1" ht="6.75" customHeight="1" x14ac:dyDescent="0.25">
      <c r="A84" s="64"/>
      <c r="B84" s="42"/>
      <c r="C84" s="64"/>
      <c r="D84" s="64"/>
      <c r="E84" s="64"/>
      <c r="F84" s="64"/>
      <c r="G84" s="64"/>
      <c r="H84" s="64"/>
      <c r="I84" s="64"/>
      <c r="J84" s="64"/>
      <c r="K84" s="64"/>
      <c r="L84" s="64"/>
      <c r="M84" s="64"/>
      <c r="N84" s="64"/>
      <c r="O84" s="64"/>
      <c r="P84" s="64"/>
      <c r="Q84" s="64"/>
      <c r="R84" s="64"/>
      <c r="S84" s="64"/>
      <c r="T84" s="64"/>
      <c r="U84" s="64"/>
      <c r="V84" s="64"/>
      <c r="W84" s="64"/>
      <c r="X84" s="64"/>
      <c r="Y84" s="64"/>
      <c r="Z84" s="64"/>
      <c r="AA84" s="64"/>
      <c r="AB84" s="64"/>
      <c r="AC84" s="64"/>
      <c r="AD84" s="64"/>
      <c r="AE84" s="64"/>
      <c r="AF84" s="64"/>
      <c r="AG84" s="64"/>
      <c r="AH84" s="65"/>
      <c r="AI84" s="65"/>
      <c r="AJ84" s="65"/>
      <c r="AK84" s="65"/>
      <c r="AL84" s="65"/>
      <c r="AM84" s="64"/>
      <c r="AN84" s="65"/>
      <c r="AO84" s="65"/>
      <c r="AP84" s="64"/>
      <c r="AQ84" s="69"/>
      <c r="AR84" s="69"/>
      <c r="AS84" s="65"/>
    </row>
    <row r="85" spans="1:45" s="63" customFormat="1" ht="12.95" customHeight="1" x14ac:dyDescent="0.25">
      <c r="A85" s="41"/>
      <c r="B85" s="42" t="s">
        <v>15</v>
      </c>
      <c r="C85" s="67"/>
      <c r="D85" s="43"/>
      <c r="E85" s="43"/>
      <c r="F85" s="43"/>
      <c r="G85" s="43"/>
      <c r="H85" s="43"/>
      <c r="I85" s="43"/>
      <c r="J85" s="43"/>
      <c r="K85" s="43"/>
      <c r="L85" s="43"/>
      <c r="M85" s="43"/>
      <c r="N85" s="43"/>
      <c r="O85" s="43"/>
      <c r="P85" s="43"/>
      <c r="Q85" s="43"/>
      <c r="R85" s="43"/>
      <c r="S85" s="43"/>
      <c r="T85" s="43"/>
      <c r="U85" s="43"/>
      <c r="V85" s="43"/>
      <c r="W85" s="43"/>
      <c r="X85" s="43"/>
      <c r="Y85" s="43"/>
      <c r="Z85" s="43"/>
      <c r="AA85" s="43"/>
      <c r="AB85" s="43"/>
      <c r="AC85" s="43"/>
      <c r="AD85" s="43"/>
      <c r="AE85" s="43"/>
      <c r="AF85" s="43"/>
      <c r="AG85" s="43"/>
      <c r="AH85" s="44">
        <f>COUNTA(Novembre!$C85:$AG85)</f>
        <v>0</v>
      </c>
      <c r="AI85" s="45">
        <f>(COUNTIFS(Novembre!$C85:$AG85,("cp")))/2+Octobre!AI85</f>
        <v>10.5</v>
      </c>
      <c r="AJ85" s="45">
        <f>COUNTIFS(Novembre!$C85:$AG85,"RTT")/2+Octobre!AJ85</f>
        <v>0</v>
      </c>
      <c r="AK85" s="45">
        <f>COUNTIFS(Novembre!$C85:$AG85,"m")/2+Octobre!AK85</f>
        <v>0</v>
      </c>
      <c r="AL85" s="45">
        <f>COUNTIFS(Novembre!$C85:$AG85,"a")/2+Octobre!AL85</f>
        <v>0</v>
      </c>
      <c r="AM85" s="46"/>
      <c r="AN85" s="47"/>
      <c r="AO85" s="47"/>
      <c r="AP85" s="46"/>
      <c r="AQ85" s="47"/>
      <c r="AR85" s="47"/>
      <c r="AS85" s="47"/>
    </row>
    <row r="86" spans="1:45" s="63" customFormat="1" ht="12.95" customHeight="1" x14ac:dyDescent="0.25">
      <c r="A86" s="48">
        <v>42303</v>
      </c>
      <c r="B86" s="42" t="s">
        <v>16</v>
      </c>
      <c r="C86" s="67"/>
      <c r="D86" s="43"/>
      <c r="E86" s="43"/>
      <c r="F86" s="43"/>
      <c r="G86" s="43"/>
      <c r="H86" s="43"/>
      <c r="I86" s="43"/>
      <c r="J86" s="43"/>
      <c r="K86" s="43"/>
      <c r="L86" s="43"/>
      <c r="M86" s="43"/>
      <c r="N86" s="43"/>
      <c r="O86" s="43"/>
      <c r="P86" s="43"/>
      <c r="Q86" s="43"/>
      <c r="R86" s="43"/>
      <c r="S86" s="43"/>
      <c r="T86" s="43"/>
      <c r="U86" s="43"/>
      <c r="V86" s="43"/>
      <c r="W86" s="43"/>
      <c r="X86" s="43"/>
      <c r="Y86" s="43"/>
      <c r="Z86" s="43"/>
      <c r="AA86" s="43"/>
      <c r="AB86" s="43"/>
      <c r="AC86" s="43"/>
      <c r="AD86" s="43"/>
      <c r="AE86" s="43"/>
      <c r="AF86" s="43"/>
      <c r="AG86" s="43"/>
      <c r="AH86" s="44">
        <f>COUNTA(Novembre!$C86:$AG86)</f>
        <v>0</v>
      </c>
      <c r="AI86" s="45">
        <f>(COUNTIFS(Novembre!$C86:$AG86,("cp")))/2+Octobre!AI86</f>
        <v>10.5</v>
      </c>
      <c r="AJ86" s="45">
        <f>COUNTIFS(Novembre!$C86:$AG86,"RTT")/2+Octobre!AJ86</f>
        <v>0</v>
      </c>
      <c r="AK86" s="45">
        <f>COUNTIFS(Novembre!$C86:$AG86,"m")/2+Octobre!AK86</f>
        <v>0</v>
      </c>
      <c r="AL86" s="45">
        <f>COUNTIFS(Novembre!$C86:$AG86,"a")/2+Octobre!AL86</f>
        <v>0</v>
      </c>
      <c r="AM86" s="46"/>
      <c r="AN86" s="47"/>
      <c r="AO86" s="47"/>
      <c r="AP86" s="46"/>
      <c r="AQ86" s="47"/>
      <c r="AR86" s="47"/>
      <c r="AS86" s="101"/>
    </row>
    <row r="87" spans="1:45" s="63" customFormat="1" ht="12.95" customHeight="1" x14ac:dyDescent="0.25">
      <c r="A87" s="41"/>
      <c r="B87" s="42"/>
      <c r="C87" s="49" t="str">
        <f t="shared" ref="C87:AG87" si="24">IF(C85&gt;0,C85,IF(C86&gt;0,C86,""))</f>
        <v/>
      </c>
      <c r="D87" s="49" t="str">
        <f t="shared" si="24"/>
        <v/>
      </c>
      <c r="E87" s="49" t="str">
        <f t="shared" si="24"/>
        <v/>
      </c>
      <c r="F87" s="49" t="str">
        <f t="shared" si="24"/>
        <v/>
      </c>
      <c r="G87" s="49" t="str">
        <f t="shared" si="24"/>
        <v/>
      </c>
      <c r="H87" s="49" t="str">
        <f t="shared" si="24"/>
        <v/>
      </c>
      <c r="I87" s="49" t="str">
        <f t="shared" si="24"/>
        <v/>
      </c>
      <c r="J87" s="49" t="str">
        <f t="shared" si="24"/>
        <v/>
      </c>
      <c r="K87" s="49" t="str">
        <f t="shared" si="24"/>
        <v/>
      </c>
      <c r="L87" s="49" t="str">
        <f t="shared" si="24"/>
        <v/>
      </c>
      <c r="M87" s="49" t="str">
        <f t="shared" si="24"/>
        <v/>
      </c>
      <c r="N87" s="49" t="str">
        <f t="shared" si="24"/>
        <v/>
      </c>
      <c r="O87" s="49" t="str">
        <f t="shared" si="24"/>
        <v/>
      </c>
      <c r="P87" s="49" t="str">
        <f t="shared" si="24"/>
        <v/>
      </c>
      <c r="Q87" s="49" t="str">
        <f t="shared" si="24"/>
        <v/>
      </c>
      <c r="R87" s="49" t="str">
        <f t="shared" si="24"/>
        <v/>
      </c>
      <c r="S87" s="49" t="str">
        <f t="shared" si="24"/>
        <v/>
      </c>
      <c r="T87" s="49" t="str">
        <f t="shared" si="24"/>
        <v/>
      </c>
      <c r="U87" s="49" t="str">
        <f t="shared" si="24"/>
        <v/>
      </c>
      <c r="V87" s="49" t="str">
        <f t="shared" si="24"/>
        <v/>
      </c>
      <c r="W87" s="49" t="str">
        <f t="shared" si="24"/>
        <v/>
      </c>
      <c r="X87" s="49" t="str">
        <f t="shared" si="24"/>
        <v/>
      </c>
      <c r="Y87" s="49" t="str">
        <f t="shared" si="24"/>
        <v/>
      </c>
      <c r="Z87" s="49" t="str">
        <f t="shared" si="24"/>
        <v/>
      </c>
      <c r="AA87" s="49" t="str">
        <f t="shared" si="24"/>
        <v/>
      </c>
      <c r="AB87" s="49" t="str">
        <f t="shared" si="24"/>
        <v/>
      </c>
      <c r="AC87" s="49" t="str">
        <f t="shared" si="24"/>
        <v/>
      </c>
      <c r="AD87" s="49" t="str">
        <f t="shared" si="24"/>
        <v/>
      </c>
      <c r="AE87" s="49" t="str">
        <f t="shared" si="24"/>
        <v/>
      </c>
      <c r="AF87" s="49" t="str">
        <f t="shared" si="24"/>
        <v/>
      </c>
      <c r="AG87" s="49" t="str">
        <f t="shared" si="24"/>
        <v/>
      </c>
      <c r="AH87" s="44">
        <f>SUM(AH85:AH86)</f>
        <v>0</v>
      </c>
      <c r="AI87" s="45">
        <f>SUM(AI85:AI86)</f>
        <v>21</v>
      </c>
      <c r="AJ87" s="45">
        <f>SUM(AJ85:AJ86)</f>
        <v>0</v>
      </c>
      <c r="AK87" s="45">
        <f>SUM(AK85:AK86)</f>
        <v>0</v>
      </c>
      <c r="AL87" s="45">
        <f>SUM(AL85:AL86)</f>
        <v>0</v>
      </c>
      <c r="AM87" s="50">
        <f>Juin!AM87</f>
        <v>12.02</v>
      </c>
      <c r="AN87" s="51">
        <f>IF(A86="","",IF(A86&gt;NomMois,0,IF(A86&lt;$A$3,2.5,(NETWORKDAYS(A86,$A$2)/21.66667)*2.5)))</f>
        <v>2.5</v>
      </c>
      <c r="AO87" s="51">
        <f>IF( AN87="",0,+AN87+Octobre!AO87)</f>
        <v>15</v>
      </c>
      <c r="AP87" s="50"/>
      <c r="AQ87" s="45">
        <f>+AM87-AI87</f>
        <v>-8.98</v>
      </c>
      <c r="AR87" s="45">
        <f>+AP87-AJ87</f>
        <v>0</v>
      </c>
      <c r="AS87" s="102">
        <f t="shared" si="10"/>
        <v>6.02</v>
      </c>
    </row>
    <row r="88" spans="1:45" s="63" customFormat="1" ht="6.75" customHeight="1" x14ac:dyDescent="0.25">
      <c r="A88" s="64"/>
      <c r="B88" s="42"/>
      <c r="C88" s="64"/>
      <c r="D88" s="64"/>
      <c r="E88" s="64"/>
      <c r="F88" s="64"/>
      <c r="G88" s="64"/>
      <c r="H88" s="64"/>
      <c r="I88" s="64"/>
      <c r="J88" s="64"/>
      <c r="K88" s="64"/>
      <c r="L88" s="64"/>
      <c r="M88" s="64"/>
      <c r="N88" s="64"/>
      <c r="O88" s="64"/>
      <c r="P88" s="64"/>
      <c r="Q88" s="64"/>
      <c r="R88" s="64"/>
      <c r="S88" s="64"/>
      <c r="T88" s="64"/>
      <c r="U88" s="64"/>
      <c r="V88" s="64"/>
      <c r="W88" s="64"/>
      <c r="X88" s="64"/>
      <c r="Y88" s="64"/>
      <c r="Z88" s="64"/>
      <c r="AA88" s="64"/>
      <c r="AB88" s="64"/>
      <c r="AC88" s="64"/>
      <c r="AD88" s="64"/>
      <c r="AE88" s="64"/>
      <c r="AF88" s="64"/>
      <c r="AG88" s="64"/>
      <c r="AH88" s="65"/>
      <c r="AI88" s="65"/>
      <c r="AJ88" s="65"/>
      <c r="AK88" s="65"/>
      <c r="AL88" s="65"/>
      <c r="AM88" s="64"/>
      <c r="AN88" s="65"/>
      <c r="AO88" s="65"/>
      <c r="AP88" s="64"/>
      <c r="AQ88" s="69"/>
      <c r="AR88" s="69"/>
      <c r="AS88" s="65"/>
    </row>
    <row r="89" spans="1:45" s="63" customFormat="1" ht="12.95" customHeight="1" x14ac:dyDescent="0.25">
      <c r="A89" s="41"/>
      <c r="B89" s="42" t="s">
        <v>15</v>
      </c>
      <c r="C89" s="67"/>
      <c r="D89" s="43"/>
      <c r="E89" s="43"/>
      <c r="F89" s="43"/>
      <c r="G89" s="43"/>
      <c r="H89" s="43" t="s">
        <v>7</v>
      </c>
      <c r="I89" s="43" t="s">
        <v>7</v>
      </c>
      <c r="J89" s="43" t="s">
        <v>7</v>
      </c>
      <c r="K89" s="43" t="s">
        <v>7</v>
      </c>
      <c r="L89" s="43" t="s">
        <v>7</v>
      </c>
      <c r="M89" s="43"/>
      <c r="N89" s="43"/>
      <c r="O89" s="43"/>
      <c r="P89" s="43"/>
      <c r="Q89" s="43"/>
      <c r="R89" s="43"/>
      <c r="S89" s="43"/>
      <c r="T89" s="43"/>
      <c r="U89" s="43"/>
      <c r="V89" s="43"/>
      <c r="W89" s="43"/>
      <c r="X89" s="43"/>
      <c r="Y89" s="43"/>
      <c r="Z89" s="43"/>
      <c r="AA89" s="43"/>
      <c r="AB89" s="43"/>
      <c r="AC89" s="43"/>
      <c r="AD89" s="43"/>
      <c r="AE89" s="43"/>
      <c r="AF89" s="43"/>
      <c r="AG89" s="43"/>
      <c r="AH89" s="44">
        <f>COUNTA(Novembre!$C89:$AG89)</f>
        <v>5</v>
      </c>
      <c r="AI89" s="45">
        <f>(COUNTIFS(Novembre!$C89:$AG89,("cp")))/2+Octobre!AI89</f>
        <v>14</v>
      </c>
      <c r="AJ89" s="45">
        <f>COUNTIFS(Novembre!$C89:$AG89,"RTT")/2+Octobre!AJ89</f>
        <v>0</v>
      </c>
      <c r="AK89" s="45">
        <f>COUNTIFS(Novembre!$C89:$AG89,"m")/2+Octobre!AK89</f>
        <v>0</v>
      </c>
      <c r="AL89" s="45">
        <f>COUNTIFS(Novembre!$C89:$AG89,"a")/2+Octobre!AL89</f>
        <v>0</v>
      </c>
      <c r="AM89" s="46"/>
      <c r="AN89" s="47"/>
      <c r="AO89" s="47"/>
      <c r="AP89" s="46"/>
      <c r="AQ89" s="47"/>
      <c r="AR89" s="47"/>
      <c r="AS89" s="47"/>
    </row>
    <row r="90" spans="1:45" s="63" customFormat="1" ht="12.95" customHeight="1" x14ac:dyDescent="0.25">
      <c r="A90" s="48">
        <v>42303</v>
      </c>
      <c r="B90" s="42" t="s">
        <v>16</v>
      </c>
      <c r="C90" s="67"/>
      <c r="D90" s="43"/>
      <c r="E90" s="43"/>
      <c r="F90" s="43"/>
      <c r="G90" s="43"/>
      <c r="H90" s="43" t="s">
        <v>7</v>
      </c>
      <c r="I90" s="43" t="s">
        <v>7</v>
      </c>
      <c r="J90" s="43" t="s">
        <v>7</v>
      </c>
      <c r="K90" s="43" t="s">
        <v>7</v>
      </c>
      <c r="L90" s="43" t="s">
        <v>7</v>
      </c>
      <c r="M90" s="43"/>
      <c r="N90" s="43"/>
      <c r="O90" s="43"/>
      <c r="P90" s="43"/>
      <c r="Q90" s="43"/>
      <c r="R90" s="43"/>
      <c r="S90" s="43"/>
      <c r="T90" s="43"/>
      <c r="U90" s="43"/>
      <c r="V90" s="43"/>
      <c r="W90" s="43"/>
      <c r="X90" s="43"/>
      <c r="Y90" s="43"/>
      <c r="Z90" s="43"/>
      <c r="AA90" s="43"/>
      <c r="AB90" s="43"/>
      <c r="AC90" s="43"/>
      <c r="AD90" s="43"/>
      <c r="AE90" s="43"/>
      <c r="AF90" s="43"/>
      <c r="AG90" s="43"/>
      <c r="AH90" s="44">
        <f>COUNTA(Novembre!$C90:$AG90)</f>
        <v>5</v>
      </c>
      <c r="AI90" s="45">
        <f>(COUNTIFS(Novembre!$C90:$AG90,("cp")))/2+Octobre!AI90</f>
        <v>14</v>
      </c>
      <c r="AJ90" s="45">
        <f>COUNTIFS(Novembre!$C90:$AG90,"RTT")/2+Octobre!AJ90</f>
        <v>0</v>
      </c>
      <c r="AK90" s="45">
        <f>COUNTIFS(Novembre!$C90:$AG90,"m")/2+Octobre!AK90</f>
        <v>0</v>
      </c>
      <c r="AL90" s="45">
        <f>COUNTIFS(Novembre!$C90:$AG90,"a")/2+Octobre!AL90</f>
        <v>0</v>
      </c>
      <c r="AM90" s="46"/>
      <c r="AN90" s="47"/>
      <c r="AO90" s="47"/>
      <c r="AP90" s="46"/>
      <c r="AQ90" s="47"/>
      <c r="AR90" s="47"/>
      <c r="AS90" s="101"/>
    </row>
    <row r="91" spans="1:45" s="63" customFormat="1" ht="12.95" customHeight="1" x14ac:dyDescent="0.25">
      <c r="A91" s="41"/>
      <c r="B91" s="42"/>
      <c r="C91" s="49" t="str">
        <f t="shared" ref="C91:AG91" si="25">IF(C89&gt;0,C89,IF(C90&gt;0,C90,""))</f>
        <v/>
      </c>
      <c r="D91" s="49" t="str">
        <f t="shared" si="25"/>
        <v/>
      </c>
      <c r="E91" s="49" t="str">
        <f t="shared" si="25"/>
        <v/>
      </c>
      <c r="F91" s="49" t="str">
        <f t="shared" si="25"/>
        <v/>
      </c>
      <c r="G91" s="49" t="str">
        <f t="shared" si="25"/>
        <v/>
      </c>
      <c r="H91" s="49" t="str">
        <f t="shared" si="25"/>
        <v>CP</v>
      </c>
      <c r="I91" s="49" t="str">
        <f t="shared" si="25"/>
        <v>CP</v>
      </c>
      <c r="J91" s="49" t="str">
        <f t="shared" si="25"/>
        <v>CP</v>
      </c>
      <c r="K91" s="49" t="str">
        <f t="shared" si="25"/>
        <v>CP</v>
      </c>
      <c r="L91" s="49" t="str">
        <f t="shared" si="25"/>
        <v>CP</v>
      </c>
      <c r="M91" s="49" t="str">
        <f t="shared" si="25"/>
        <v/>
      </c>
      <c r="N91" s="49" t="str">
        <f t="shared" si="25"/>
        <v/>
      </c>
      <c r="O91" s="49" t="str">
        <f t="shared" si="25"/>
        <v/>
      </c>
      <c r="P91" s="49" t="str">
        <f t="shared" si="25"/>
        <v/>
      </c>
      <c r="Q91" s="49" t="str">
        <f t="shared" si="25"/>
        <v/>
      </c>
      <c r="R91" s="49" t="str">
        <f t="shared" si="25"/>
        <v/>
      </c>
      <c r="S91" s="49" t="str">
        <f t="shared" si="25"/>
        <v/>
      </c>
      <c r="T91" s="49" t="str">
        <f t="shared" si="25"/>
        <v/>
      </c>
      <c r="U91" s="49" t="str">
        <f t="shared" si="25"/>
        <v/>
      </c>
      <c r="V91" s="49" t="str">
        <f t="shared" si="25"/>
        <v/>
      </c>
      <c r="W91" s="49" t="str">
        <f t="shared" si="25"/>
        <v/>
      </c>
      <c r="X91" s="49" t="str">
        <f t="shared" si="25"/>
        <v/>
      </c>
      <c r="Y91" s="49" t="str">
        <f t="shared" si="25"/>
        <v/>
      </c>
      <c r="Z91" s="49" t="str">
        <f t="shared" si="25"/>
        <v/>
      </c>
      <c r="AA91" s="49" t="str">
        <f t="shared" si="25"/>
        <v/>
      </c>
      <c r="AB91" s="49" t="str">
        <f t="shared" si="25"/>
        <v/>
      </c>
      <c r="AC91" s="49" t="str">
        <f t="shared" si="25"/>
        <v/>
      </c>
      <c r="AD91" s="49" t="str">
        <f t="shared" si="25"/>
        <v/>
      </c>
      <c r="AE91" s="49" t="str">
        <f t="shared" si="25"/>
        <v/>
      </c>
      <c r="AF91" s="49" t="str">
        <f t="shared" si="25"/>
        <v/>
      </c>
      <c r="AG91" s="49" t="str">
        <f t="shared" si="25"/>
        <v/>
      </c>
      <c r="AH91" s="44">
        <f>SUM(AH89:AH90)</f>
        <v>10</v>
      </c>
      <c r="AI91" s="45">
        <f>SUM(AI89:AI90)</f>
        <v>28</v>
      </c>
      <c r="AJ91" s="45">
        <f>SUM(AJ89:AJ90)</f>
        <v>0</v>
      </c>
      <c r="AK91" s="45">
        <f>SUM(AK89:AK90)</f>
        <v>0</v>
      </c>
      <c r="AL91" s="45">
        <f>SUM(AL89:AL90)</f>
        <v>0</v>
      </c>
      <c r="AM91" s="50">
        <f>Juin!AM91</f>
        <v>-0.82</v>
      </c>
      <c r="AN91" s="51">
        <f>IF(A90="","",IF(A90&gt;NomMois,0,IF(A90&lt;$A$3,2.5,(NETWORKDAYS(A90,$A$2)/21.66667)*2.5)))</f>
        <v>2.5</v>
      </c>
      <c r="AO91" s="51">
        <f>IF( AN91="",0,+AN91+Octobre!AO91)</f>
        <v>15</v>
      </c>
      <c r="AP91" s="50"/>
      <c r="AQ91" s="45">
        <f>+AM91-AI91</f>
        <v>-28.82</v>
      </c>
      <c r="AR91" s="45">
        <f>+AP91-AJ91</f>
        <v>0</v>
      </c>
      <c r="AS91" s="102">
        <f t="shared" si="10"/>
        <v>-13.82</v>
      </c>
    </row>
    <row r="92" spans="1:45" s="63" customFormat="1" ht="6.75" customHeight="1" x14ac:dyDescent="0.25">
      <c r="A92" s="64"/>
      <c r="B92" s="42"/>
      <c r="C92" s="65"/>
      <c r="D92" s="65"/>
      <c r="E92" s="65"/>
      <c r="F92" s="65"/>
      <c r="G92" s="65"/>
      <c r="H92" s="65"/>
      <c r="I92" s="65"/>
      <c r="J92" s="65"/>
      <c r="K92" s="65"/>
      <c r="L92" s="65"/>
      <c r="M92" s="65"/>
      <c r="N92" s="65"/>
      <c r="O92" s="65"/>
      <c r="P92" s="65"/>
      <c r="Q92" s="65"/>
      <c r="R92" s="65"/>
      <c r="S92" s="65"/>
      <c r="T92" s="65"/>
      <c r="U92" s="65"/>
      <c r="V92" s="65"/>
      <c r="W92" s="65"/>
      <c r="X92" s="65"/>
      <c r="Y92" s="65"/>
      <c r="Z92" s="65"/>
      <c r="AA92" s="65"/>
      <c r="AB92" s="65"/>
      <c r="AC92" s="65"/>
      <c r="AD92" s="65"/>
      <c r="AE92" s="65"/>
      <c r="AF92" s="65"/>
      <c r="AG92" s="65"/>
      <c r="AH92" s="65"/>
      <c r="AI92" s="65"/>
      <c r="AJ92" s="65"/>
      <c r="AK92" s="65"/>
      <c r="AL92" s="65"/>
      <c r="AM92" s="64"/>
      <c r="AN92" s="65"/>
      <c r="AO92" s="65"/>
      <c r="AP92" s="64"/>
      <c r="AQ92" s="69"/>
      <c r="AR92" s="69"/>
      <c r="AS92" s="65"/>
    </row>
    <row r="93" spans="1:45" ht="12.95" customHeight="1" x14ac:dyDescent="0.25">
      <c r="A93" s="41"/>
      <c r="B93" s="42" t="s">
        <v>15</v>
      </c>
      <c r="C93" s="67"/>
      <c r="D93" s="43"/>
      <c r="E93" s="43"/>
      <c r="F93" s="43"/>
      <c r="G93" s="43"/>
      <c r="H93" s="43"/>
      <c r="I93" s="43"/>
      <c r="J93" s="43"/>
      <c r="K93" s="43"/>
      <c r="L93" s="43"/>
      <c r="M93" s="43"/>
      <c r="N93" s="43"/>
      <c r="O93" s="43"/>
      <c r="P93" s="43"/>
      <c r="Q93" s="43"/>
      <c r="R93" s="43"/>
      <c r="S93" s="43"/>
      <c r="T93" s="43"/>
      <c r="U93" s="43"/>
      <c r="V93" s="43"/>
      <c r="W93" s="43"/>
      <c r="X93" s="43"/>
      <c r="Y93" s="43"/>
      <c r="Z93" s="43"/>
      <c r="AA93" s="43"/>
      <c r="AB93" s="43"/>
      <c r="AC93" s="43"/>
      <c r="AD93" s="43"/>
      <c r="AE93" s="43"/>
      <c r="AF93" s="43"/>
      <c r="AG93" s="43"/>
      <c r="AH93" s="44">
        <f>COUNTA(Novembre!$C93:$AG93)</f>
        <v>0</v>
      </c>
      <c r="AI93" s="45">
        <f>(COUNTIFS(Novembre!$C93:$AG93,("cp")))/2+Octobre!AI93</f>
        <v>0</v>
      </c>
      <c r="AJ93" s="45">
        <f>COUNTIFS(Novembre!$C93:$AG93,"RTT")/2+Octobre!AJ93</f>
        <v>0</v>
      </c>
      <c r="AK93" s="45">
        <f>COUNTIFS(Novembre!$C93:$AG93,"m")/2+Octobre!AK93</f>
        <v>5</v>
      </c>
      <c r="AL93" s="45">
        <f>COUNTIFS(Novembre!$C93:$AG93,"a")/2+Octobre!AL93</f>
        <v>0</v>
      </c>
      <c r="AM93" s="46"/>
      <c r="AN93" s="47"/>
      <c r="AO93" s="47"/>
      <c r="AP93" s="46"/>
      <c r="AQ93" s="47"/>
      <c r="AR93" s="47"/>
      <c r="AS93" s="47"/>
    </row>
    <row r="94" spans="1:45" s="79" customFormat="1" ht="12.95" customHeight="1" x14ac:dyDescent="0.25">
      <c r="A94" s="48">
        <v>42921</v>
      </c>
      <c r="B94" s="42" t="s">
        <v>16</v>
      </c>
      <c r="C94" s="67"/>
      <c r="D94" s="43"/>
      <c r="E94" s="43"/>
      <c r="F94" s="43"/>
      <c r="G94" s="43"/>
      <c r="H94" s="43"/>
      <c r="I94" s="43"/>
      <c r="J94" s="43"/>
      <c r="K94" s="43"/>
      <c r="L94" s="43"/>
      <c r="M94" s="43"/>
      <c r="N94" s="43"/>
      <c r="O94" s="43"/>
      <c r="P94" s="43"/>
      <c r="Q94" s="43"/>
      <c r="R94" s="43"/>
      <c r="S94" s="43"/>
      <c r="T94" s="43"/>
      <c r="U94" s="43"/>
      <c r="V94" s="43"/>
      <c r="W94" s="43"/>
      <c r="X94" s="43"/>
      <c r="Y94" s="43"/>
      <c r="Z94" s="43"/>
      <c r="AA94" s="43"/>
      <c r="AB94" s="43"/>
      <c r="AC94" s="43"/>
      <c r="AD94" s="43"/>
      <c r="AE94" s="43"/>
      <c r="AF94" s="43"/>
      <c r="AG94" s="43"/>
      <c r="AH94" s="44">
        <f>COUNTA(Novembre!$C94:$AG94)</f>
        <v>0</v>
      </c>
      <c r="AI94" s="45">
        <f>(COUNTIFS(Novembre!$C94:$AG94,("cp")))/2+Octobre!AI94</f>
        <v>0</v>
      </c>
      <c r="AJ94" s="45">
        <f>COUNTIFS(Novembre!$C94:$AG94,"RTT")/2+Octobre!AJ94</f>
        <v>0</v>
      </c>
      <c r="AK94" s="45">
        <f>COUNTIFS(Novembre!$C94:$AG94,"m")/2+Octobre!AK94</f>
        <v>5</v>
      </c>
      <c r="AL94" s="45">
        <f>COUNTIFS(Novembre!$C94:$AG94,"a")/2+Octobre!AL94</f>
        <v>0</v>
      </c>
      <c r="AM94" s="46"/>
      <c r="AN94" s="47"/>
      <c r="AO94" s="47"/>
      <c r="AP94" s="46"/>
      <c r="AQ94" s="47"/>
      <c r="AR94" s="47"/>
      <c r="AS94" s="101"/>
    </row>
    <row r="95" spans="1:45" s="79" customFormat="1" ht="12.95" customHeight="1" x14ac:dyDescent="0.25">
      <c r="A95" s="41"/>
      <c r="B95" s="42"/>
      <c r="C95" s="49" t="str">
        <f t="shared" ref="C95:AG95" si="26">IF(C93&gt;0,C93,IF(C94&gt;0,C94,""))</f>
        <v/>
      </c>
      <c r="D95" s="49" t="str">
        <f t="shared" si="26"/>
        <v/>
      </c>
      <c r="E95" s="49" t="str">
        <f t="shared" si="26"/>
        <v/>
      </c>
      <c r="F95" s="49" t="str">
        <f t="shared" si="26"/>
        <v/>
      </c>
      <c r="G95" s="49" t="str">
        <f t="shared" si="26"/>
        <v/>
      </c>
      <c r="H95" s="49" t="str">
        <f t="shared" si="26"/>
        <v/>
      </c>
      <c r="I95" s="49" t="str">
        <f t="shared" si="26"/>
        <v/>
      </c>
      <c r="J95" s="49" t="str">
        <f t="shared" si="26"/>
        <v/>
      </c>
      <c r="K95" s="49" t="str">
        <f t="shared" si="26"/>
        <v/>
      </c>
      <c r="L95" s="49" t="str">
        <f t="shared" si="26"/>
        <v/>
      </c>
      <c r="M95" s="49" t="str">
        <f t="shared" si="26"/>
        <v/>
      </c>
      <c r="N95" s="49" t="str">
        <f t="shared" si="26"/>
        <v/>
      </c>
      <c r="O95" s="49" t="str">
        <f t="shared" si="26"/>
        <v/>
      </c>
      <c r="P95" s="49" t="str">
        <f t="shared" si="26"/>
        <v/>
      </c>
      <c r="Q95" s="49" t="str">
        <f t="shared" si="26"/>
        <v/>
      </c>
      <c r="R95" s="49" t="str">
        <f t="shared" si="26"/>
        <v/>
      </c>
      <c r="S95" s="49" t="str">
        <f t="shared" si="26"/>
        <v/>
      </c>
      <c r="T95" s="49" t="str">
        <f t="shared" si="26"/>
        <v/>
      </c>
      <c r="U95" s="49" t="str">
        <f t="shared" si="26"/>
        <v/>
      </c>
      <c r="V95" s="49" t="str">
        <f t="shared" si="26"/>
        <v/>
      </c>
      <c r="W95" s="49" t="str">
        <f t="shared" si="26"/>
        <v/>
      </c>
      <c r="X95" s="49" t="str">
        <f t="shared" si="26"/>
        <v/>
      </c>
      <c r="Y95" s="49" t="str">
        <f t="shared" si="26"/>
        <v/>
      </c>
      <c r="Z95" s="49" t="str">
        <f t="shared" si="26"/>
        <v/>
      </c>
      <c r="AA95" s="49" t="str">
        <f t="shared" si="26"/>
        <v/>
      </c>
      <c r="AB95" s="49" t="str">
        <f t="shared" si="26"/>
        <v/>
      </c>
      <c r="AC95" s="49" t="str">
        <f t="shared" si="26"/>
        <v/>
      </c>
      <c r="AD95" s="49" t="str">
        <f t="shared" si="26"/>
        <v/>
      </c>
      <c r="AE95" s="49" t="str">
        <f t="shared" si="26"/>
        <v/>
      </c>
      <c r="AF95" s="49" t="str">
        <f t="shared" si="26"/>
        <v/>
      </c>
      <c r="AG95" s="49" t="str">
        <f t="shared" si="26"/>
        <v/>
      </c>
      <c r="AH95" s="44">
        <f>SUM(AH93:AH94)</f>
        <v>0</v>
      </c>
      <c r="AI95" s="45">
        <f>SUM(AI93:AI94)</f>
        <v>0</v>
      </c>
      <c r="AJ95" s="45">
        <f>SUM(AJ93:AJ94)</f>
        <v>0</v>
      </c>
      <c r="AK95" s="45">
        <f>SUM(AK93:AK94)</f>
        <v>10</v>
      </c>
      <c r="AL95" s="45">
        <f>SUM(AL93:AL94)</f>
        <v>0</v>
      </c>
      <c r="AM95" s="50">
        <f>Juin!AM95</f>
        <v>0</v>
      </c>
      <c r="AN95" s="51">
        <f>IF(A94="","",IF(A94&gt;NomMois,0,IF(A94&lt;$A$3,2.08,(NETWORKDAYS(A94,$A$2)/21.66667)*2.08)))</f>
        <v>2.08</v>
      </c>
      <c r="AO95" s="51">
        <f>IF( AN95="",0,+AN95+Octobre!AO95)</f>
        <v>10.143999719384659</v>
      </c>
      <c r="AP95" s="50"/>
      <c r="AQ95" s="45">
        <f>+AM95-AI95</f>
        <v>0</v>
      </c>
      <c r="AR95" s="45">
        <f>+AP95-AJ95</f>
        <v>0</v>
      </c>
      <c r="AS95" s="102">
        <f t="shared" ref="AS95:AS123" si="27">+AO95+AQ95</f>
        <v>10.143999719384659</v>
      </c>
    </row>
    <row r="96" spans="1:45" s="63" customFormat="1" ht="6.75" customHeight="1" x14ac:dyDescent="0.25">
      <c r="A96" s="64"/>
      <c r="B96" s="42"/>
      <c r="C96" s="65"/>
      <c r="D96" s="65"/>
      <c r="E96" s="65"/>
      <c r="F96" s="65"/>
      <c r="G96" s="65"/>
      <c r="H96" s="65"/>
      <c r="I96" s="65"/>
      <c r="J96" s="65"/>
      <c r="K96" s="65"/>
      <c r="L96" s="65"/>
      <c r="M96" s="65"/>
      <c r="N96" s="65"/>
      <c r="O96" s="65"/>
      <c r="P96" s="65"/>
      <c r="Q96" s="65"/>
      <c r="R96" s="65"/>
      <c r="S96" s="65"/>
      <c r="T96" s="65"/>
      <c r="U96" s="65"/>
      <c r="V96" s="65"/>
      <c r="W96" s="65"/>
      <c r="X96" s="65"/>
      <c r="Y96" s="65"/>
      <c r="Z96" s="65"/>
      <c r="AA96" s="65"/>
      <c r="AB96" s="65"/>
      <c r="AC96" s="65"/>
      <c r="AD96" s="65"/>
      <c r="AE96" s="65"/>
      <c r="AF96" s="65"/>
      <c r="AG96" s="65"/>
      <c r="AH96" s="65"/>
      <c r="AI96" s="65"/>
      <c r="AJ96" s="65"/>
      <c r="AK96" s="65"/>
      <c r="AL96" s="65"/>
      <c r="AM96" s="64"/>
      <c r="AN96" s="65"/>
      <c r="AO96" s="65"/>
      <c r="AP96" s="64"/>
      <c r="AQ96" s="69"/>
      <c r="AR96" s="69"/>
      <c r="AS96" s="65"/>
    </row>
    <row r="97" spans="1:45" s="79" customFormat="1" ht="12.95" customHeight="1" x14ac:dyDescent="0.25">
      <c r="A97" s="70"/>
      <c r="B97" s="42" t="s">
        <v>15</v>
      </c>
      <c r="C97" s="71"/>
      <c r="D97" s="71"/>
      <c r="E97" s="71"/>
      <c r="F97" s="71"/>
      <c r="G97" s="71"/>
      <c r="H97" s="71"/>
      <c r="I97" s="71"/>
      <c r="J97" s="71"/>
      <c r="K97" s="71"/>
      <c r="L97" s="71" t="s">
        <v>7</v>
      </c>
      <c r="M97" s="71" t="s">
        <v>7</v>
      </c>
      <c r="N97" s="71" t="s">
        <v>7</v>
      </c>
      <c r="O97" s="71" t="s">
        <v>7</v>
      </c>
      <c r="P97" s="71" t="s">
        <v>7</v>
      </c>
      <c r="Q97" s="71" t="s">
        <v>7</v>
      </c>
      <c r="R97" s="71"/>
      <c r="S97" s="71"/>
      <c r="T97" s="71"/>
      <c r="U97" s="71"/>
      <c r="V97" s="71"/>
      <c r="W97" s="71"/>
      <c r="X97" s="71"/>
      <c r="Y97" s="71"/>
      <c r="Z97" s="71"/>
      <c r="AA97" s="71"/>
      <c r="AB97" s="71"/>
      <c r="AC97" s="71"/>
      <c r="AD97" s="71"/>
      <c r="AE97" s="71"/>
      <c r="AF97" s="71"/>
      <c r="AG97" s="71"/>
      <c r="AH97" s="72">
        <f>COUNTA(Novembre!$C97:$AG97)</f>
        <v>6</v>
      </c>
      <c r="AI97" s="45">
        <f>(COUNTIFS(Novembre!$C97:$AG97,("cp")))/2+Octobre!AI97</f>
        <v>14.5</v>
      </c>
      <c r="AJ97" s="45">
        <f>COUNTIFS(Novembre!$C97:$AG97,"RTT")/2+Octobre!AJ97</f>
        <v>0</v>
      </c>
      <c r="AK97" s="45">
        <f>COUNTIFS(Novembre!$C97:$AG97,"m")/2+Octobre!AK97</f>
        <v>0</v>
      </c>
      <c r="AL97" s="45">
        <f>COUNTIFS(Novembre!$C97:$AG97,"a")/2+Octobre!AL97</f>
        <v>0</v>
      </c>
      <c r="AM97" s="46"/>
      <c r="AN97" s="47"/>
      <c r="AO97" s="47"/>
      <c r="AP97" s="46"/>
      <c r="AQ97" s="47"/>
      <c r="AR97" s="47"/>
      <c r="AS97" s="47"/>
    </row>
    <row r="98" spans="1:45" s="79" customFormat="1" ht="12.95" customHeight="1" x14ac:dyDescent="0.25">
      <c r="A98" s="73">
        <v>42736</v>
      </c>
      <c r="B98" s="42" t="s">
        <v>16</v>
      </c>
      <c r="C98" s="71"/>
      <c r="D98" s="71"/>
      <c r="E98" s="71"/>
      <c r="F98" s="71"/>
      <c r="G98" s="71"/>
      <c r="H98" s="71"/>
      <c r="I98" s="71"/>
      <c r="J98" s="71"/>
      <c r="K98" s="71"/>
      <c r="L98" s="71" t="s">
        <v>7</v>
      </c>
      <c r="M98" s="71" t="s">
        <v>7</v>
      </c>
      <c r="N98" s="71" t="s">
        <v>7</v>
      </c>
      <c r="O98" s="71" t="s">
        <v>7</v>
      </c>
      <c r="P98" s="71" t="s">
        <v>7</v>
      </c>
      <c r="Q98" s="71" t="s">
        <v>7</v>
      </c>
      <c r="R98" s="71"/>
      <c r="S98" s="71"/>
      <c r="T98" s="71"/>
      <c r="U98" s="71"/>
      <c r="V98" s="71"/>
      <c r="W98" s="71"/>
      <c r="X98" s="71"/>
      <c r="Y98" s="71"/>
      <c r="Z98" s="71"/>
      <c r="AA98" s="71"/>
      <c r="AB98" s="71"/>
      <c r="AC98" s="71"/>
      <c r="AD98" s="71"/>
      <c r="AE98" s="71"/>
      <c r="AF98" s="71"/>
      <c r="AG98" s="71"/>
      <c r="AH98" s="72">
        <f>COUNTA(Novembre!$C98:$AG98)</f>
        <v>6</v>
      </c>
      <c r="AI98" s="45">
        <f>(COUNTIFS(Novembre!$C98:$AG98,("cp")))/2+Octobre!AI98</f>
        <v>14.5</v>
      </c>
      <c r="AJ98" s="45">
        <f>COUNTIFS(Novembre!$C98:$AG98,"RTT")/2+Octobre!AJ98</f>
        <v>0</v>
      </c>
      <c r="AK98" s="45">
        <f>COUNTIFS(Novembre!$C98:$AG98,"m")/2+Octobre!AK98</f>
        <v>0</v>
      </c>
      <c r="AL98" s="45">
        <f>COUNTIFS(Novembre!$C98:$AG98,"a")/2+Octobre!AL98</f>
        <v>0</v>
      </c>
      <c r="AM98" s="46"/>
      <c r="AN98" s="47"/>
      <c r="AO98" s="47"/>
      <c r="AP98" s="46"/>
      <c r="AQ98" s="47"/>
      <c r="AR98" s="47"/>
      <c r="AS98" s="101"/>
    </row>
    <row r="99" spans="1:45" s="79" customFormat="1" ht="12.95" customHeight="1" x14ac:dyDescent="0.25">
      <c r="A99" s="70"/>
      <c r="B99" s="42"/>
      <c r="C99" s="71" t="str">
        <f t="shared" ref="C99:AG99" si="28">IF(C97&gt;0,C97,IF(C98&gt;0,C98,""))</f>
        <v/>
      </c>
      <c r="D99" s="71" t="str">
        <f t="shared" si="28"/>
        <v/>
      </c>
      <c r="E99" s="71" t="str">
        <f t="shared" si="28"/>
        <v/>
      </c>
      <c r="F99" s="71" t="str">
        <f t="shared" si="28"/>
        <v/>
      </c>
      <c r="G99" s="71" t="str">
        <f t="shared" si="28"/>
        <v/>
      </c>
      <c r="H99" s="71" t="str">
        <f t="shared" si="28"/>
        <v/>
      </c>
      <c r="I99" s="71" t="str">
        <f t="shared" si="28"/>
        <v/>
      </c>
      <c r="J99" s="71" t="str">
        <f t="shared" si="28"/>
        <v/>
      </c>
      <c r="K99" s="71" t="str">
        <f t="shared" si="28"/>
        <v/>
      </c>
      <c r="L99" s="71" t="str">
        <f t="shared" si="28"/>
        <v>CP</v>
      </c>
      <c r="M99" s="71" t="str">
        <f t="shared" si="28"/>
        <v>CP</v>
      </c>
      <c r="N99" s="71" t="str">
        <f t="shared" si="28"/>
        <v>CP</v>
      </c>
      <c r="O99" s="71" t="str">
        <f t="shared" si="28"/>
        <v>CP</v>
      </c>
      <c r="P99" s="71" t="str">
        <f t="shared" si="28"/>
        <v>CP</v>
      </c>
      <c r="Q99" s="71" t="str">
        <f t="shared" si="28"/>
        <v>CP</v>
      </c>
      <c r="R99" s="71" t="str">
        <f t="shared" si="28"/>
        <v/>
      </c>
      <c r="S99" s="71" t="str">
        <f t="shared" si="28"/>
        <v/>
      </c>
      <c r="T99" s="71" t="str">
        <f t="shared" si="28"/>
        <v/>
      </c>
      <c r="U99" s="71" t="str">
        <f t="shared" si="28"/>
        <v/>
      </c>
      <c r="V99" s="71" t="str">
        <f t="shared" si="28"/>
        <v/>
      </c>
      <c r="W99" s="71" t="str">
        <f t="shared" si="28"/>
        <v/>
      </c>
      <c r="X99" s="71" t="str">
        <f t="shared" si="28"/>
        <v/>
      </c>
      <c r="Y99" s="71" t="str">
        <f t="shared" si="28"/>
        <v/>
      </c>
      <c r="Z99" s="71" t="str">
        <f t="shared" si="28"/>
        <v/>
      </c>
      <c r="AA99" s="71" t="str">
        <f t="shared" si="28"/>
        <v/>
      </c>
      <c r="AB99" s="71" t="str">
        <f t="shared" si="28"/>
        <v/>
      </c>
      <c r="AC99" s="71" t="str">
        <f t="shared" si="28"/>
        <v/>
      </c>
      <c r="AD99" s="71" t="str">
        <f t="shared" si="28"/>
        <v/>
      </c>
      <c r="AE99" s="71" t="str">
        <f t="shared" si="28"/>
        <v/>
      </c>
      <c r="AF99" s="71" t="str">
        <f t="shared" si="28"/>
        <v/>
      </c>
      <c r="AG99" s="71" t="str">
        <f t="shared" si="28"/>
        <v/>
      </c>
      <c r="AH99" s="72">
        <f>SUM(AH97:AH98)</f>
        <v>12</v>
      </c>
      <c r="AI99" s="45">
        <f>SUM(AI97:AI98)</f>
        <v>29</v>
      </c>
      <c r="AJ99" s="45">
        <f>SUM(AJ97:AJ98)</f>
        <v>0</v>
      </c>
      <c r="AK99" s="45">
        <f>SUM(AK97:AK98)</f>
        <v>0</v>
      </c>
      <c r="AL99" s="45">
        <f>SUM(AL97:AL98)</f>
        <v>0</v>
      </c>
      <c r="AM99" s="50">
        <f>Juin!AM99</f>
        <v>5.41</v>
      </c>
      <c r="AN99" s="51">
        <f>IF(A98="","",IF(A98&gt;NomMois,0,IF(A98&lt;$A$3,2.08,(NETWORKDAYS(A98,$A$2)/21.66667)*2.08)))</f>
        <v>2.08</v>
      </c>
      <c r="AO99" s="51">
        <f>IF( AN99="",0,+AN99+Octobre!AO99)</f>
        <v>12.48</v>
      </c>
      <c r="AP99" s="50"/>
      <c r="AQ99" s="45">
        <f>+AM99-AI99</f>
        <v>-23.59</v>
      </c>
      <c r="AR99" s="45">
        <f>+AP99-AJ99</f>
        <v>0</v>
      </c>
      <c r="AS99" s="102">
        <f t="shared" si="27"/>
        <v>-11.11</v>
      </c>
    </row>
    <row r="100" spans="1:45" s="63" customFormat="1" ht="6.75" customHeight="1" x14ac:dyDescent="0.25">
      <c r="A100" s="64"/>
      <c r="B100" s="42"/>
      <c r="C100" s="65"/>
      <c r="D100" s="65"/>
      <c r="E100" s="65"/>
      <c r="F100" s="65"/>
      <c r="G100" s="65"/>
      <c r="H100" s="65"/>
      <c r="I100" s="65"/>
      <c r="J100" s="65"/>
      <c r="K100" s="65"/>
      <c r="L100" s="65"/>
      <c r="M100" s="65"/>
      <c r="N100" s="65"/>
      <c r="O100" s="65"/>
      <c r="P100" s="65"/>
      <c r="Q100" s="65"/>
      <c r="R100" s="65"/>
      <c r="S100" s="65"/>
      <c r="T100" s="65"/>
      <c r="U100" s="65"/>
      <c r="V100" s="65"/>
      <c r="W100" s="65"/>
      <c r="X100" s="65"/>
      <c r="Y100" s="65"/>
      <c r="Z100" s="65"/>
      <c r="AA100" s="65"/>
      <c r="AB100" s="65"/>
      <c r="AC100" s="65"/>
      <c r="AD100" s="65"/>
      <c r="AE100" s="65"/>
      <c r="AF100" s="65"/>
      <c r="AG100" s="65"/>
      <c r="AH100" s="65"/>
      <c r="AI100" s="65"/>
      <c r="AJ100" s="65"/>
      <c r="AK100" s="65"/>
      <c r="AL100" s="65"/>
      <c r="AM100" s="64"/>
      <c r="AN100" s="65"/>
      <c r="AO100" s="65"/>
      <c r="AP100" s="64"/>
      <c r="AQ100" s="69"/>
      <c r="AR100" s="69"/>
      <c r="AS100" s="65"/>
    </row>
    <row r="101" spans="1:45" s="79" customFormat="1" ht="12.95" customHeight="1" x14ac:dyDescent="0.25">
      <c r="A101" s="70"/>
      <c r="B101" s="42" t="s">
        <v>15</v>
      </c>
      <c r="C101" s="71"/>
      <c r="D101" s="71"/>
      <c r="E101" s="71"/>
      <c r="F101" s="71"/>
      <c r="G101" s="71"/>
      <c r="H101" s="71"/>
      <c r="I101" s="71"/>
      <c r="J101" s="71"/>
      <c r="K101" s="71"/>
      <c r="L101" s="71"/>
      <c r="M101" s="71"/>
      <c r="N101" s="71"/>
      <c r="O101" s="71"/>
      <c r="P101" s="71"/>
      <c r="Q101" s="71"/>
      <c r="R101" s="71"/>
      <c r="S101" s="71"/>
      <c r="T101" s="71"/>
      <c r="U101" s="71"/>
      <c r="V101" s="71"/>
      <c r="W101" s="71"/>
      <c r="X101" s="71"/>
      <c r="Y101" s="71"/>
      <c r="Z101" s="71"/>
      <c r="AA101" s="71"/>
      <c r="AB101" s="71"/>
      <c r="AC101" s="71"/>
      <c r="AD101" s="71"/>
      <c r="AE101" s="71"/>
      <c r="AF101" s="71"/>
      <c r="AG101" s="71"/>
      <c r="AH101" s="72">
        <f>COUNTA(Novembre!$C101:$AG101)</f>
        <v>0</v>
      </c>
      <c r="AI101" s="45">
        <f>(COUNTIFS(Novembre!$C101:$AG101,("cp")))/2+Octobre!AI101</f>
        <v>2</v>
      </c>
      <c r="AJ101" s="45">
        <f>COUNTIFS(Novembre!$C101:$AG101,"RTT")/2+Octobre!AJ101</f>
        <v>0</v>
      </c>
      <c r="AK101" s="45">
        <f>COUNTIFS(Novembre!$C101:$AG101,"m")/2+Octobre!AK101</f>
        <v>0</v>
      </c>
      <c r="AL101" s="45">
        <f>COUNTIFS(Novembre!$C101:$AG101,"a")/2+Octobre!AL101</f>
        <v>0</v>
      </c>
      <c r="AM101" s="46"/>
      <c r="AN101" s="47"/>
      <c r="AO101" s="47"/>
      <c r="AP101" s="46"/>
      <c r="AQ101" s="47"/>
      <c r="AR101" s="47"/>
      <c r="AS101" s="47"/>
    </row>
    <row r="102" spans="1:45" s="79" customFormat="1" ht="12.95" customHeight="1" x14ac:dyDescent="0.25">
      <c r="A102" s="73">
        <v>42814</v>
      </c>
      <c r="B102" s="42" t="s">
        <v>16</v>
      </c>
      <c r="C102" s="71"/>
      <c r="D102" s="71"/>
      <c r="E102" s="71"/>
      <c r="F102" s="71"/>
      <c r="G102" s="71"/>
      <c r="H102" s="71"/>
      <c r="I102" s="71"/>
      <c r="J102" s="71"/>
      <c r="K102" s="71"/>
      <c r="L102" s="71"/>
      <c r="M102" s="71"/>
      <c r="N102" s="71"/>
      <c r="O102" s="71"/>
      <c r="P102" s="71"/>
      <c r="Q102" s="71"/>
      <c r="R102" s="71"/>
      <c r="S102" s="71"/>
      <c r="T102" s="71"/>
      <c r="U102" s="71"/>
      <c r="V102" s="71"/>
      <c r="W102" s="71"/>
      <c r="X102" s="71"/>
      <c r="Y102" s="71"/>
      <c r="Z102" s="71"/>
      <c r="AA102" s="71"/>
      <c r="AB102" s="71"/>
      <c r="AC102" s="71"/>
      <c r="AD102" s="71"/>
      <c r="AE102" s="71"/>
      <c r="AF102" s="71"/>
      <c r="AG102" s="71"/>
      <c r="AH102" s="72">
        <f>COUNTA(Novembre!$C102:$AG102)</f>
        <v>0</v>
      </c>
      <c r="AI102" s="45">
        <f>(COUNTIFS(Novembre!$C102:$AG102,("cp")))/2+Octobre!AI102</f>
        <v>2</v>
      </c>
      <c r="AJ102" s="45">
        <f>COUNTIFS(Novembre!$C102:$AG102,"RTT")/2+Octobre!AJ102</f>
        <v>0</v>
      </c>
      <c r="AK102" s="45">
        <f>COUNTIFS(Novembre!$C102:$AG102,"m")/2+Octobre!AK102</f>
        <v>0</v>
      </c>
      <c r="AL102" s="45">
        <f>COUNTIFS(Novembre!$C102:$AG102,"a")/2+Octobre!AL102</f>
        <v>0</v>
      </c>
      <c r="AM102" s="46"/>
      <c r="AN102" s="47"/>
      <c r="AO102" s="47"/>
      <c r="AP102" s="46"/>
      <c r="AQ102" s="47"/>
      <c r="AR102" s="47"/>
      <c r="AS102" s="101"/>
    </row>
    <row r="103" spans="1:45" s="79" customFormat="1" ht="12.95" customHeight="1" x14ac:dyDescent="0.25">
      <c r="A103" s="70"/>
      <c r="B103" s="42"/>
      <c r="C103" s="71" t="str">
        <f t="shared" ref="C103:AG103" si="29">IF(C101&gt;0,C101,IF(C102&gt;0,C102,""))</f>
        <v/>
      </c>
      <c r="D103" s="71" t="str">
        <f t="shared" si="29"/>
        <v/>
      </c>
      <c r="E103" s="71" t="str">
        <f t="shared" si="29"/>
        <v/>
      </c>
      <c r="F103" s="71" t="str">
        <f t="shared" si="29"/>
        <v/>
      </c>
      <c r="G103" s="71" t="str">
        <f t="shared" si="29"/>
        <v/>
      </c>
      <c r="H103" s="71" t="str">
        <f t="shared" si="29"/>
        <v/>
      </c>
      <c r="I103" s="71" t="str">
        <f t="shared" si="29"/>
        <v/>
      </c>
      <c r="J103" s="71" t="str">
        <f t="shared" si="29"/>
        <v/>
      </c>
      <c r="K103" s="71" t="str">
        <f t="shared" si="29"/>
        <v/>
      </c>
      <c r="L103" s="71" t="str">
        <f t="shared" si="29"/>
        <v/>
      </c>
      <c r="M103" s="71" t="str">
        <f t="shared" si="29"/>
        <v/>
      </c>
      <c r="N103" s="71" t="str">
        <f t="shared" si="29"/>
        <v/>
      </c>
      <c r="O103" s="71" t="str">
        <f t="shared" si="29"/>
        <v/>
      </c>
      <c r="P103" s="71" t="str">
        <f t="shared" si="29"/>
        <v/>
      </c>
      <c r="Q103" s="71" t="str">
        <f t="shared" si="29"/>
        <v/>
      </c>
      <c r="R103" s="71" t="str">
        <f t="shared" si="29"/>
        <v/>
      </c>
      <c r="S103" s="71" t="str">
        <f t="shared" si="29"/>
        <v/>
      </c>
      <c r="T103" s="71" t="str">
        <f t="shared" si="29"/>
        <v/>
      </c>
      <c r="U103" s="71" t="str">
        <f t="shared" si="29"/>
        <v/>
      </c>
      <c r="V103" s="71" t="str">
        <f t="shared" si="29"/>
        <v/>
      </c>
      <c r="W103" s="71" t="str">
        <f t="shared" si="29"/>
        <v/>
      </c>
      <c r="X103" s="71" t="str">
        <f t="shared" si="29"/>
        <v/>
      </c>
      <c r="Y103" s="71" t="str">
        <f t="shared" si="29"/>
        <v/>
      </c>
      <c r="Z103" s="71" t="str">
        <f t="shared" si="29"/>
        <v/>
      </c>
      <c r="AA103" s="71" t="str">
        <f t="shared" si="29"/>
        <v/>
      </c>
      <c r="AB103" s="71" t="str">
        <f t="shared" si="29"/>
        <v/>
      </c>
      <c r="AC103" s="71" t="str">
        <f t="shared" si="29"/>
        <v/>
      </c>
      <c r="AD103" s="71" t="str">
        <f t="shared" si="29"/>
        <v/>
      </c>
      <c r="AE103" s="71" t="str">
        <f t="shared" si="29"/>
        <v/>
      </c>
      <c r="AF103" s="71" t="str">
        <f t="shared" si="29"/>
        <v/>
      </c>
      <c r="AG103" s="71" t="str">
        <f t="shared" si="29"/>
        <v/>
      </c>
      <c r="AH103" s="72">
        <f>SUM(AH101:AH102)</f>
        <v>0</v>
      </c>
      <c r="AI103" s="45">
        <f>SUM(AI101:AI102)</f>
        <v>4</v>
      </c>
      <c r="AJ103" s="45">
        <f>SUM(AJ101:AJ102)</f>
        <v>0</v>
      </c>
      <c r="AK103" s="45">
        <f>SUM(AK101:AK102)</f>
        <v>0</v>
      </c>
      <c r="AL103" s="45">
        <f>SUM(AL101:AL102)</f>
        <v>0</v>
      </c>
      <c r="AM103" s="50">
        <f>Juin!AM103</f>
        <v>2.65</v>
      </c>
      <c r="AN103" s="51">
        <f>IF(A102="","",IF(A102&gt;NomMois,0,IF(A102&lt;$A$3,2.08,(NETWORKDAYS(A102,$A$2)/21.66667)*2.08)))</f>
        <v>2.08</v>
      </c>
      <c r="AO103" s="51">
        <f>IF( AN103="",0,+AN103+Octobre!AO103)</f>
        <v>12.48</v>
      </c>
      <c r="AP103" s="50"/>
      <c r="AQ103" s="45">
        <f>+AM103-AI103</f>
        <v>-1.35</v>
      </c>
      <c r="AR103" s="45">
        <f>+AP103-AJ103</f>
        <v>0</v>
      </c>
      <c r="AS103" s="102">
        <f t="shared" si="27"/>
        <v>11.13</v>
      </c>
    </row>
    <row r="104" spans="1:45" s="79" customFormat="1" ht="8.25" customHeight="1" x14ac:dyDescent="0.25">
      <c r="A104" s="64"/>
      <c r="B104" s="42"/>
      <c r="C104" s="64"/>
      <c r="D104" s="64"/>
      <c r="E104" s="64"/>
      <c r="F104" s="64"/>
      <c r="G104" s="64"/>
      <c r="H104" s="64"/>
      <c r="I104" s="64"/>
      <c r="J104" s="64"/>
      <c r="K104" s="64"/>
      <c r="L104" s="64"/>
      <c r="M104" s="64"/>
      <c r="N104" s="64"/>
      <c r="O104" s="64"/>
      <c r="P104" s="64"/>
      <c r="Q104" s="64"/>
      <c r="R104" s="64"/>
      <c r="S104" s="64"/>
      <c r="T104" s="64"/>
      <c r="U104" s="64"/>
      <c r="V104" s="64"/>
      <c r="W104" s="64"/>
      <c r="X104" s="64"/>
      <c r="Y104" s="64"/>
      <c r="Z104" s="64"/>
      <c r="AA104" s="64"/>
      <c r="AB104" s="64"/>
      <c r="AC104" s="64"/>
      <c r="AD104" s="64"/>
      <c r="AE104" s="64"/>
      <c r="AF104" s="64"/>
      <c r="AG104" s="64"/>
      <c r="AH104" s="65"/>
      <c r="AI104" s="65"/>
      <c r="AJ104" s="65"/>
      <c r="AK104" s="65"/>
      <c r="AL104" s="65"/>
      <c r="AM104" s="64"/>
      <c r="AN104" s="65"/>
      <c r="AO104" s="65"/>
      <c r="AP104" s="64"/>
      <c r="AQ104" s="69"/>
      <c r="AR104" s="69"/>
      <c r="AS104" s="65"/>
    </row>
    <row r="105" spans="1:45" s="79" customFormat="1" ht="12.95" customHeight="1" x14ac:dyDescent="0.25">
      <c r="A105" s="41"/>
      <c r="B105" s="42" t="s">
        <v>15</v>
      </c>
      <c r="C105" s="67"/>
      <c r="D105" s="43"/>
      <c r="E105" s="43"/>
      <c r="F105" s="43"/>
      <c r="G105" s="43"/>
      <c r="H105" s="43"/>
      <c r="I105" s="43"/>
      <c r="J105" s="43"/>
      <c r="K105" s="43"/>
      <c r="L105" s="43"/>
      <c r="M105" s="43"/>
      <c r="N105" s="43"/>
      <c r="O105" s="43"/>
      <c r="P105" s="43"/>
      <c r="Q105" s="43"/>
      <c r="R105" s="43"/>
      <c r="S105" s="43"/>
      <c r="T105" s="43"/>
      <c r="U105" s="43"/>
      <c r="V105" s="43"/>
      <c r="W105" s="43"/>
      <c r="X105" s="43"/>
      <c r="Y105" s="43"/>
      <c r="Z105" s="43"/>
      <c r="AA105" s="43"/>
      <c r="AB105" s="43"/>
      <c r="AC105" s="43"/>
      <c r="AD105" s="43"/>
      <c r="AE105" s="43"/>
      <c r="AF105" s="43"/>
      <c r="AG105" s="43"/>
      <c r="AH105" s="44">
        <f>COUNTA(Novembre!$C105:$AG105)</f>
        <v>0</v>
      </c>
      <c r="AI105" s="45">
        <f>(COUNTIFS(Novembre!$C105:$AG105,("cp")))/2+Octobre!AI105</f>
        <v>0</v>
      </c>
      <c r="AJ105" s="45">
        <f>COUNTIFS(Novembre!$C105:$AG105,"RTT")/2+Octobre!AJ105</f>
        <v>0</v>
      </c>
      <c r="AK105" s="45">
        <f>COUNTIFS(Novembre!$C105:$AG105,"m")/2+Octobre!AK105</f>
        <v>0</v>
      </c>
      <c r="AL105" s="45">
        <f>COUNTIFS(Novembre!$C105:$AG105,"a")/2+Octobre!AL105</f>
        <v>0</v>
      </c>
      <c r="AM105" s="46"/>
      <c r="AN105" s="47"/>
      <c r="AO105" s="47"/>
      <c r="AP105" s="46"/>
      <c r="AQ105" s="47"/>
      <c r="AR105" s="47"/>
      <c r="AS105" s="47"/>
    </row>
    <row r="106" spans="1:45" s="79" customFormat="1" ht="12.95" customHeight="1" x14ac:dyDescent="0.25">
      <c r="A106" s="48">
        <v>43037</v>
      </c>
      <c r="B106" s="42" t="s">
        <v>16</v>
      </c>
      <c r="C106" s="67"/>
      <c r="D106" s="43"/>
      <c r="E106" s="43"/>
      <c r="F106" s="43"/>
      <c r="G106" s="43"/>
      <c r="H106" s="43"/>
      <c r="I106" s="43"/>
      <c r="J106" s="43"/>
      <c r="K106" s="43"/>
      <c r="L106" s="43"/>
      <c r="M106" s="43"/>
      <c r="N106" s="43"/>
      <c r="O106" s="43"/>
      <c r="P106" s="43"/>
      <c r="Q106" s="43"/>
      <c r="R106" s="43"/>
      <c r="S106" s="43"/>
      <c r="T106" s="43"/>
      <c r="U106" s="43"/>
      <c r="V106" s="43"/>
      <c r="W106" s="43"/>
      <c r="X106" s="43"/>
      <c r="Y106" s="43"/>
      <c r="Z106" s="43"/>
      <c r="AA106" s="43"/>
      <c r="AB106" s="43"/>
      <c r="AC106" s="43"/>
      <c r="AD106" s="43"/>
      <c r="AE106" s="43"/>
      <c r="AF106" s="43"/>
      <c r="AG106" s="43"/>
      <c r="AH106" s="44">
        <f>COUNTA(Novembre!$C106:$AG106)</f>
        <v>0</v>
      </c>
      <c r="AI106" s="45">
        <f>(COUNTIFS(Novembre!$C106:$AG106,("cp")))/2+Octobre!AI106</f>
        <v>0</v>
      </c>
      <c r="AJ106" s="45">
        <f>COUNTIFS(Novembre!$C106:$AG106,"RTT")/2+Octobre!AJ106</f>
        <v>0</v>
      </c>
      <c r="AK106" s="45">
        <f>COUNTIFS(Novembre!$C106:$AG106,"m")/2+Octobre!AK106</f>
        <v>0</v>
      </c>
      <c r="AL106" s="45">
        <f>COUNTIFS(Novembre!$C106:$AG106,"a")/2+Octobre!AL106</f>
        <v>0</v>
      </c>
      <c r="AM106" s="46"/>
      <c r="AN106" s="47"/>
      <c r="AO106" s="47"/>
      <c r="AP106" s="46"/>
      <c r="AQ106" s="47"/>
      <c r="AR106" s="47"/>
      <c r="AS106" s="101"/>
    </row>
    <row r="107" spans="1:45" s="79" customFormat="1" ht="12.95" customHeight="1" x14ac:dyDescent="0.25">
      <c r="A107" s="41"/>
      <c r="B107" s="42"/>
      <c r="C107" s="49" t="str">
        <f t="shared" ref="C107:AG107" si="30">IF(C105&gt;0,C105,IF(C106&gt;0,C106,""))</f>
        <v/>
      </c>
      <c r="D107" s="49" t="str">
        <f t="shared" si="30"/>
        <v/>
      </c>
      <c r="E107" s="49" t="str">
        <f t="shared" si="30"/>
        <v/>
      </c>
      <c r="F107" s="49" t="str">
        <f t="shared" si="30"/>
        <v/>
      </c>
      <c r="G107" s="49" t="str">
        <f t="shared" si="30"/>
        <v/>
      </c>
      <c r="H107" s="49" t="str">
        <f t="shared" si="30"/>
        <v/>
      </c>
      <c r="I107" s="49" t="str">
        <f t="shared" si="30"/>
        <v/>
      </c>
      <c r="J107" s="49" t="str">
        <f t="shared" si="30"/>
        <v/>
      </c>
      <c r="K107" s="49" t="str">
        <f t="shared" si="30"/>
        <v/>
      </c>
      <c r="L107" s="49" t="str">
        <f t="shared" si="30"/>
        <v/>
      </c>
      <c r="M107" s="49" t="str">
        <f t="shared" si="30"/>
        <v/>
      </c>
      <c r="N107" s="49" t="str">
        <f t="shared" si="30"/>
        <v/>
      </c>
      <c r="O107" s="49" t="str">
        <f t="shared" si="30"/>
        <v/>
      </c>
      <c r="P107" s="49" t="str">
        <f t="shared" si="30"/>
        <v/>
      </c>
      <c r="Q107" s="49" t="str">
        <f t="shared" si="30"/>
        <v/>
      </c>
      <c r="R107" s="49" t="str">
        <f t="shared" si="30"/>
        <v/>
      </c>
      <c r="S107" s="49" t="str">
        <f t="shared" si="30"/>
        <v/>
      </c>
      <c r="T107" s="49" t="str">
        <f t="shared" si="30"/>
        <v/>
      </c>
      <c r="U107" s="49" t="str">
        <f t="shared" si="30"/>
        <v/>
      </c>
      <c r="V107" s="49" t="str">
        <f t="shared" si="30"/>
        <v/>
      </c>
      <c r="W107" s="49" t="str">
        <f t="shared" si="30"/>
        <v/>
      </c>
      <c r="X107" s="49" t="str">
        <f t="shared" si="30"/>
        <v/>
      </c>
      <c r="Y107" s="49" t="str">
        <f t="shared" si="30"/>
        <v/>
      </c>
      <c r="Z107" s="49" t="str">
        <f t="shared" si="30"/>
        <v/>
      </c>
      <c r="AA107" s="49" t="str">
        <f t="shared" si="30"/>
        <v/>
      </c>
      <c r="AB107" s="49" t="str">
        <f t="shared" si="30"/>
        <v/>
      </c>
      <c r="AC107" s="49" t="str">
        <f t="shared" si="30"/>
        <v/>
      </c>
      <c r="AD107" s="49" t="str">
        <f t="shared" si="30"/>
        <v/>
      </c>
      <c r="AE107" s="49" t="str">
        <f t="shared" si="30"/>
        <v/>
      </c>
      <c r="AF107" s="49" t="str">
        <f t="shared" si="30"/>
        <v/>
      </c>
      <c r="AG107" s="49" t="str">
        <f t="shared" si="30"/>
        <v/>
      </c>
      <c r="AH107" s="44">
        <f>SUM(AH105:AH106)</f>
        <v>0</v>
      </c>
      <c r="AI107" s="45">
        <f>SUM(AI105:AI106)</f>
        <v>0</v>
      </c>
      <c r="AJ107" s="45">
        <f>SUM(AJ105:AJ106)</f>
        <v>0</v>
      </c>
      <c r="AK107" s="45">
        <f>SUM(AK105:AK106)</f>
        <v>0</v>
      </c>
      <c r="AL107" s="45">
        <f>SUM(AL105:AL106)</f>
        <v>0</v>
      </c>
      <c r="AM107" s="50">
        <v>0</v>
      </c>
      <c r="AN107" s="51">
        <f>IF(A106="","",IF(A106&gt;NomMois,0,IF(A106&lt;$A$3,2.08,(NETWORKDAYS(A106,$A$2)/21.66667)*2.08)))</f>
        <v>2.08</v>
      </c>
      <c r="AO107" s="51">
        <f>IF( AN107="",0,+AN107+Octobre!AO107)</f>
        <v>2.2719999704615432</v>
      </c>
      <c r="AP107" s="50"/>
      <c r="AQ107" s="45">
        <f>+AM107-AI107</f>
        <v>0</v>
      </c>
      <c r="AR107" s="45">
        <f>+AP107-AJ107</f>
        <v>0</v>
      </c>
      <c r="AS107" s="102">
        <f t="shared" si="27"/>
        <v>2.2719999704615432</v>
      </c>
    </row>
    <row r="108" spans="1:45" s="79" customFormat="1" ht="6.75" customHeight="1" x14ac:dyDescent="0.25">
      <c r="A108" s="64"/>
      <c r="B108" s="42"/>
      <c r="C108" s="64"/>
      <c r="D108" s="64"/>
      <c r="E108" s="64"/>
      <c r="F108" s="64"/>
      <c r="G108" s="64"/>
      <c r="H108" s="64"/>
      <c r="I108" s="64"/>
      <c r="J108" s="64"/>
      <c r="K108" s="64"/>
      <c r="L108" s="64"/>
      <c r="M108" s="64"/>
      <c r="N108" s="64"/>
      <c r="O108" s="64"/>
      <c r="P108" s="64"/>
      <c r="Q108" s="64"/>
      <c r="R108" s="64"/>
      <c r="S108" s="64"/>
      <c r="T108" s="64"/>
      <c r="U108" s="64"/>
      <c r="V108" s="64"/>
      <c r="W108" s="64"/>
      <c r="X108" s="64"/>
      <c r="Y108" s="64"/>
      <c r="Z108" s="64"/>
      <c r="AA108" s="64"/>
      <c r="AB108" s="64"/>
      <c r="AC108" s="64"/>
      <c r="AD108" s="64"/>
      <c r="AE108" s="64"/>
      <c r="AF108" s="64"/>
      <c r="AG108" s="64"/>
      <c r="AH108" s="65"/>
      <c r="AI108" s="65"/>
      <c r="AJ108" s="65"/>
      <c r="AK108" s="65"/>
      <c r="AL108" s="65"/>
      <c r="AM108" s="64"/>
      <c r="AN108" s="65"/>
      <c r="AO108" s="65"/>
      <c r="AP108" s="64"/>
      <c r="AQ108" s="69"/>
      <c r="AR108" s="69"/>
      <c r="AS108" s="65"/>
    </row>
    <row r="109" spans="1:45" s="79" customFormat="1" ht="12.95" customHeight="1" x14ac:dyDescent="0.25">
      <c r="A109" s="41"/>
      <c r="B109" s="42" t="s">
        <v>15</v>
      </c>
      <c r="C109" s="67"/>
      <c r="D109" s="43"/>
      <c r="E109" s="43"/>
      <c r="F109" s="43"/>
      <c r="G109" s="43"/>
      <c r="H109" s="43"/>
      <c r="I109" s="43"/>
      <c r="J109" s="43"/>
      <c r="K109" s="43"/>
      <c r="L109" s="43"/>
      <c r="M109" s="43"/>
      <c r="N109" s="43"/>
      <c r="O109" s="43"/>
      <c r="P109" s="43"/>
      <c r="Q109" s="43"/>
      <c r="R109" s="43"/>
      <c r="S109" s="43"/>
      <c r="T109" s="43"/>
      <c r="U109" s="43"/>
      <c r="V109" s="43"/>
      <c r="W109" s="43"/>
      <c r="X109" s="43"/>
      <c r="Y109" s="43"/>
      <c r="Z109" s="43"/>
      <c r="AA109" s="43"/>
      <c r="AB109" s="43"/>
      <c r="AC109" s="43"/>
      <c r="AD109" s="43"/>
      <c r="AE109" s="43"/>
      <c r="AF109" s="43"/>
      <c r="AG109" s="43"/>
      <c r="AH109" s="44">
        <f>COUNTA(Novembre!$C109:$AG109)</f>
        <v>0</v>
      </c>
      <c r="AI109" s="45">
        <f>(COUNTIFS(Novembre!$C109:$AG109,("cp")))/2+Octobre!AI109</f>
        <v>0</v>
      </c>
      <c r="AJ109" s="45">
        <f>COUNTIFS(Novembre!$C109:$AG109,"RTT")/2+Octobre!AJ109</f>
        <v>0</v>
      </c>
      <c r="AK109" s="45">
        <f>COUNTIFS(Novembre!$C109:$AG109,"m")/2+Octobre!AK109</f>
        <v>0</v>
      </c>
      <c r="AL109" s="45">
        <f>COUNTIFS(Novembre!$C109:$AG109,"a")/2+Octobre!AL109</f>
        <v>0</v>
      </c>
      <c r="AM109" s="46"/>
      <c r="AN109" s="47"/>
      <c r="AO109" s="47"/>
      <c r="AP109" s="46"/>
      <c r="AQ109" s="47"/>
      <c r="AR109" s="47"/>
      <c r="AS109" s="47"/>
    </row>
    <row r="110" spans="1:45" s="79" customFormat="1" ht="12.95" customHeight="1" x14ac:dyDescent="0.25">
      <c r="A110" s="48">
        <v>42991</v>
      </c>
      <c r="B110" s="42" t="s">
        <v>16</v>
      </c>
      <c r="C110" s="67"/>
      <c r="D110" s="43"/>
      <c r="E110" s="43"/>
      <c r="F110" s="43"/>
      <c r="G110" s="43"/>
      <c r="H110" s="43"/>
      <c r="I110" s="43"/>
      <c r="J110" s="43"/>
      <c r="K110" s="43"/>
      <c r="L110" s="43"/>
      <c r="M110" s="43"/>
      <c r="N110" s="43"/>
      <c r="O110" s="43"/>
      <c r="P110" s="43"/>
      <c r="Q110" s="43"/>
      <c r="R110" s="43"/>
      <c r="S110" s="43"/>
      <c r="T110" s="43"/>
      <c r="U110" s="43"/>
      <c r="V110" s="43"/>
      <c r="W110" s="43"/>
      <c r="X110" s="43"/>
      <c r="Y110" s="43"/>
      <c r="Z110" s="43"/>
      <c r="AA110" s="43"/>
      <c r="AB110" s="43"/>
      <c r="AC110" s="43"/>
      <c r="AD110" s="43"/>
      <c r="AE110" s="43"/>
      <c r="AF110" s="43"/>
      <c r="AG110" s="43"/>
      <c r="AH110" s="44">
        <f>COUNTA(Novembre!$C110:$AG110)</f>
        <v>0</v>
      </c>
      <c r="AI110" s="45">
        <f>(COUNTIFS(Novembre!$C110:$AG110,("cp")))/2+Octobre!AI110</f>
        <v>0</v>
      </c>
      <c r="AJ110" s="45">
        <f>COUNTIFS(Novembre!$C110:$AG110,"RTT")/2+Octobre!AJ110</f>
        <v>0</v>
      </c>
      <c r="AK110" s="45">
        <f>COUNTIFS(Novembre!$C110:$AG110,"m")/2+Octobre!AK110</f>
        <v>0</v>
      </c>
      <c r="AL110" s="45">
        <f>COUNTIFS(Novembre!$C110:$AG110,"a")/2+Octobre!AL110</f>
        <v>0</v>
      </c>
      <c r="AM110" s="46"/>
      <c r="AN110" s="47"/>
      <c r="AO110" s="47"/>
      <c r="AP110" s="46"/>
      <c r="AQ110" s="47"/>
      <c r="AR110" s="47"/>
      <c r="AS110" s="101"/>
    </row>
    <row r="111" spans="1:45" s="79" customFormat="1" ht="12.95" customHeight="1" x14ac:dyDescent="0.25">
      <c r="A111" s="41"/>
      <c r="B111" s="42"/>
      <c r="C111" s="49" t="str">
        <f t="shared" ref="C111:AG111" si="31">IF(C109&gt;0,C109,IF(C110&gt;0,C110,""))</f>
        <v/>
      </c>
      <c r="D111" s="49" t="str">
        <f t="shared" si="31"/>
        <v/>
      </c>
      <c r="E111" s="49" t="str">
        <f t="shared" si="31"/>
        <v/>
      </c>
      <c r="F111" s="49" t="str">
        <f t="shared" si="31"/>
        <v/>
      </c>
      <c r="G111" s="49" t="str">
        <f t="shared" si="31"/>
        <v/>
      </c>
      <c r="H111" s="49" t="str">
        <f t="shared" si="31"/>
        <v/>
      </c>
      <c r="I111" s="49" t="str">
        <f t="shared" si="31"/>
        <v/>
      </c>
      <c r="J111" s="49" t="str">
        <f t="shared" si="31"/>
        <v/>
      </c>
      <c r="K111" s="49" t="str">
        <f t="shared" si="31"/>
        <v/>
      </c>
      <c r="L111" s="49" t="str">
        <f t="shared" si="31"/>
        <v/>
      </c>
      <c r="M111" s="49" t="str">
        <f t="shared" si="31"/>
        <v/>
      </c>
      <c r="N111" s="49" t="str">
        <f t="shared" si="31"/>
        <v/>
      </c>
      <c r="O111" s="49" t="str">
        <f t="shared" si="31"/>
        <v/>
      </c>
      <c r="P111" s="49" t="str">
        <f t="shared" si="31"/>
        <v/>
      </c>
      <c r="Q111" s="49" t="str">
        <f t="shared" si="31"/>
        <v/>
      </c>
      <c r="R111" s="49" t="str">
        <f t="shared" si="31"/>
        <v/>
      </c>
      <c r="S111" s="49" t="str">
        <f t="shared" si="31"/>
        <v/>
      </c>
      <c r="T111" s="49" t="str">
        <f t="shared" si="31"/>
        <v/>
      </c>
      <c r="U111" s="49" t="str">
        <f t="shared" si="31"/>
        <v/>
      </c>
      <c r="V111" s="49" t="str">
        <f t="shared" si="31"/>
        <v/>
      </c>
      <c r="W111" s="49" t="str">
        <f t="shared" si="31"/>
        <v/>
      </c>
      <c r="X111" s="49" t="str">
        <f t="shared" si="31"/>
        <v/>
      </c>
      <c r="Y111" s="49" t="str">
        <f t="shared" si="31"/>
        <v/>
      </c>
      <c r="Z111" s="49" t="str">
        <f t="shared" si="31"/>
        <v/>
      </c>
      <c r="AA111" s="49" t="str">
        <f t="shared" si="31"/>
        <v/>
      </c>
      <c r="AB111" s="49" t="str">
        <f t="shared" si="31"/>
        <v/>
      </c>
      <c r="AC111" s="49" t="str">
        <f t="shared" si="31"/>
        <v/>
      </c>
      <c r="AD111" s="49" t="str">
        <f t="shared" si="31"/>
        <v/>
      </c>
      <c r="AE111" s="49" t="str">
        <f t="shared" si="31"/>
        <v/>
      </c>
      <c r="AF111" s="49" t="str">
        <f t="shared" si="31"/>
        <v/>
      </c>
      <c r="AG111" s="49" t="str">
        <f t="shared" si="31"/>
        <v/>
      </c>
      <c r="AH111" s="44">
        <f>SUM(AH109:AH110)</f>
        <v>0</v>
      </c>
      <c r="AI111" s="45">
        <f>SUM(AI109:AI110)</f>
        <v>0</v>
      </c>
      <c r="AJ111" s="45">
        <f>SUM(AJ109:AJ110)</f>
        <v>0</v>
      </c>
      <c r="AK111" s="45">
        <f>SUM(AK109:AK110)</f>
        <v>0</v>
      </c>
      <c r="AL111" s="45">
        <f>SUM(AL109:AL110)</f>
        <v>0</v>
      </c>
      <c r="AM111" s="50">
        <v>0</v>
      </c>
      <c r="AN111" s="51">
        <f>IF(A110="","",IF(A110&gt;NomMois,0,IF(A110&lt;$A$3,2.08,(NETWORKDAYS(A110,$A$2)/21.66667)*2.08)))</f>
        <v>2.08</v>
      </c>
      <c r="AO111" s="51">
        <f>IF( AN111="",0,+AN111+Octobre!AO111)</f>
        <v>5.4079998080000298</v>
      </c>
      <c r="AP111" s="50"/>
      <c r="AQ111" s="45">
        <f>+AM111-AI111</f>
        <v>0</v>
      </c>
      <c r="AR111" s="45">
        <f>+AP111-AJ111</f>
        <v>0</v>
      </c>
      <c r="AS111" s="102">
        <f t="shared" si="27"/>
        <v>5.4079998080000298</v>
      </c>
    </row>
    <row r="112" spans="1:45" s="79" customFormat="1" ht="6.75" customHeight="1" x14ac:dyDescent="0.25">
      <c r="A112" s="64"/>
      <c r="B112" s="42"/>
      <c r="C112" s="64"/>
      <c r="D112" s="64"/>
      <c r="E112" s="64"/>
      <c r="F112" s="64"/>
      <c r="G112" s="64"/>
      <c r="H112" s="64"/>
      <c r="I112" s="64"/>
      <c r="J112" s="64"/>
      <c r="K112" s="64"/>
      <c r="L112" s="64"/>
      <c r="M112" s="64"/>
      <c r="N112" s="64"/>
      <c r="O112" s="64"/>
      <c r="P112" s="64"/>
      <c r="Q112" s="64"/>
      <c r="R112" s="64"/>
      <c r="S112" s="64"/>
      <c r="T112" s="64"/>
      <c r="U112" s="64"/>
      <c r="V112" s="64"/>
      <c r="W112" s="64"/>
      <c r="X112" s="64"/>
      <c r="Y112" s="64"/>
      <c r="Z112" s="64"/>
      <c r="AA112" s="64"/>
      <c r="AB112" s="64"/>
      <c r="AC112" s="64"/>
      <c r="AD112" s="64"/>
      <c r="AE112" s="64"/>
      <c r="AF112" s="64"/>
      <c r="AG112" s="64"/>
      <c r="AH112" s="65"/>
      <c r="AI112" s="65"/>
      <c r="AJ112" s="65"/>
      <c r="AK112" s="65"/>
      <c r="AL112" s="65"/>
      <c r="AM112" s="64"/>
      <c r="AN112" s="65"/>
      <c r="AO112" s="65"/>
      <c r="AP112" s="64"/>
      <c r="AQ112" s="69"/>
      <c r="AR112" s="69"/>
      <c r="AS112" s="65"/>
    </row>
    <row r="113" spans="1:45" s="79" customFormat="1" ht="12.95" customHeight="1" x14ac:dyDescent="0.25">
      <c r="A113" s="41"/>
      <c r="B113" s="42" t="s">
        <v>15</v>
      </c>
      <c r="C113" s="67"/>
      <c r="D113" s="43"/>
      <c r="E113" s="43"/>
      <c r="F113" s="43"/>
      <c r="G113" s="43"/>
      <c r="H113" s="43"/>
      <c r="I113" s="43"/>
      <c r="J113" s="43"/>
      <c r="K113" s="43"/>
      <c r="L113" s="43"/>
      <c r="M113" s="43"/>
      <c r="N113" s="43"/>
      <c r="O113" s="43"/>
      <c r="P113" s="43"/>
      <c r="Q113" s="43"/>
      <c r="R113" s="43"/>
      <c r="S113" s="43"/>
      <c r="T113" s="43"/>
      <c r="U113" s="43"/>
      <c r="V113" s="43"/>
      <c r="W113" s="43"/>
      <c r="X113" s="43"/>
      <c r="Y113" s="43"/>
      <c r="Z113" s="43"/>
      <c r="AA113" s="43"/>
      <c r="AB113" s="43"/>
      <c r="AC113" s="43"/>
      <c r="AD113" s="43"/>
      <c r="AE113" s="43"/>
      <c r="AF113" s="43"/>
      <c r="AG113" s="43"/>
      <c r="AH113" s="44">
        <f>COUNTA(Novembre!$C113:$AG113)</f>
        <v>0</v>
      </c>
      <c r="AI113" s="45">
        <f>(COUNTIFS(Novembre!$C113:$AG113,("cp")))/2+Octobre!AI113</f>
        <v>0</v>
      </c>
      <c r="AJ113" s="45">
        <f>COUNTIFS(Novembre!$C113:$AG113,"RTT")/2+Octobre!AJ113</f>
        <v>0</v>
      </c>
      <c r="AK113" s="45">
        <f>COUNTIFS(Novembre!$C113:$AG113,"m")/2+Octobre!AK113</f>
        <v>0</v>
      </c>
      <c r="AL113" s="45">
        <f>COUNTIFS(Novembre!$C113:$AG113,"a")/2+Octobre!AL113</f>
        <v>0</v>
      </c>
      <c r="AM113" s="46"/>
      <c r="AN113" s="47"/>
      <c r="AO113" s="47"/>
      <c r="AP113" s="46"/>
      <c r="AQ113" s="47"/>
      <c r="AR113" s="47"/>
      <c r="AS113" s="47"/>
    </row>
    <row r="114" spans="1:45" s="79" customFormat="1" ht="12.95" customHeight="1" x14ac:dyDescent="0.25">
      <c r="A114" s="48">
        <v>43052</v>
      </c>
      <c r="B114" s="42" t="s">
        <v>16</v>
      </c>
      <c r="C114" s="67"/>
      <c r="D114" s="43"/>
      <c r="E114" s="43"/>
      <c r="F114" s="43"/>
      <c r="G114" s="43"/>
      <c r="H114" s="43"/>
      <c r="I114" s="43"/>
      <c r="J114" s="43"/>
      <c r="K114" s="43"/>
      <c r="L114" s="43"/>
      <c r="M114" s="43"/>
      <c r="N114" s="43"/>
      <c r="O114" s="43"/>
      <c r="P114" s="43"/>
      <c r="Q114" s="43"/>
      <c r="R114" s="43"/>
      <c r="S114" s="43"/>
      <c r="T114" s="43"/>
      <c r="U114" s="43"/>
      <c r="V114" s="43"/>
      <c r="W114" s="43"/>
      <c r="X114" s="43"/>
      <c r="Y114" s="43"/>
      <c r="Z114" s="43"/>
      <c r="AA114" s="43"/>
      <c r="AB114" s="43"/>
      <c r="AC114" s="43"/>
      <c r="AD114" s="43"/>
      <c r="AE114" s="43"/>
      <c r="AF114" s="43"/>
      <c r="AG114" s="43"/>
      <c r="AH114" s="44">
        <f>COUNTA(Novembre!$C114:$AG114)</f>
        <v>0</v>
      </c>
      <c r="AI114" s="45">
        <f>(COUNTIFS(Novembre!$C114:$AG114,("cp")))/2+Octobre!AI114</f>
        <v>0</v>
      </c>
      <c r="AJ114" s="45">
        <f>COUNTIFS(Novembre!$C114:$AG114,"RTT")/2+Octobre!AJ114</f>
        <v>0</v>
      </c>
      <c r="AK114" s="45">
        <f>COUNTIFS(Novembre!$C114:$AG114,"m")/2+Octobre!AK114</f>
        <v>0</v>
      </c>
      <c r="AL114" s="45">
        <f>COUNTIFS(Novembre!$C114:$AG114,"a")/2+Octobre!AL114</f>
        <v>0</v>
      </c>
      <c r="AM114" s="46"/>
      <c r="AN114" s="47"/>
      <c r="AO114" s="47"/>
      <c r="AP114" s="46"/>
      <c r="AQ114" s="47"/>
      <c r="AR114" s="47"/>
      <c r="AS114" s="101"/>
    </row>
    <row r="115" spans="1:45" s="79" customFormat="1" ht="12.95" customHeight="1" x14ac:dyDescent="0.25">
      <c r="A115" s="41"/>
      <c r="B115" s="42"/>
      <c r="C115" s="49" t="str">
        <f t="shared" ref="C115:AG115" si="32">IF(C113&gt;0,C113,IF(C114&gt;0,C114,""))</f>
        <v/>
      </c>
      <c r="D115" s="49" t="str">
        <f t="shared" si="32"/>
        <v/>
      </c>
      <c r="E115" s="49" t="str">
        <f t="shared" si="32"/>
        <v/>
      </c>
      <c r="F115" s="49" t="str">
        <f t="shared" si="32"/>
        <v/>
      </c>
      <c r="G115" s="49" t="str">
        <f t="shared" si="32"/>
        <v/>
      </c>
      <c r="H115" s="49" t="str">
        <f t="shared" si="32"/>
        <v/>
      </c>
      <c r="I115" s="49" t="str">
        <f t="shared" si="32"/>
        <v/>
      </c>
      <c r="J115" s="49" t="str">
        <f t="shared" si="32"/>
        <v/>
      </c>
      <c r="K115" s="49" t="str">
        <f t="shared" si="32"/>
        <v/>
      </c>
      <c r="L115" s="49" t="str">
        <f t="shared" si="32"/>
        <v/>
      </c>
      <c r="M115" s="49" t="str">
        <f t="shared" si="32"/>
        <v/>
      </c>
      <c r="N115" s="49" t="str">
        <f t="shared" si="32"/>
        <v/>
      </c>
      <c r="O115" s="49" t="str">
        <f t="shared" si="32"/>
        <v/>
      </c>
      <c r="P115" s="49" t="str">
        <f t="shared" si="32"/>
        <v/>
      </c>
      <c r="Q115" s="49" t="str">
        <f t="shared" si="32"/>
        <v/>
      </c>
      <c r="R115" s="49" t="str">
        <f t="shared" si="32"/>
        <v/>
      </c>
      <c r="S115" s="49" t="str">
        <f t="shared" si="32"/>
        <v/>
      </c>
      <c r="T115" s="49" t="str">
        <f t="shared" si="32"/>
        <v/>
      </c>
      <c r="U115" s="49" t="str">
        <f t="shared" si="32"/>
        <v/>
      </c>
      <c r="V115" s="49" t="str">
        <f t="shared" si="32"/>
        <v/>
      </c>
      <c r="W115" s="49" t="str">
        <f t="shared" si="32"/>
        <v/>
      </c>
      <c r="X115" s="49" t="str">
        <f t="shared" si="32"/>
        <v/>
      </c>
      <c r="Y115" s="49" t="str">
        <f t="shared" si="32"/>
        <v/>
      </c>
      <c r="Z115" s="49" t="str">
        <f t="shared" si="32"/>
        <v/>
      </c>
      <c r="AA115" s="49" t="str">
        <f t="shared" si="32"/>
        <v/>
      </c>
      <c r="AB115" s="49" t="str">
        <f t="shared" si="32"/>
        <v/>
      </c>
      <c r="AC115" s="49" t="str">
        <f t="shared" si="32"/>
        <v/>
      </c>
      <c r="AD115" s="49" t="str">
        <f t="shared" si="32"/>
        <v/>
      </c>
      <c r="AE115" s="49" t="str">
        <f t="shared" si="32"/>
        <v/>
      </c>
      <c r="AF115" s="49" t="str">
        <f t="shared" si="32"/>
        <v/>
      </c>
      <c r="AG115" s="49" t="str">
        <f t="shared" si="32"/>
        <v/>
      </c>
      <c r="AH115" s="44">
        <f>SUM(AH113:AH114)</f>
        <v>0</v>
      </c>
      <c r="AI115" s="45">
        <f>SUM(AI113:AI114)</f>
        <v>0</v>
      </c>
      <c r="AJ115" s="45">
        <f>SUM(AJ113:AJ114)</f>
        <v>0</v>
      </c>
      <c r="AK115" s="45">
        <f>SUM(AK113:AK114)</f>
        <v>0</v>
      </c>
      <c r="AL115" s="45">
        <f>SUM(AL113:AL114)</f>
        <v>0</v>
      </c>
      <c r="AM115" s="50">
        <v>0</v>
      </c>
      <c r="AN115" s="51">
        <f>IF(A114="","",IF(A114&gt;NomMois,0,IF(A114&lt;$A$3,2.08,(NETWORKDAYS(A114,$A$2)/21.66667)*2.08)))</f>
        <v>1.3439997932308012</v>
      </c>
      <c r="AO115" s="51">
        <f>IF( AN115="",0,+AN115+Octobre!AO115)</f>
        <v>1.3439997932308012</v>
      </c>
      <c r="AP115" s="50"/>
      <c r="AQ115" s="45">
        <f>+AM115-AI115</f>
        <v>0</v>
      </c>
      <c r="AR115" s="45">
        <f>+AP115-AJ115</f>
        <v>0</v>
      </c>
      <c r="AS115" s="102">
        <f t="shared" si="27"/>
        <v>1.3439997932308012</v>
      </c>
    </row>
    <row r="116" spans="1:45" s="79" customFormat="1" ht="6.75" customHeight="1" x14ac:dyDescent="0.25">
      <c r="A116" s="64"/>
      <c r="B116" s="42"/>
      <c r="C116" s="64"/>
      <c r="D116" s="64"/>
      <c r="E116" s="64"/>
      <c r="F116" s="64"/>
      <c r="G116" s="64"/>
      <c r="H116" s="64"/>
      <c r="I116" s="64"/>
      <c r="J116" s="64"/>
      <c r="K116" s="64"/>
      <c r="L116" s="64"/>
      <c r="M116" s="64"/>
      <c r="N116" s="64"/>
      <c r="O116" s="64"/>
      <c r="P116" s="64"/>
      <c r="Q116" s="64"/>
      <c r="R116" s="64"/>
      <c r="S116" s="64"/>
      <c r="T116" s="64"/>
      <c r="U116" s="64"/>
      <c r="V116" s="64"/>
      <c r="W116" s="64"/>
      <c r="X116" s="64"/>
      <c r="Y116" s="64"/>
      <c r="Z116" s="64"/>
      <c r="AA116" s="64"/>
      <c r="AB116" s="64"/>
      <c r="AC116" s="64"/>
      <c r="AD116" s="64"/>
      <c r="AE116" s="64"/>
      <c r="AF116" s="64"/>
      <c r="AG116" s="64"/>
      <c r="AH116" s="65"/>
      <c r="AI116" s="65"/>
      <c r="AJ116" s="65"/>
      <c r="AK116" s="65"/>
      <c r="AL116" s="65"/>
      <c r="AM116" s="64"/>
      <c r="AN116" s="65"/>
      <c r="AO116" s="65"/>
      <c r="AP116" s="64"/>
      <c r="AQ116" s="69"/>
      <c r="AR116" s="69"/>
      <c r="AS116" s="65"/>
    </row>
    <row r="117" spans="1:45" s="79" customFormat="1" ht="12.95" customHeight="1" x14ac:dyDescent="0.25">
      <c r="A117" s="41"/>
      <c r="B117" s="42" t="s">
        <v>15</v>
      </c>
      <c r="C117" s="67"/>
      <c r="D117" s="43"/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  <c r="S117" s="43"/>
      <c r="T117" s="43"/>
      <c r="U117" s="43"/>
      <c r="V117" s="43"/>
      <c r="W117" s="43"/>
      <c r="X117" s="43"/>
      <c r="Y117" s="43"/>
      <c r="Z117" s="43"/>
      <c r="AA117" s="43"/>
      <c r="AB117" s="43"/>
      <c r="AC117" s="43"/>
      <c r="AD117" s="43"/>
      <c r="AE117" s="43"/>
      <c r="AF117" s="43"/>
      <c r="AG117" s="43"/>
      <c r="AH117" s="44">
        <f>COUNTA(Novembre!$C117:$AG117)</f>
        <v>0</v>
      </c>
      <c r="AI117" s="45">
        <f>(COUNTIFS(Novembre!$C117:$AG117,("cp")))/2+Octobre!AI117</f>
        <v>0</v>
      </c>
      <c r="AJ117" s="45">
        <f>COUNTIFS(Novembre!$C117:$AG117,"RTT")/2+Octobre!AJ117</f>
        <v>0</v>
      </c>
      <c r="AK117" s="45">
        <f>COUNTIFS(Novembre!$C117:$AG117,"m")/2+Octobre!AK117</f>
        <v>0</v>
      </c>
      <c r="AL117" s="45">
        <f>COUNTIFS(Novembre!$C117:$AG117,"a")/2+Octobre!AL117</f>
        <v>0</v>
      </c>
      <c r="AM117" s="46"/>
      <c r="AN117" s="47"/>
      <c r="AO117" s="47"/>
      <c r="AP117" s="46"/>
      <c r="AQ117" s="47"/>
      <c r="AR117" s="47"/>
      <c r="AS117" s="47"/>
    </row>
    <row r="118" spans="1:45" s="79" customFormat="1" ht="12.95" customHeight="1" x14ac:dyDescent="0.25">
      <c r="A118" s="48"/>
      <c r="B118" s="42" t="s">
        <v>16</v>
      </c>
      <c r="C118" s="67"/>
      <c r="D118" s="43"/>
      <c r="E118" s="43"/>
      <c r="F118" s="43"/>
      <c r="G118" s="43"/>
      <c r="H118" s="43"/>
      <c r="I118" s="43"/>
      <c r="J118" s="43"/>
      <c r="K118" s="43"/>
      <c r="L118" s="43"/>
      <c r="M118" s="43"/>
      <c r="N118" s="43"/>
      <c r="O118" s="43"/>
      <c r="P118" s="43"/>
      <c r="Q118" s="43"/>
      <c r="R118" s="43"/>
      <c r="S118" s="43"/>
      <c r="T118" s="43"/>
      <c r="U118" s="43"/>
      <c r="V118" s="43"/>
      <c r="W118" s="43"/>
      <c r="X118" s="43"/>
      <c r="Y118" s="43"/>
      <c r="Z118" s="43"/>
      <c r="AA118" s="43"/>
      <c r="AB118" s="43"/>
      <c r="AC118" s="43"/>
      <c r="AD118" s="43"/>
      <c r="AE118" s="43"/>
      <c r="AF118" s="43"/>
      <c r="AG118" s="43"/>
      <c r="AH118" s="44">
        <f>COUNTA(Novembre!$C118:$AG118)</f>
        <v>0</v>
      </c>
      <c r="AI118" s="45">
        <f>(COUNTIFS(Novembre!$C118:$AG118,("cp")))/2+Octobre!AI118</f>
        <v>0</v>
      </c>
      <c r="AJ118" s="45">
        <f>COUNTIFS(Novembre!$C118:$AG118,"RTT")/2+Octobre!AJ118</f>
        <v>0</v>
      </c>
      <c r="AK118" s="45">
        <f>COUNTIFS(Novembre!$C118:$AG118,"m")/2+Octobre!AK118</f>
        <v>0</v>
      </c>
      <c r="AL118" s="45">
        <f>COUNTIFS(Novembre!$C118:$AG118,"a")/2+Octobre!AL118</f>
        <v>0</v>
      </c>
      <c r="AM118" s="46"/>
      <c r="AN118" s="47"/>
      <c r="AO118" s="47"/>
      <c r="AP118" s="46"/>
      <c r="AQ118" s="47"/>
      <c r="AR118" s="47"/>
      <c r="AS118" s="101"/>
    </row>
    <row r="119" spans="1:45" s="79" customFormat="1" ht="12.95" customHeight="1" x14ac:dyDescent="0.25">
      <c r="A119" s="41"/>
      <c r="B119" s="42"/>
      <c r="C119" s="49" t="str">
        <f t="shared" ref="C119:AG119" si="33">IF(C117&gt;0,C117,IF(C118&gt;0,C118,""))</f>
        <v/>
      </c>
      <c r="D119" s="49" t="str">
        <f t="shared" si="33"/>
        <v/>
      </c>
      <c r="E119" s="49" t="str">
        <f t="shared" si="33"/>
        <v/>
      </c>
      <c r="F119" s="49" t="str">
        <f t="shared" si="33"/>
        <v/>
      </c>
      <c r="G119" s="49" t="str">
        <f t="shared" si="33"/>
        <v/>
      </c>
      <c r="H119" s="49" t="str">
        <f t="shared" si="33"/>
        <v/>
      </c>
      <c r="I119" s="49" t="str">
        <f t="shared" si="33"/>
        <v/>
      </c>
      <c r="J119" s="49" t="str">
        <f t="shared" si="33"/>
        <v/>
      </c>
      <c r="K119" s="49" t="str">
        <f t="shared" si="33"/>
        <v/>
      </c>
      <c r="L119" s="49" t="str">
        <f t="shared" si="33"/>
        <v/>
      </c>
      <c r="M119" s="49" t="str">
        <f t="shared" si="33"/>
        <v/>
      </c>
      <c r="N119" s="49" t="str">
        <f t="shared" si="33"/>
        <v/>
      </c>
      <c r="O119" s="49" t="str">
        <f t="shared" si="33"/>
        <v/>
      </c>
      <c r="P119" s="49" t="str">
        <f t="shared" si="33"/>
        <v/>
      </c>
      <c r="Q119" s="49" t="str">
        <f t="shared" si="33"/>
        <v/>
      </c>
      <c r="R119" s="49" t="str">
        <f t="shared" si="33"/>
        <v/>
      </c>
      <c r="S119" s="49" t="str">
        <f t="shared" si="33"/>
        <v/>
      </c>
      <c r="T119" s="49" t="str">
        <f t="shared" si="33"/>
        <v/>
      </c>
      <c r="U119" s="49" t="str">
        <f t="shared" si="33"/>
        <v/>
      </c>
      <c r="V119" s="49" t="str">
        <f t="shared" si="33"/>
        <v/>
      </c>
      <c r="W119" s="49" t="str">
        <f t="shared" si="33"/>
        <v/>
      </c>
      <c r="X119" s="49" t="str">
        <f t="shared" si="33"/>
        <v/>
      </c>
      <c r="Y119" s="49" t="str">
        <f t="shared" si="33"/>
        <v/>
      </c>
      <c r="Z119" s="49" t="str">
        <f t="shared" si="33"/>
        <v/>
      </c>
      <c r="AA119" s="49" t="str">
        <f t="shared" si="33"/>
        <v/>
      </c>
      <c r="AB119" s="49" t="str">
        <f t="shared" si="33"/>
        <v/>
      </c>
      <c r="AC119" s="49" t="str">
        <f t="shared" si="33"/>
        <v/>
      </c>
      <c r="AD119" s="49" t="str">
        <f t="shared" si="33"/>
        <v/>
      </c>
      <c r="AE119" s="49" t="str">
        <f t="shared" si="33"/>
        <v/>
      </c>
      <c r="AF119" s="49" t="str">
        <f t="shared" si="33"/>
        <v/>
      </c>
      <c r="AG119" s="49" t="str">
        <f t="shared" si="33"/>
        <v/>
      </c>
      <c r="AH119" s="44">
        <f>SUM(AH117:AH118)</f>
        <v>0</v>
      </c>
      <c r="AI119" s="45">
        <f>SUM(AI117:AI118)</f>
        <v>0</v>
      </c>
      <c r="AJ119" s="45">
        <f>SUM(AJ117:AJ118)</f>
        <v>0</v>
      </c>
      <c r="AK119" s="45">
        <f>SUM(AK117:AK118)</f>
        <v>0</v>
      </c>
      <c r="AL119" s="45">
        <f>SUM(AL117:AL118)</f>
        <v>0</v>
      </c>
      <c r="AM119" s="50">
        <v>0</v>
      </c>
      <c r="AN119" s="51" t="str">
        <f>IF(A118="","",IF(A118&gt;NomMois,0,IF(A118&lt;$A$3,2.08,(NETWORKDAYS(A118,$A$2)/21.66667)*2.08)))</f>
        <v/>
      </c>
      <c r="AO119" s="51">
        <f>IF( AN119="",0,+AN119+Octobre!AO119)</f>
        <v>0</v>
      </c>
      <c r="AP119" s="50"/>
      <c r="AQ119" s="45">
        <f>+AM119-AI119</f>
        <v>0</v>
      </c>
      <c r="AR119" s="45">
        <f>+AP119-AJ119</f>
        <v>0</v>
      </c>
      <c r="AS119" s="102">
        <f t="shared" si="27"/>
        <v>0</v>
      </c>
    </row>
    <row r="120" spans="1:45" s="79" customFormat="1" ht="6.75" customHeight="1" x14ac:dyDescent="0.25">
      <c r="A120" s="64"/>
      <c r="B120" s="42"/>
      <c r="C120" s="64"/>
      <c r="D120" s="64"/>
      <c r="E120" s="64"/>
      <c r="F120" s="64"/>
      <c r="G120" s="64"/>
      <c r="H120" s="64"/>
      <c r="I120" s="64"/>
      <c r="J120" s="64"/>
      <c r="K120" s="64"/>
      <c r="L120" s="64"/>
      <c r="M120" s="64"/>
      <c r="N120" s="64"/>
      <c r="O120" s="64"/>
      <c r="P120" s="64"/>
      <c r="Q120" s="64"/>
      <c r="R120" s="64"/>
      <c r="S120" s="64"/>
      <c r="T120" s="64"/>
      <c r="U120" s="64"/>
      <c r="V120" s="64"/>
      <c r="W120" s="64"/>
      <c r="X120" s="64"/>
      <c r="Y120" s="64"/>
      <c r="Z120" s="64"/>
      <c r="AA120" s="64"/>
      <c r="AB120" s="64"/>
      <c r="AC120" s="64"/>
      <c r="AD120" s="64"/>
      <c r="AE120" s="64"/>
      <c r="AF120" s="64"/>
      <c r="AG120" s="64"/>
      <c r="AH120" s="65"/>
      <c r="AI120" s="65"/>
      <c r="AJ120" s="65"/>
      <c r="AK120" s="65"/>
      <c r="AL120" s="65"/>
      <c r="AM120" s="64"/>
      <c r="AN120" s="65"/>
      <c r="AO120" s="65"/>
      <c r="AP120" s="64"/>
      <c r="AQ120" s="69"/>
      <c r="AR120" s="69"/>
      <c r="AS120" s="65"/>
    </row>
    <row r="121" spans="1:45" s="79" customFormat="1" ht="12.95" customHeight="1" x14ac:dyDescent="0.25">
      <c r="A121" s="41"/>
      <c r="B121" s="42" t="s">
        <v>15</v>
      </c>
      <c r="C121" s="67"/>
      <c r="D121" s="43"/>
      <c r="E121" s="43"/>
      <c r="F121" s="43"/>
      <c r="G121" s="43"/>
      <c r="H121" s="43"/>
      <c r="I121" s="43"/>
      <c r="J121" s="43"/>
      <c r="K121" s="43"/>
      <c r="L121" s="43"/>
      <c r="M121" s="43"/>
      <c r="N121" s="43"/>
      <c r="O121" s="43"/>
      <c r="P121" s="43"/>
      <c r="Q121" s="43"/>
      <c r="R121" s="43"/>
      <c r="S121" s="43"/>
      <c r="T121" s="43"/>
      <c r="U121" s="43"/>
      <c r="V121" s="43"/>
      <c r="W121" s="43"/>
      <c r="X121" s="43"/>
      <c r="Y121" s="43"/>
      <c r="Z121" s="43"/>
      <c r="AA121" s="43"/>
      <c r="AB121" s="43"/>
      <c r="AC121" s="43"/>
      <c r="AD121" s="43"/>
      <c r="AE121" s="43"/>
      <c r="AF121" s="43"/>
      <c r="AG121" s="43"/>
      <c r="AH121" s="44">
        <f>COUNTA(Novembre!$C121:$AG121)</f>
        <v>0</v>
      </c>
      <c r="AI121" s="45">
        <f>(COUNTIFS(Novembre!$C121:$AG121,("cp")))/2+Octobre!AI121</f>
        <v>0</v>
      </c>
      <c r="AJ121" s="45">
        <f>COUNTIFS(Novembre!$C121:$AG121,"RTT")/2+Octobre!AJ121</f>
        <v>0</v>
      </c>
      <c r="AK121" s="45">
        <f>COUNTIFS(Novembre!$C121:$AG121,"m")/2+Octobre!AK121</f>
        <v>0</v>
      </c>
      <c r="AL121" s="45">
        <f>COUNTIFS(Novembre!$C121:$AG121,"a")/2+Octobre!AL121</f>
        <v>0</v>
      </c>
      <c r="AM121" s="46"/>
      <c r="AN121" s="47"/>
      <c r="AO121" s="47"/>
      <c r="AP121" s="46"/>
      <c r="AQ121" s="47"/>
      <c r="AR121" s="47"/>
      <c r="AS121" s="47"/>
    </row>
    <row r="122" spans="1:45" s="79" customFormat="1" ht="12.95" customHeight="1" x14ac:dyDescent="0.25">
      <c r="A122" s="48"/>
      <c r="B122" s="42" t="s">
        <v>16</v>
      </c>
      <c r="C122" s="67"/>
      <c r="D122" s="43"/>
      <c r="E122" s="43"/>
      <c r="F122" s="43"/>
      <c r="G122" s="43"/>
      <c r="H122" s="43"/>
      <c r="I122" s="43"/>
      <c r="J122" s="43"/>
      <c r="K122" s="43"/>
      <c r="L122" s="43"/>
      <c r="M122" s="43"/>
      <c r="N122" s="43"/>
      <c r="O122" s="43"/>
      <c r="P122" s="43"/>
      <c r="Q122" s="43"/>
      <c r="R122" s="43"/>
      <c r="S122" s="43"/>
      <c r="T122" s="43"/>
      <c r="U122" s="43"/>
      <c r="V122" s="43"/>
      <c r="W122" s="43"/>
      <c r="X122" s="43"/>
      <c r="Y122" s="43"/>
      <c r="Z122" s="43"/>
      <c r="AA122" s="43"/>
      <c r="AB122" s="43"/>
      <c r="AC122" s="43"/>
      <c r="AD122" s="43"/>
      <c r="AE122" s="43"/>
      <c r="AF122" s="43"/>
      <c r="AG122" s="43"/>
      <c r="AH122" s="44">
        <f>COUNTA(Novembre!$C122:$AG122)</f>
        <v>0</v>
      </c>
      <c r="AI122" s="45">
        <f>(COUNTIFS(Novembre!$C122:$AG122,("cp")))/2+Octobre!AI122</f>
        <v>0</v>
      </c>
      <c r="AJ122" s="45">
        <f>COUNTIFS(Novembre!$C122:$AG122,"RTT")/2+Octobre!AJ122</f>
        <v>0</v>
      </c>
      <c r="AK122" s="45">
        <f>COUNTIFS(Novembre!$C122:$AG122,"m")/2+Octobre!AK122</f>
        <v>0</v>
      </c>
      <c r="AL122" s="45">
        <f>COUNTIFS(Novembre!$C122:$AG122,"a")/2+Octobre!AL122</f>
        <v>0</v>
      </c>
      <c r="AM122" s="46"/>
      <c r="AN122" s="47"/>
      <c r="AO122" s="47"/>
      <c r="AP122" s="46"/>
      <c r="AQ122" s="47"/>
      <c r="AR122" s="47"/>
      <c r="AS122" s="101"/>
    </row>
    <row r="123" spans="1:45" s="79" customFormat="1" ht="12.95" customHeight="1" x14ac:dyDescent="0.25">
      <c r="A123" s="41"/>
      <c r="B123" s="42"/>
      <c r="C123" s="49" t="str">
        <f t="shared" ref="C123:AG123" si="34">IF(C121&gt;0,C121,IF(C122&gt;0,C122,""))</f>
        <v/>
      </c>
      <c r="D123" s="49" t="str">
        <f t="shared" si="34"/>
        <v/>
      </c>
      <c r="E123" s="49" t="str">
        <f t="shared" si="34"/>
        <v/>
      </c>
      <c r="F123" s="49" t="str">
        <f t="shared" si="34"/>
        <v/>
      </c>
      <c r="G123" s="49" t="str">
        <f t="shared" si="34"/>
        <v/>
      </c>
      <c r="H123" s="49" t="str">
        <f t="shared" si="34"/>
        <v/>
      </c>
      <c r="I123" s="49" t="str">
        <f t="shared" si="34"/>
        <v/>
      </c>
      <c r="J123" s="49" t="str">
        <f t="shared" si="34"/>
        <v/>
      </c>
      <c r="K123" s="49" t="str">
        <f t="shared" si="34"/>
        <v/>
      </c>
      <c r="L123" s="49" t="str">
        <f t="shared" si="34"/>
        <v/>
      </c>
      <c r="M123" s="49" t="str">
        <f t="shared" si="34"/>
        <v/>
      </c>
      <c r="N123" s="49" t="str">
        <f t="shared" si="34"/>
        <v/>
      </c>
      <c r="O123" s="49" t="str">
        <f t="shared" si="34"/>
        <v/>
      </c>
      <c r="P123" s="49" t="str">
        <f t="shared" si="34"/>
        <v/>
      </c>
      <c r="Q123" s="49" t="str">
        <f t="shared" si="34"/>
        <v/>
      </c>
      <c r="R123" s="49" t="str">
        <f t="shared" si="34"/>
        <v/>
      </c>
      <c r="S123" s="49" t="str">
        <f t="shared" si="34"/>
        <v/>
      </c>
      <c r="T123" s="49" t="str">
        <f t="shared" si="34"/>
        <v/>
      </c>
      <c r="U123" s="49" t="str">
        <f t="shared" si="34"/>
        <v/>
      </c>
      <c r="V123" s="49" t="str">
        <f t="shared" si="34"/>
        <v/>
      </c>
      <c r="W123" s="49" t="str">
        <f t="shared" si="34"/>
        <v/>
      </c>
      <c r="X123" s="49" t="str">
        <f t="shared" si="34"/>
        <v/>
      </c>
      <c r="Y123" s="49" t="str">
        <f t="shared" si="34"/>
        <v/>
      </c>
      <c r="Z123" s="49" t="str">
        <f t="shared" si="34"/>
        <v/>
      </c>
      <c r="AA123" s="49" t="str">
        <f t="shared" si="34"/>
        <v/>
      </c>
      <c r="AB123" s="49" t="str">
        <f t="shared" si="34"/>
        <v/>
      </c>
      <c r="AC123" s="49" t="str">
        <f t="shared" si="34"/>
        <v/>
      </c>
      <c r="AD123" s="49" t="str">
        <f t="shared" si="34"/>
        <v/>
      </c>
      <c r="AE123" s="49" t="str">
        <f t="shared" si="34"/>
        <v/>
      </c>
      <c r="AF123" s="49" t="str">
        <f t="shared" si="34"/>
        <v/>
      </c>
      <c r="AG123" s="49" t="str">
        <f t="shared" si="34"/>
        <v/>
      </c>
      <c r="AH123" s="44">
        <f>SUM(AH121:AH122)</f>
        <v>0</v>
      </c>
      <c r="AI123" s="45">
        <f>SUM(AI121:AI122)</f>
        <v>0</v>
      </c>
      <c r="AJ123" s="45">
        <f>SUM(AJ121:AJ122)</f>
        <v>0</v>
      </c>
      <c r="AK123" s="45">
        <f>SUM(AK121:AK122)</f>
        <v>0</v>
      </c>
      <c r="AL123" s="45">
        <f>SUM(AL121:AL122)</f>
        <v>0</v>
      </c>
      <c r="AM123" s="50">
        <v>0</v>
      </c>
      <c r="AN123" s="51" t="str">
        <f>IF(A122="","",IF(A122&gt;NomMois,0,IF(A122&lt;$A$3,2.08,(NETWORKDAYS(A122,$A$2)/21.66667)*2.08)))</f>
        <v/>
      </c>
      <c r="AO123" s="51">
        <f>IF( AN123="",0,+AN123+Octobre!AO123)</f>
        <v>0</v>
      </c>
      <c r="AP123" s="50"/>
      <c r="AQ123" s="45">
        <f>+AM123-AI123</f>
        <v>0</v>
      </c>
      <c r="AR123" s="45">
        <f>+AP123-AJ123</f>
        <v>0</v>
      </c>
      <c r="AS123" s="102">
        <f t="shared" si="27"/>
        <v>0</v>
      </c>
    </row>
    <row r="124" spans="1:45" s="79" customFormat="1" ht="6.75" customHeight="1" x14ac:dyDescent="0.25">
      <c r="A124" s="64"/>
      <c r="B124" s="64"/>
      <c r="C124" s="64"/>
      <c r="D124" s="64"/>
      <c r="E124" s="64"/>
      <c r="F124" s="64"/>
      <c r="G124" s="64"/>
      <c r="H124" s="64"/>
      <c r="I124" s="64"/>
      <c r="J124" s="64"/>
      <c r="K124" s="64"/>
      <c r="L124" s="64"/>
      <c r="M124" s="64"/>
      <c r="N124" s="64"/>
      <c r="O124" s="64"/>
      <c r="P124" s="64"/>
      <c r="Q124" s="64"/>
      <c r="R124" s="64"/>
      <c r="S124" s="64"/>
      <c r="T124" s="64"/>
      <c r="U124" s="64"/>
      <c r="V124" s="64"/>
      <c r="W124" s="64"/>
      <c r="X124" s="64"/>
      <c r="Y124" s="64"/>
      <c r="Z124" s="64"/>
      <c r="AA124" s="64"/>
      <c r="AB124" s="64"/>
      <c r="AC124" s="64"/>
      <c r="AD124" s="64"/>
      <c r="AE124" s="64"/>
      <c r="AF124" s="64"/>
      <c r="AG124" s="64"/>
      <c r="AH124" s="64"/>
      <c r="AI124" s="64"/>
      <c r="AJ124" s="64"/>
      <c r="AK124" s="64"/>
      <c r="AL124" s="64"/>
      <c r="AM124" s="64"/>
      <c r="AN124" s="64"/>
      <c r="AO124" s="64"/>
      <c r="AP124" s="64"/>
      <c r="AQ124" s="74"/>
      <c r="AR124" s="74"/>
      <c r="AS124" s="65"/>
    </row>
    <row r="125" spans="1:45" s="79" customFormat="1" x14ac:dyDescent="0.25">
      <c r="A125" s="100"/>
      <c r="B125" s="100"/>
      <c r="C125" s="100"/>
      <c r="D125" s="100"/>
      <c r="E125" s="100"/>
      <c r="F125" s="100"/>
      <c r="G125" s="100"/>
      <c r="H125" s="100"/>
      <c r="I125" s="100"/>
      <c r="J125" s="100"/>
      <c r="K125" s="100"/>
      <c r="L125" s="100"/>
      <c r="M125" s="100"/>
      <c r="N125" s="100"/>
      <c r="O125" s="100"/>
      <c r="P125" s="100"/>
      <c r="Q125" s="100"/>
      <c r="R125" s="100"/>
      <c r="S125" s="100"/>
      <c r="T125" s="100"/>
      <c r="U125" s="100"/>
      <c r="V125" s="100"/>
      <c r="W125" s="100"/>
      <c r="X125" s="100"/>
      <c r="Y125" s="100"/>
      <c r="Z125" s="100"/>
      <c r="AA125" s="100"/>
      <c r="AB125" s="100"/>
      <c r="AC125" s="100"/>
      <c r="AD125" s="100"/>
      <c r="AE125" s="100"/>
      <c r="AF125" s="100"/>
      <c r="AG125" s="100"/>
      <c r="AH125" s="100"/>
      <c r="AM125" s="8"/>
      <c r="AN125" s="8"/>
      <c r="AO125" s="8"/>
    </row>
    <row r="126" spans="1:45" s="79" customFormat="1" x14ac:dyDescent="0.25">
      <c r="A126" s="100"/>
      <c r="B126" s="100"/>
      <c r="C126" s="100"/>
      <c r="D126" s="100"/>
      <c r="E126" s="100"/>
      <c r="F126" s="100"/>
      <c r="G126" s="100"/>
      <c r="H126" s="100"/>
      <c r="I126" s="100"/>
      <c r="J126" s="100"/>
      <c r="K126" s="100"/>
      <c r="L126" s="100"/>
      <c r="M126" s="100"/>
      <c r="N126" s="100"/>
      <c r="O126" s="100"/>
      <c r="P126" s="100"/>
      <c r="Q126" s="100"/>
      <c r="R126" s="100"/>
      <c r="S126" s="100"/>
      <c r="T126" s="100"/>
      <c r="U126" s="100"/>
      <c r="V126" s="100"/>
      <c r="W126" s="100"/>
      <c r="X126" s="100"/>
      <c r="Y126" s="100"/>
      <c r="Z126" s="100"/>
      <c r="AA126" s="100"/>
      <c r="AB126" s="100"/>
      <c r="AC126" s="100"/>
      <c r="AD126" s="100"/>
      <c r="AE126" s="100"/>
      <c r="AF126" s="100"/>
      <c r="AG126" s="100"/>
      <c r="AH126" s="100"/>
      <c r="AM126" s="8"/>
      <c r="AN126" s="8"/>
      <c r="AO126" s="8"/>
    </row>
    <row r="127" spans="1:45" s="79" customFormat="1" x14ac:dyDescent="0.25">
      <c r="A127" s="80"/>
      <c r="B127" s="80"/>
      <c r="C127" s="82" t="s">
        <v>17</v>
      </c>
      <c r="D127" s="82"/>
      <c r="E127" s="82"/>
      <c r="F127" s="82"/>
      <c r="G127" s="83"/>
      <c r="H127" s="84" t="s">
        <v>7</v>
      </c>
      <c r="I127" s="85" t="s">
        <v>18</v>
      </c>
      <c r="J127" s="86"/>
      <c r="K127" s="86"/>
      <c r="L127" s="87" t="s">
        <v>8</v>
      </c>
      <c r="M127" s="85" t="s">
        <v>8</v>
      </c>
      <c r="N127" s="86"/>
      <c r="O127" s="86"/>
      <c r="P127" s="88" t="s">
        <v>9</v>
      </c>
      <c r="Q127" s="85" t="s">
        <v>19</v>
      </c>
      <c r="R127" s="86"/>
      <c r="S127" s="86"/>
      <c r="T127" s="89" t="s">
        <v>10</v>
      </c>
      <c r="U127" s="90" t="s">
        <v>20</v>
      </c>
      <c r="V127" s="91"/>
      <c r="W127" s="86"/>
      <c r="X127" s="93"/>
      <c r="Y127" s="92"/>
      <c r="Z127" s="90" t="s">
        <v>21</v>
      </c>
      <c r="AA127" s="86"/>
      <c r="AB127" s="91"/>
      <c r="AC127" s="93"/>
      <c r="AD127" s="93"/>
      <c r="AE127" s="93"/>
      <c r="AF127" s="93"/>
      <c r="AG127" s="93"/>
      <c r="AH127" s="94"/>
      <c r="AM127" s="8"/>
      <c r="AN127" s="8"/>
      <c r="AO127" s="8"/>
    </row>
    <row r="128" spans="1:45" s="79" customFormat="1" x14ac:dyDescent="0.25"/>
    <row r="129" s="79" customFormat="1" x14ac:dyDescent="0.25"/>
    <row r="130" s="79" customFormat="1" x14ac:dyDescent="0.25"/>
    <row r="131" s="79" customFormat="1" ht="15" customHeight="1" x14ac:dyDescent="0.25"/>
    <row r="132" s="79" customFormat="1" ht="15" customHeight="1" x14ac:dyDescent="0.25"/>
    <row r="133" s="79" customFormat="1" ht="15" customHeight="1" x14ac:dyDescent="0.25"/>
    <row r="134" s="79" customFormat="1" ht="15" customHeight="1" x14ac:dyDescent="0.25"/>
    <row r="135" s="79" customFormat="1" ht="15" customHeight="1" x14ac:dyDescent="0.25"/>
    <row r="136" s="79" customFormat="1" ht="15" customHeight="1" x14ac:dyDescent="0.25"/>
    <row r="137" s="79" customFormat="1" ht="15" customHeight="1" x14ac:dyDescent="0.25"/>
    <row r="138" s="79" customFormat="1" ht="15" customHeight="1" x14ac:dyDescent="0.25"/>
    <row r="139" s="79" customFormat="1" ht="15" customHeight="1" x14ac:dyDescent="0.25"/>
    <row r="140" s="79" customFormat="1" ht="15" customHeight="1" x14ac:dyDescent="0.25"/>
    <row r="141" s="79" customFormat="1" ht="15" customHeight="1" x14ac:dyDescent="0.25"/>
    <row r="142" s="79" customFormat="1" ht="15" customHeight="1" x14ac:dyDescent="0.25"/>
    <row r="143" s="79" customFormat="1" ht="15" customHeight="1" x14ac:dyDescent="0.25"/>
    <row r="144" s="79" customFormat="1" ht="15" customHeight="1" x14ac:dyDescent="0.25"/>
    <row r="145" s="79" customFormat="1" ht="15" customHeight="1" x14ac:dyDescent="0.25"/>
    <row r="146" s="79" customFormat="1" ht="15" customHeight="1" x14ac:dyDescent="0.25"/>
    <row r="147" s="79" customFormat="1" ht="15" customHeight="1" x14ac:dyDescent="0.25"/>
    <row r="148" s="79" customFormat="1" ht="15" customHeight="1" x14ac:dyDescent="0.25"/>
    <row r="149" s="79" customFormat="1" ht="15" customHeight="1" x14ac:dyDescent="0.25"/>
    <row r="150" s="79" customFormat="1" ht="15" customHeight="1" x14ac:dyDescent="0.25"/>
    <row r="151" s="79" customFormat="1" ht="15" customHeight="1" x14ac:dyDescent="0.25"/>
    <row r="152" s="79" customFormat="1" ht="15" customHeight="1" x14ac:dyDescent="0.25"/>
    <row r="153" s="79" customFormat="1" ht="15" customHeight="1" x14ac:dyDescent="0.25"/>
    <row r="154" s="79" customFormat="1" ht="15" customHeight="1" x14ac:dyDescent="0.25"/>
    <row r="155" s="79" customFormat="1" ht="15" customHeight="1" x14ac:dyDescent="0.25"/>
    <row r="156" s="79" customFormat="1" ht="15" customHeight="1" x14ac:dyDescent="0.25"/>
    <row r="157" s="79" customFormat="1" ht="15" customHeight="1" x14ac:dyDescent="0.25"/>
    <row r="158" s="79" customFormat="1" ht="15" customHeight="1" x14ac:dyDescent="0.25"/>
    <row r="159" s="79" customFormat="1" ht="15" customHeight="1" x14ac:dyDescent="0.25"/>
    <row r="160" s="79" customFormat="1" ht="15" customHeight="1" x14ac:dyDescent="0.25"/>
    <row r="161" s="79" customFormat="1" ht="15" customHeight="1" x14ac:dyDescent="0.25"/>
    <row r="162" s="79" customFormat="1" ht="15" customHeight="1" x14ac:dyDescent="0.25"/>
    <row r="163" s="79" customFormat="1" ht="15" customHeight="1" x14ac:dyDescent="0.25"/>
    <row r="164" s="79" customFormat="1" ht="15" customHeight="1" x14ac:dyDescent="0.25"/>
    <row r="165" s="79" customFormat="1" ht="15" customHeight="1" x14ac:dyDescent="0.25"/>
    <row r="166" s="79" customFormat="1" ht="15" customHeight="1" x14ac:dyDescent="0.25"/>
    <row r="167" s="79" customFormat="1" ht="15" customHeight="1" x14ac:dyDescent="0.25"/>
    <row r="168" s="79" customFormat="1" ht="15" customHeight="1" x14ac:dyDescent="0.25"/>
    <row r="169" s="79" customFormat="1" ht="15" customHeight="1" x14ac:dyDescent="0.25"/>
    <row r="170" s="79" customFormat="1" ht="15" customHeight="1" x14ac:dyDescent="0.25"/>
    <row r="171" s="79" customFormat="1" ht="15" customHeight="1" x14ac:dyDescent="0.25"/>
    <row r="172" s="79" customFormat="1" ht="15" customHeight="1" x14ac:dyDescent="0.25"/>
    <row r="173" s="79" customFormat="1" ht="15" customHeight="1" x14ac:dyDescent="0.25"/>
    <row r="174" s="79" customFormat="1" ht="15" customHeight="1" x14ac:dyDescent="0.25"/>
    <row r="175" s="79" customFormat="1" ht="15" customHeight="1" x14ac:dyDescent="0.25"/>
    <row r="176" s="79" customFormat="1" ht="15" customHeight="1" x14ac:dyDescent="0.25"/>
    <row r="177" s="79" customFormat="1" ht="15" customHeight="1" x14ac:dyDescent="0.25"/>
    <row r="178" s="79" customFormat="1" ht="15" customHeight="1" x14ac:dyDescent="0.25"/>
    <row r="179" s="79" customFormat="1" ht="15" customHeight="1" x14ac:dyDescent="0.25"/>
    <row r="180" s="79" customFormat="1" ht="15" customHeight="1" x14ac:dyDescent="0.25"/>
    <row r="181" s="79" customFormat="1" ht="15" customHeight="1" x14ac:dyDescent="0.25"/>
    <row r="182" s="79" customFormat="1" ht="15" customHeight="1" x14ac:dyDescent="0.25"/>
    <row r="183" s="79" customFormat="1" ht="15" customHeight="1" x14ac:dyDescent="0.25"/>
    <row r="184" s="79" customFormat="1" ht="15" customHeight="1" x14ac:dyDescent="0.25"/>
    <row r="185" s="79" customFormat="1" ht="15" customHeight="1" x14ac:dyDescent="0.25"/>
    <row r="186" s="79" customFormat="1" ht="15" customHeight="1" x14ac:dyDescent="0.25"/>
    <row r="187" s="79" customFormat="1" ht="15" customHeight="1" x14ac:dyDescent="0.25"/>
    <row r="188" s="79" customFormat="1" ht="15" customHeight="1" x14ac:dyDescent="0.25"/>
    <row r="189" s="79" customFormat="1" ht="15" customHeight="1" x14ac:dyDescent="0.25"/>
    <row r="190" s="79" customFormat="1" ht="15" customHeight="1" x14ac:dyDescent="0.25"/>
    <row r="191" s="79" customFormat="1" ht="15" customHeight="1" x14ac:dyDescent="0.25"/>
    <row r="192" s="79" customFormat="1" ht="15" customHeight="1" x14ac:dyDescent="0.25"/>
    <row r="193" s="79" customFormat="1" ht="15" customHeight="1" x14ac:dyDescent="0.25"/>
    <row r="194" s="79" customFormat="1" ht="15" customHeight="1" x14ac:dyDescent="0.25"/>
    <row r="195" s="79" customFormat="1" ht="15" customHeight="1" x14ac:dyDescent="0.25"/>
    <row r="196" s="79" customFormat="1" ht="15" customHeight="1" x14ac:dyDescent="0.25"/>
    <row r="197" s="79" customFormat="1" ht="15" customHeight="1" x14ac:dyDescent="0.25"/>
    <row r="198" s="79" customFormat="1" ht="15" customHeight="1" x14ac:dyDescent="0.25"/>
    <row r="199" s="79" customFormat="1" ht="15" customHeight="1" x14ac:dyDescent="0.25"/>
    <row r="200" s="79" customFormat="1" ht="15" customHeight="1" x14ac:dyDescent="0.25"/>
    <row r="201" s="79" customFormat="1" ht="15" customHeight="1" x14ac:dyDescent="0.25"/>
    <row r="202" s="79" customFormat="1" ht="15" customHeight="1" x14ac:dyDescent="0.25"/>
    <row r="203" s="79" customFormat="1" ht="15" customHeight="1" x14ac:dyDescent="0.25"/>
    <row r="204" s="79" customFormat="1" ht="15" customHeight="1" x14ac:dyDescent="0.25"/>
    <row r="205" s="79" customFormat="1" ht="15" customHeight="1" x14ac:dyDescent="0.25"/>
    <row r="206" s="79" customFormat="1" ht="15" customHeight="1" x14ac:dyDescent="0.25"/>
    <row r="207" s="79" customFormat="1" ht="15" customHeight="1" x14ac:dyDescent="0.25"/>
    <row r="208" s="79" customFormat="1" ht="15" customHeight="1" x14ac:dyDescent="0.25"/>
    <row r="209" s="79" customFormat="1" ht="15" customHeight="1" x14ac:dyDescent="0.25"/>
    <row r="210" s="79" customFormat="1" ht="15" customHeight="1" x14ac:dyDescent="0.25"/>
    <row r="211" s="79" customFormat="1" ht="15" customHeight="1" x14ac:dyDescent="0.25"/>
    <row r="212" s="79" customFormat="1" ht="15" customHeight="1" x14ac:dyDescent="0.25"/>
    <row r="213" s="79" customFormat="1" ht="15" customHeight="1" x14ac:dyDescent="0.25"/>
    <row r="214" s="79" customFormat="1" ht="15" customHeight="1" x14ac:dyDescent="0.25"/>
    <row r="215" s="79" customFormat="1" ht="15" customHeight="1" x14ac:dyDescent="0.25"/>
    <row r="216" s="79" customFormat="1" ht="15" customHeight="1" x14ac:dyDescent="0.25"/>
    <row r="217" s="79" customFormat="1" ht="15" customHeight="1" x14ac:dyDescent="0.25"/>
    <row r="218" s="79" customFormat="1" ht="15" customHeight="1" x14ac:dyDescent="0.25"/>
    <row r="219" s="79" customFormat="1" ht="15" customHeight="1" x14ac:dyDescent="0.25"/>
    <row r="220" s="79" customFormat="1" ht="15" customHeight="1" x14ac:dyDescent="0.25"/>
    <row r="221" s="79" customFormat="1" ht="15" customHeight="1" x14ac:dyDescent="0.25"/>
    <row r="222" s="79" customFormat="1" ht="15" customHeight="1" x14ac:dyDescent="0.25"/>
    <row r="223" s="79" customFormat="1" ht="15" customHeight="1" x14ac:dyDescent="0.25"/>
    <row r="224" s="79" customFormat="1" ht="15" customHeight="1" x14ac:dyDescent="0.25"/>
    <row r="225" s="79" customFormat="1" ht="15" customHeight="1" x14ac:dyDescent="0.25"/>
    <row r="226" s="79" customFormat="1" ht="15" customHeight="1" x14ac:dyDescent="0.25"/>
    <row r="227" s="79" customFormat="1" ht="15" customHeight="1" x14ac:dyDescent="0.25"/>
    <row r="228" s="79" customFormat="1" ht="15" customHeight="1" x14ac:dyDescent="0.25"/>
    <row r="229" s="79" customFormat="1" ht="15" customHeight="1" x14ac:dyDescent="0.25"/>
    <row r="230" s="79" customFormat="1" ht="15" customHeight="1" x14ac:dyDescent="0.25"/>
    <row r="231" s="79" customFormat="1" ht="15" customHeight="1" x14ac:dyDescent="0.25"/>
    <row r="232" s="79" customFormat="1" ht="15" customHeight="1" x14ac:dyDescent="0.25"/>
    <row r="233" s="79" customFormat="1" ht="15" customHeight="1" x14ac:dyDescent="0.25"/>
    <row r="234" s="79" customFormat="1" ht="15" customHeight="1" x14ac:dyDescent="0.25"/>
    <row r="235" s="79" customFormat="1" ht="15" customHeight="1" x14ac:dyDescent="0.25"/>
    <row r="236" s="79" customFormat="1" ht="15" customHeight="1" x14ac:dyDescent="0.25"/>
    <row r="237" s="79" customFormat="1" ht="15" customHeight="1" x14ac:dyDescent="0.25"/>
    <row r="238" s="79" customFormat="1" ht="15" customHeight="1" x14ac:dyDescent="0.25"/>
    <row r="239" s="79" customFormat="1" ht="15" customHeight="1" x14ac:dyDescent="0.25"/>
    <row r="240" s="79" customFormat="1" ht="15" customHeight="1" x14ac:dyDescent="0.25"/>
    <row r="241" s="79" customFormat="1" ht="15" customHeight="1" x14ac:dyDescent="0.25"/>
    <row r="242" s="79" customFormat="1" ht="15" customHeight="1" x14ac:dyDescent="0.25"/>
    <row r="243" s="79" customFormat="1" ht="15" customHeight="1" x14ac:dyDescent="0.25"/>
    <row r="244" s="79" customFormat="1" ht="15" customHeight="1" x14ac:dyDescent="0.25"/>
    <row r="245" s="79" customFormat="1" ht="15" customHeight="1" x14ac:dyDescent="0.25"/>
    <row r="246" s="79" customFormat="1" ht="15" customHeight="1" x14ac:dyDescent="0.25"/>
    <row r="247" s="79" customFormat="1" ht="15" customHeight="1" x14ac:dyDescent="0.25"/>
    <row r="248" s="79" customFormat="1" ht="15" customHeight="1" x14ac:dyDescent="0.25"/>
    <row r="249" s="79" customFormat="1" ht="15" customHeight="1" x14ac:dyDescent="0.25"/>
    <row r="250" s="79" customFormat="1" ht="15" customHeight="1" x14ac:dyDescent="0.25"/>
    <row r="251" s="79" customFormat="1" ht="15" customHeight="1" x14ac:dyDescent="0.25"/>
    <row r="252" s="79" customFormat="1" ht="15" customHeight="1" x14ac:dyDescent="0.25"/>
    <row r="253" s="79" customFormat="1" ht="15" customHeight="1" x14ac:dyDescent="0.25"/>
    <row r="254" s="79" customFormat="1" ht="15" customHeight="1" x14ac:dyDescent="0.25"/>
    <row r="255" s="79" customFormat="1" ht="15" customHeight="1" x14ac:dyDescent="0.25"/>
    <row r="256" s="79" customFormat="1" ht="15" customHeight="1" x14ac:dyDescent="0.25"/>
    <row r="257" s="79" customFormat="1" ht="15" customHeight="1" x14ac:dyDescent="0.25"/>
    <row r="258" s="79" customFormat="1" ht="15" customHeight="1" x14ac:dyDescent="0.25"/>
    <row r="259" s="79" customFormat="1" ht="15" customHeight="1" x14ac:dyDescent="0.25"/>
    <row r="260" s="79" customFormat="1" ht="15" customHeight="1" x14ac:dyDescent="0.25"/>
    <row r="261" s="79" customFormat="1" ht="15" customHeight="1" x14ac:dyDescent="0.25"/>
    <row r="262" s="79" customFormat="1" ht="15" customHeight="1" x14ac:dyDescent="0.25"/>
    <row r="263" s="79" customFormat="1" ht="15" customHeight="1" x14ac:dyDescent="0.25"/>
    <row r="264" s="79" customFormat="1" ht="15" customHeight="1" x14ac:dyDescent="0.25"/>
    <row r="265" s="79" customFormat="1" ht="15" customHeight="1" x14ac:dyDescent="0.25"/>
    <row r="266" s="79" customFormat="1" ht="15" customHeight="1" x14ac:dyDescent="0.25"/>
    <row r="267" s="79" customFormat="1" ht="15" customHeight="1" x14ac:dyDescent="0.25"/>
    <row r="268" s="79" customFormat="1" ht="15" customHeight="1" x14ac:dyDescent="0.25"/>
    <row r="269" s="79" customFormat="1" ht="15" customHeight="1" x14ac:dyDescent="0.25"/>
    <row r="270" s="79" customFormat="1" ht="15" customHeight="1" x14ac:dyDescent="0.25"/>
    <row r="271" s="79" customFormat="1" ht="15" customHeight="1" x14ac:dyDescent="0.25"/>
    <row r="272" s="79" customFormat="1" ht="15" customHeight="1" x14ac:dyDescent="0.25"/>
    <row r="273" s="79" customFormat="1" ht="15" customHeight="1" x14ac:dyDescent="0.25"/>
    <row r="274" s="79" customFormat="1" ht="15" customHeight="1" x14ac:dyDescent="0.25"/>
    <row r="275" s="79" customFormat="1" ht="15" customHeight="1" x14ac:dyDescent="0.25"/>
    <row r="276" s="79" customFormat="1" ht="15" customHeight="1" x14ac:dyDescent="0.25"/>
    <row r="277" s="79" customFormat="1" ht="15" customHeight="1" x14ac:dyDescent="0.25"/>
    <row r="278" s="79" customFormat="1" ht="15" customHeight="1" x14ac:dyDescent="0.25"/>
    <row r="279" s="79" customFormat="1" ht="15" customHeight="1" x14ac:dyDescent="0.25"/>
    <row r="280" s="79" customFormat="1" ht="15" customHeight="1" x14ac:dyDescent="0.25"/>
    <row r="281" s="79" customFormat="1" ht="15" customHeight="1" x14ac:dyDescent="0.25"/>
    <row r="282" s="79" customFormat="1" ht="15" customHeight="1" x14ac:dyDescent="0.25"/>
    <row r="283" s="79" customFormat="1" ht="15" customHeight="1" x14ac:dyDescent="0.25"/>
    <row r="284" s="79" customFormat="1" ht="15" customHeight="1" x14ac:dyDescent="0.25"/>
    <row r="285" s="79" customFormat="1" ht="15" customHeight="1" x14ac:dyDescent="0.25"/>
    <row r="286" s="79" customFormat="1" ht="15" customHeight="1" x14ac:dyDescent="0.25"/>
    <row r="287" s="79" customFormat="1" ht="15" customHeight="1" x14ac:dyDescent="0.25"/>
    <row r="288" s="79" customFormat="1" ht="15" customHeight="1" x14ac:dyDescent="0.25"/>
    <row r="289" s="79" customFormat="1" ht="15" customHeight="1" x14ac:dyDescent="0.25"/>
    <row r="290" s="79" customFormat="1" ht="15" customHeight="1" x14ac:dyDescent="0.25"/>
    <row r="291" s="79" customFormat="1" ht="15" customHeight="1" x14ac:dyDescent="0.25"/>
    <row r="292" s="79" customFormat="1" ht="15" customHeight="1" x14ac:dyDescent="0.25"/>
    <row r="293" s="79" customFormat="1" ht="15" customHeight="1" x14ac:dyDescent="0.25"/>
    <row r="294" s="79" customFormat="1" ht="15" customHeight="1" x14ac:dyDescent="0.25"/>
    <row r="295" s="79" customFormat="1" ht="15" customHeight="1" x14ac:dyDescent="0.25"/>
    <row r="296" s="79" customFormat="1" ht="15" customHeight="1" x14ac:dyDescent="0.25"/>
    <row r="297" s="79" customFormat="1" ht="15" customHeight="1" x14ac:dyDescent="0.25"/>
    <row r="298" s="79" customFormat="1" ht="15" customHeight="1" x14ac:dyDescent="0.25"/>
    <row r="299" s="79" customFormat="1" ht="15" customHeight="1" x14ac:dyDescent="0.25"/>
    <row r="300" s="79" customFormat="1" ht="15" customHeight="1" x14ac:dyDescent="0.25"/>
    <row r="301" s="79" customFormat="1" ht="15" customHeight="1" x14ac:dyDescent="0.25"/>
    <row r="302" s="79" customFormat="1" ht="15" customHeight="1" x14ac:dyDescent="0.25"/>
    <row r="303" s="79" customFormat="1" ht="15" customHeight="1" x14ac:dyDescent="0.25"/>
    <row r="304" s="79" customFormat="1" ht="15" customHeight="1" x14ac:dyDescent="0.25"/>
    <row r="305" s="79" customFormat="1" ht="15" customHeight="1" x14ac:dyDescent="0.25"/>
    <row r="306" s="79" customFormat="1" ht="15" customHeight="1" x14ac:dyDescent="0.25"/>
    <row r="307" s="79" customFormat="1" ht="15" customHeight="1" x14ac:dyDescent="0.25"/>
    <row r="308" s="79" customFormat="1" ht="15" customHeight="1" x14ac:dyDescent="0.25"/>
    <row r="309" s="79" customFormat="1" ht="15" customHeight="1" x14ac:dyDescent="0.25"/>
    <row r="310" s="79" customFormat="1" ht="15" customHeight="1" x14ac:dyDescent="0.25"/>
    <row r="311" s="79" customFormat="1" ht="15" customHeight="1" x14ac:dyDescent="0.25"/>
    <row r="312" s="79" customFormat="1" ht="15" customHeight="1" x14ac:dyDescent="0.25"/>
    <row r="313" s="79" customFormat="1" ht="15" customHeight="1" x14ac:dyDescent="0.25"/>
    <row r="314" s="79" customFormat="1" ht="15" customHeight="1" x14ac:dyDescent="0.25"/>
    <row r="315" s="79" customFormat="1" ht="15" customHeight="1" x14ac:dyDescent="0.25"/>
    <row r="316" s="79" customFormat="1" ht="15" customHeight="1" x14ac:dyDescent="0.25"/>
    <row r="317" s="79" customFormat="1" ht="15" customHeight="1" x14ac:dyDescent="0.25"/>
    <row r="318" s="79" customFormat="1" ht="15" customHeight="1" x14ac:dyDescent="0.25"/>
    <row r="319" s="79" customFormat="1" ht="15" customHeight="1" x14ac:dyDescent="0.25"/>
    <row r="320" s="79" customFormat="1" ht="15" customHeight="1" x14ac:dyDescent="0.25"/>
    <row r="321" s="79" customFormat="1" ht="15" customHeight="1" x14ac:dyDescent="0.25"/>
    <row r="322" s="79" customFormat="1" ht="15" customHeight="1" x14ac:dyDescent="0.25"/>
    <row r="323" s="79" customFormat="1" ht="15" customHeight="1" x14ac:dyDescent="0.25"/>
    <row r="324" s="79" customFormat="1" ht="15" customHeight="1" x14ac:dyDescent="0.25"/>
    <row r="325" s="79" customFormat="1" ht="15" customHeight="1" x14ac:dyDescent="0.25"/>
    <row r="326" s="79" customFormat="1" ht="15" customHeight="1" x14ac:dyDescent="0.25"/>
    <row r="327" s="79" customFormat="1" ht="15" customHeight="1" x14ac:dyDescent="0.25"/>
    <row r="328" s="79" customFormat="1" ht="15" customHeight="1" x14ac:dyDescent="0.25"/>
    <row r="329" s="79" customFormat="1" ht="15" customHeight="1" x14ac:dyDescent="0.25"/>
    <row r="330" s="79" customFormat="1" ht="15" customHeight="1" x14ac:dyDescent="0.25"/>
    <row r="331" s="79" customFormat="1" ht="15" customHeight="1" x14ac:dyDescent="0.25"/>
    <row r="332" s="79" customFormat="1" ht="15" customHeight="1" x14ac:dyDescent="0.25"/>
    <row r="333" s="79" customFormat="1" ht="15" customHeight="1" x14ac:dyDescent="0.25"/>
    <row r="334" s="79" customFormat="1" ht="15" customHeight="1" x14ac:dyDescent="0.25"/>
    <row r="335" s="79" customFormat="1" ht="15" customHeight="1" x14ac:dyDescent="0.25"/>
    <row r="336" s="79" customFormat="1" ht="15" customHeight="1" x14ac:dyDescent="0.25"/>
    <row r="337" s="79" customFormat="1" ht="15" customHeight="1" x14ac:dyDescent="0.25"/>
    <row r="338" s="79" customFormat="1" ht="15" customHeight="1" x14ac:dyDescent="0.25"/>
    <row r="339" s="79" customFormat="1" ht="15" customHeight="1" x14ac:dyDescent="0.25"/>
    <row r="340" s="79" customFormat="1" ht="15" customHeight="1" x14ac:dyDescent="0.25"/>
    <row r="341" s="79" customFormat="1" ht="15" customHeight="1" x14ac:dyDescent="0.25"/>
    <row r="342" s="79" customFormat="1" ht="15" customHeight="1" x14ac:dyDescent="0.25"/>
    <row r="343" s="79" customFormat="1" ht="15" customHeight="1" x14ac:dyDescent="0.25"/>
    <row r="344" s="79" customFormat="1" ht="15" customHeight="1" x14ac:dyDescent="0.25"/>
    <row r="345" s="79" customFormat="1" ht="15" customHeight="1" x14ac:dyDescent="0.25"/>
    <row r="346" s="79" customFormat="1" ht="15" customHeight="1" x14ac:dyDescent="0.25"/>
    <row r="347" s="79" customFormat="1" ht="15" customHeight="1" x14ac:dyDescent="0.25"/>
    <row r="348" s="79" customFormat="1" ht="15" customHeight="1" x14ac:dyDescent="0.25"/>
    <row r="349" s="79" customFormat="1" ht="15" customHeight="1" x14ac:dyDescent="0.25"/>
    <row r="350" s="79" customFormat="1" ht="15" customHeight="1" x14ac:dyDescent="0.25"/>
    <row r="351" s="79" customFormat="1" ht="15" customHeight="1" x14ac:dyDescent="0.25"/>
    <row r="352" s="79" customFormat="1" ht="15" customHeight="1" x14ac:dyDescent="0.25"/>
    <row r="353" s="79" customFormat="1" ht="15" customHeight="1" x14ac:dyDescent="0.25"/>
    <row r="354" s="79" customFormat="1" ht="15" customHeight="1" x14ac:dyDescent="0.25"/>
    <row r="355" s="79" customFormat="1" ht="15" customHeight="1" x14ac:dyDescent="0.25"/>
    <row r="356" s="79" customFormat="1" ht="15" customHeight="1" x14ac:dyDescent="0.25"/>
    <row r="357" s="79" customFormat="1" ht="15" customHeight="1" x14ac:dyDescent="0.25"/>
    <row r="358" s="79" customFormat="1" ht="15" customHeight="1" x14ac:dyDescent="0.25"/>
    <row r="359" s="79" customFormat="1" ht="15" customHeight="1" x14ac:dyDescent="0.25"/>
    <row r="360" s="79" customFormat="1" ht="15" customHeight="1" x14ac:dyDescent="0.25"/>
    <row r="361" s="79" customFormat="1" ht="15" customHeight="1" x14ac:dyDescent="0.25"/>
    <row r="362" s="79" customFormat="1" ht="15" customHeight="1" x14ac:dyDescent="0.25"/>
    <row r="363" s="79" customFormat="1" ht="15" customHeight="1" x14ac:dyDescent="0.25"/>
    <row r="364" s="79" customFormat="1" ht="15" customHeight="1" x14ac:dyDescent="0.25"/>
    <row r="365" s="79" customFormat="1" ht="15" customHeight="1" x14ac:dyDescent="0.25"/>
    <row r="366" s="79" customFormat="1" ht="15" customHeight="1" x14ac:dyDescent="0.25"/>
    <row r="367" s="79" customFormat="1" ht="15" customHeight="1" x14ac:dyDescent="0.25"/>
    <row r="368" s="79" customFormat="1" ht="15" customHeight="1" x14ac:dyDescent="0.25"/>
    <row r="369" s="79" customFormat="1" ht="15" customHeight="1" x14ac:dyDescent="0.25"/>
    <row r="370" s="79" customFormat="1" ht="15" customHeight="1" x14ac:dyDescent="0.25"/>
    <row r="371" s="79" customFormat="1" ht="15" customHeight="1" x14ac:dyDescent="0.25"/>
    <row r="372" s="79" customFormat="1" ht="15" customHeight="1" x14ac:dyDescent="0.25"/>
    <row r="373" s="79" customFormat="1" ht="15" customHeight="1" x14ac:dyDescent="0.25"/>
    <row r="374" s="79" customFormat="1" ht="15" customHeight="1" x14ac:dyDescent="0.25"/>
    <row r="375" s="79" customFormat="1" ht="15" customHeight="1" x14ac:dyDescent="0.25"/>
    <row r="376" s="79" customFormat="1" ht="15" customHeight="1" x14ac:dyDescent="0.25"/>
    <row r="377" s="79" customFormat="1" ht="15" customHeight="1" x14ac:dyDescent="0.25"/>
    <row r="378" s="79" customFormat="1" ht="15" customHeight="1" x14ac:dyDescent="0.25"/>
    <row r="379" s="79" customFormat="1" ht="15" customHeight="1" x14ac:dyDescent="0.25"/>
    <row r="380" s="79" customFormat="1" ht="15" customHeight="1" x14ac:dyDescent="0.25"/>
    <row r="381" s="79" customFormat="1" ht="15" customHeight="1" x14ac:dyDescent="0.25"/>
    <row r="382" s="79" customFormat="1" ht="15" customHeight="1" x14ac:dyDescent="0.25"/>
    <row r="383" s="79" customFormat="1" ht="15" customHeight="1" x14ac:dyDescent="0.25"/>
    <row r="384" s="79" customFormat="1" ht="15" customHeight="1" x14ac:dyDescent="0.25"/>
    <row r="385" s="79" customFormat="1" ht="15" customHeight="1" x14ac:dyDescent="0.25"/>
    <row r="386" s="79" customFormat="1" ht="15" customHeight="1" x14ac:dyDescent="0.25"/>
    <row r="387" s="79" customFormat="1" ht="15" customHeight="1" x14ac:dyDescent="0.25"/>
    <row r="388" s="79" customFormat="1" ht="15" customHeight="1" x14ac:dyDescent="0.25"/>
    <row r="389" s="79" customFormat="1" ht="15" customHeight="1" x14ac:dyDescent="0.25"/>
    <row r="390" s="79" customFormat="1" ht="15" customHeight="1" x14ac:dyDescent="0.25"/>
    <row r="391" s="79" customFormat="1" ht="15" customHeight="1" x14ac:dyDescent="0.25"/>
    <row r="392" s="79" customFormat="1" ht="15" customHeight="1" x14ac:dyDescent="0.25"/>
    <row r="393" s="79" customFormat="1" ht="15" customHeight="1" x14ac:dyDescent="0.25"/>
    <row r="394" s="79" customFormat="1" ht="15" customHeight="1" x14ac:dyDescent="0.25"/>
    <row r="395" s="79" customFormat="1" ht="15" customHeight="1" x14ac:dyDescent="0.25"/>
    <row r="396" s="79" customFormat="1" ht="15" customHeight="1" x14ac:dyDescent="0.25"/>
    <row r="397" s="79" customFormat="1" ht="15" customHeight="1" x14ac:dyDescent="0.25"/>
    <row r="398" s="79" customFormat="1" ht="15" customHeight="1" x14ac:dyDescent="0.25"/>
    <row r="399" s="79" customFormat="1" ht="15" customHeight="1" x14ac:dyDescent="0.25"/>
    <row r="400" s="79" customFormat="1" ht="15" customHeight="1" x14ac:dyDescent="0.25"/>
    <row r="401" s="79" customFormat="1" ht="15" customHeight="1" x14ac:dyDescent="0.25"/>
    <row r="402" s="79" customFormat="1" ht="15" customHeight="1" x14ac:dyDescent="0.25"/>
    <row r="403" s="79" customFormat="1" ht="15" customHeight="1" x14ac:dyDescent="0.25"/>
    <row r="404" s="79" customFormat="1" ht="15" customHeight="1" x14ac:dyDescent="0.25"/>
    <row r="405" s="79" customFormat="1" ht="15" customHeight="1" x14ac:dyDescent="0.25"/>
    <row r="406" s="79" customFormat="1" ht="15" customHeight="1" x14ac:dyDescent="0.25"/>
    <row r="407" s="79" customFormat="1" ht="15" customHeight="1" x14ac:dyDescent="0.25"/>
    <row r="408" s="79" customFormat="1" ht="15" customHeight="1" x14ac:dyDescent="0.25"/>
    <row r="409" s="79" customFormat="1" ht="15" customHeight="1" x14ac:dyDescent="0.25"/>
    <row r="410" s="79" customFormat="1" ht="15" customHeight="1" x14ac:dyDescent="0.25"/>
    <row r="411" s="79" customFormat="1" ht="15" customHeight="1" x14ac:dyDescent="0.25"/>
    <row r="412" s="79" customFormat="1" ht="15" customHeight="1" x14ac:dyDescent="0.25"/>
    <row r="413" s="79" customFormat="1" ht="15" customHeight="1" x14ac:dyDescent="0.25"/>
    <row r="414" s="79" customFormat="1" ht="15" customHeight="1" x14ac:dyDescent="0.25"/>
    <row r="415" s="79" customFormat="1" ht="15" customHeight="1" x14ac:dyDescent="0.25"/>
    <row r="416" s="79" customFormat="1" ht="15" customHeight="1" x14ac:dyDescent="0.25"/>
    <row r="417" s="79" customFormat="1" ht="15" customHeight="1" x14ac:dyDescent="0.25"/>
    <row r="418" s="79" customFormat="1" ht="15" customHeight="1" x14ac:dyDescent="0.25"/>
    <row r="419" s="79" customFormat="1" ht="15" customHeight="1" x14ac:dyDescent="0.25"/>
    <row r="420" s="79" customFormat="1" ht="15" customHeight="1" x14ac:dyDescent="0.25"/>
    <row r="421" s="79" customFormat="1" ht="15" customHeight="1" x14ac:dyDescent="0.25"/>
    <row r="422" s="79" customFormat="1" ht="15" customHeight="1" x14ac:dyDescent="0.25"/>
    <row r="423" s="79" customFormat="1" ht="15" customHeight="1" x14ac:dyDescent="0.25"/>
    <row r="424" s="79" customFormat="1" ht="15" customHeight="1" x14ac:dyDescent="0.25"/>
    <row r="425" s="79" customFormat="1" ht="15" customHeight="1" x14ac:dyDescent="0.25"/>
    <row r="426" s="79" customFormat="1" ht="15" customHeight="1" x14ac:dyDescent="0.25"/>
    <row r="427" s="79" customFormat="1" ht="15" customHeight="1" x14ac:dyDescent="0.25"/>
    <row r="428" s="79" customFormat="1" ht="15" customHeight="1" x14ac:dyDescent="0.25"/>
    <row r="429" s="79" customFormat="1" ht="15" customHeight="1" x14ac:dyDescent="0.25"/>
    <row r="430" s="79" customFormat="1" ht="15" customHeight="1" x14ac:dyDescent="0.25"/>
    <row r="431" s="79" customFormat="1" ht="15" customHeight="1" x14ac:dyDescent="0.25"/>
    <row r="432" s="79" customFormat="1" ht="15" customHeight="1" x14ac:dyDescent="0.25"/>
    <row r="433" s="79" customFormat="1" ht="15" customHeight="1" x14ac:dyDescent="0.25"/>
    <row r="434" s="79" customFormat="1" ht="15" customHeight="1" x14ac:dyDescent="0.25"/>
    <row r="435" s="79" customFormat="1" ht="15" customHeight="1" x14ac:dyDescent="0.25"/>
    <row r="436" s="79" customFormat="1" ht="15" customHeight="1" x14ac:dyDescent="0.25"/>
    <row r="437" s="79" customFormat="1" ht="15" customHeight="1" x14ac:dyDescent="0.25"/>
    <row r="438" s="79" customFormat="1" ht="15" customHeight="1" x14ac:dyDescent="0.25"/>
    <row r="439" s="79" customFormat="1" ht="15" customHeight="1" x14ac:dyDescent="0.25"/>
    <row r="440" s="79" customFormat="1" ht="15" customHeight="1" x14ac:dyDescent="0.25"/>
    <row r="441" s="79" customFormat="1" ht="15" customHeight="1" x14ac:dyDescent="0.25"/>
    <row r="442" s="79" customFormat="1" ht="15" customHeight="1" x14ac:dyDescent="0.25"/>
    <row r="443" s="79" customFormat="1" ht="15" customHeight="1" x14ac:dyDescent="0.25"/>
    <row r="444" s="79" customFormat="1" ht="15" customHeight="1" x14ac:dyDescent="0.25"/>
    <row r="445" s="79" customFormat="1" ht="15" customHeight="1" x14ac:dyDescent="0.25"/>
    <row r="446" s="79" customFormat="1" ht="15" customHeight="1" x14ac:dyDescent="0.25"/>
    <row r="447" s="79" customFormat="1" ht="15" customHeight="1" x14ac:dyDescent="0.25"/>
    <row r="448" s="79" customFormat="1" ht="15" customHeight="1" x14ac:dyDescent="0.25"/>
    <row r="449" s="79" customFormat="1" ht="15" customHeight="1" x14ac:dyDescent="0.25"/>
    <row r="450" s="79" customFormat="1" ht="15" customHeight="1" x14ac:dyDescent="0.25"/>
    <row r="451" s="79" customFormat="1" ht="15" customHeight="1" x14ac:dyDescent="0.25"/>
    <row r="452" s="79" customFormat="1" ht="15" customHeight="1" x14ac:dyDescent="0.25"/>
    <row r="453" s="79" customFormat="1" ht="15" customHeight="1" x14ac:dyDescent="0.25"/>
    <row r="454" s="79" customFormat="1" ht="15" customHeight="1" x14ac:dyDescent="0.25"/>
    <row r="455" s="79" customFormat="1" ht="15" customHeight="1" x14ac:dyDescent="0.25"/>
    <row r="456" s="79" customFormat="1" ht="15" customHeight="1" x14ac:dyDescent="0.25"/>
    <row r="457" s="79" customFormat="1" ht="15" customHeight="1" x14ac:dyDescent="0.25"/>
    <row r="458" s="79" customFormat="1" ht="15" customHeight="1" x14ac:dyDescent="0.25"/>
    <row r="459" s="79" customFormat="1" ht="15" customHeight="1" x14ac:dyDescent="0.25"/>
    <row r="460" s="79" customFormat="1" ht="15" customHeight="1" x14ac:dyDescent="0.25"/>
    <row r="461" s="79" customFormat="1" ht="15" customHeight="1" x14ac:dyDescent="0.25"/>
    <row r="462" s="79" customFormat="1" ht="15" customHeight="1" x14ac:dyDescent="0.25"/>
    <row r="463" s="79" customFormat="1" ht="15" customHeight="1" x14ac:dyDescent="0.25"/>
    <row r="464" s="79" customFormat="1" ht="15" customHeight="1" x14ac:dyDescent="0.25"/>
    <row r="465" s="79" customFormat="1" ht="15" customHeight="1" x14ac:dyDescent="0.25"/>
    <row r="466" s="79" customFormat="1" ht="15" customHeight="1" x14ac:dyDescent="0.25"/>
    <row r="467" s="79" customFormat="1" ht="15" customHeight="1" x14ac:dyDescent="0.25"/>
    <row r="468" s="79" customFormat="1" ht="15" customHeight="1" x14ac:dyDescent="0.25"/>
    <row r="469" s="79" customFormat="1" ht="15" customHeight="1" x14ac:dyDescent="0.25"/>
    <row r="470" s="79" customFormat="1" ht="15" customHeight="1" x14ac:dyDescent="0.25"/>
    <row r="471" s="79" customFormat="1" ht="15" customHeight="1" x14ac:dyDescent="0.25"/>
    <row r="472" s="79" customFormat="1" ht="15" customHeight="1" x14ac:dyDescent="0.25"/>
    <row r="473" s="79" customFormat="1" ht="15" customHeight="1" x14ac:dyDescent="0.25"/>
    <row r="474" s="79" customFormat="1" ht="15" customHeight="1" x14ac:dyDescent="0.25"/>
    <row r="475" s="79" customFormat="1" ht="15" customHeight="1" x14ac:dyDescent="0.25"/>
    <row r="476" s="79" customFormat="1" ht="15" customHeight="1" x14ac:dyDescent="0.25"/>
    <row r="477" s="79" customFormat="1" ht="15" customHeight="1" x14ac:dyDescent="0.25"/>
    <row r="478" s="79" customFormat="1" ht="15" customHeight="1" x14ac:dyDescent="0.25"/>
    <row r="479" s="79" customFormat="1" ht="15" customHeight="1" x14ac:dyDescent="0.25"/>
    <row r="480" s="79" customFormat="1" ht="15" customHeight="1" x14ac:dyDescent="0.25"/>
    <row r="481" s="79" customFormat="1" ht="15" customHeight="1" x14ac:dyDescent="0.25"/>
    <row r="482" s="79" customFormat="1" ht="15" customHeight="1" x14ac:dyDescent="0.25"/>
    <row r="483" s="79" customFormat="1" ht="15" customHeight="1" x14ac:dyDescent="0.25"/>
    <row r="484" s="79" customFormat="1" ht="15" customHeight="1" x14ac:dyDescent="0.25"/>
    <row r="485" s="79" customFormat="1" ht="15" customHeight="1" x14ac:dyDescent="0.25"/>
    <row r="486" s="79" customFormat="1" ht="15" customHeight="1" x14ac:dyDescent="0.25"/>
    <row r="487" s="79" customFormat="1" ht="15" customHeight="1" x14ac:dyDescent="0.25"/>
    <row r="488" s="79" customFormat="1" ht="15" customHeight="1" x14ac:dyDescent="0.25"/>
    <row r="489" s="79" customFormat="1" ht="15" customHeight="1" x14ac:dyDescent="0.25"/>
    <row r="490" s="79" customFormat="1" ht="15" customHeight="1" x14ac:dyDescent="0.25"/>
    <row r="491" s="79" customFormat="1" ht="15" customHeight="1" x14ac:dyDescent="0.25"/>
    <row r="492" s="79" customFormat="1" ht="15" customHeight="1" x14ac:dyDescent="0.25"/>
    <row r="493" s="79" customFormat="1" ht="15" customHeight="1" x14ac:dyDescent="0.25"/>
    <row r="494" s="79" customFormat="1" ht="15" customHeight="1" x14ac:dyDescent="0.25"/>
    <row r="495" s="79" customFormat="1" ht="15" customHeight="1" x14ac:dyDescent="0.25"/>
    <row r="496" s="79" customFormat="1" ht="15" customHeight="1" x14ac:dyDescent="0.25"/>
    <row r="497" s="79" customFormat="1" ht="15" customHeight="1" x14ac:dyDescent="0.25"/>
    <row r="498" s="79" customFormat="1" ht="15" customHeight="1" x14ac:dyDescent="0.25"/>
    <row r="499" s="79" customFormat="1" ht="15" customHeight="1" x14ac:dyDescent="0.25"/>
    <row r="500" s="79" customFormat="1" ht="15" customHeight="1" x14ac:dyDescent="0.25"/>
    <row r="501" s="79" customFormat="1" ht="15" customHeight="1" x14ac:dyDescent="0.25"/>
    <row r="502" s="79" customFormat="1" ht="15" customHeight="1" x14ac:dyDescent="0.25"/>
    <row r="503" s="79" customFormat="1" ht="15" customHeight="1" x14ac:dyDescent="0.25"/>
    <row r="504" s="79" customFormat="1" ht="15" customHeight="1" x14ac:dyDescent="0.25"/>
    <row r="505" s="79" customFormat="1" ht="15" customHeight="1" x14ac:dyDescent="0.25"/>
    <row r="506" s="79" customFormat="1" ht="15" customHeight="1" x14ac:dyDescent="0.25"/>
    <row r="507" s="79" customFormat="1" ht="15" customHeight="1" x14ac:dyDescent="0.25"/>
    <row r="508" s="79" customFormat="1" ht="15" customHeight="1" x14ac:dyDescent="0.25"/>
    <row r="509" s="79" customFormat="1" ht="15" customHeight="1" x14ac:dyDescent="0.25"/>
    <row r="510" s="79" customFormat="1" ht="15" customHeight="1" x14ac:dyDescent="0.25"/>
    <row r="511" s="79" customFormat="1" ht="15" customHeight="1" x14ac:dyDescent="0.25"/>
    <row r="512" s="79" customFormat="1" ht="15" customHeight="1" x14ac:dyDescent="0.25"/>
    <row r="513" s="79" customFormat="1" ht="15" customHeight="1" x14ac:dyDescent="0.25"/>
    <row r="514" s="79" customFormat="1" ht="15" customHeight="1" x14ac:dyDescent="0.25"/>
    <row r="515" s="79" customFormat="1" ht="15" customHeight="1" x14ac:dyDescent="0.25"/>
    <row r="516" s="79" customFormat="1" ht="15" customHeight="1" x14ac:dyDescent="0.25"/>
    <row r="517" s="79" customFormat="1" ht="15" customHeight="1" x14ac:dyDescent="0.25"/>
    <row r="518" s="79" customFormat="1" ht="15" customHeight="1" x14ac:dyDescent="0.25"/>
    <row r="519" s="79" customFormat="1" ht="15" customHeight="1" x14ac:dyDescent="0.25"/>
    <row r="520" s="79" customFormat="1" ht="15" customHeight="1" x14ac:dyDescent="0.25"/>
    <row r="521" s="79" customFormat="1" ht="15" customHeight="1" x14ac:dyDescent="0.25"/>
    <row r="522" s="79" customFormat="1" ht="15" customHeight="1" x14ac:dyDescent="0.25"/>
    <row r="523" s="79" customFormat="1" ht="15" customHeight="1" x14ac:dyDescent="0.25"/>
    <row r="524" s="79" customFormat="1" ht="15" customHeight="1" x14ac:dyDescent="0.25"/>
    <row r="525" s="79" customFormat="1" ht="15" customHeight="1" x14ac:dyDescent="0.25"/>
    <row r="526" s="79" customFormat="1" ht="15" customHeight="1" x14ac:dyDescent="0.25"/>
    <row r="527" s="79" customFormat="1" ht="15" customHeight="1" x14ac:dyDescent="0.25"/>
    <row r="528" s="79" customFormat="1" ht="15" customHeight="1" x14ac:dyDescent="0.25"/>
    <row r="529" s="79" customFormat="1" ht="15" customHeight="1" x14ac:dyDescent="0.25"/>
    <row r="530" s="79" customFormat="1" ht="15" customHeight="1" x14ac:dyDescent="0.25"/>
    <row r="531" s="79" customFormat="1" ht="15" customHeight="1" x14ac:dyDescent="0.25"/>
    <row r="532" s="79" customFormat="1" ht="15" customHeight="1" x14ac:dyDescent="0.25"/>
    <row r="533" s="79" customFormat="1" ht="15" customHeight="1" x14ac:dyDescent="0.25"/>
    <row r="534" s="79" customFormat="1" ht="15" customHeight="1" x14ac:dyDescent="0.25"/>
    <row r="535" s="79" customFormat="1" ht="15" customHeight="1" x14ac:dyDescent="0.25"/>
    <row r="536" s="79" customFormat="1" ht="15" customHeight="1" x14ac:dyDescent="0.25"/>
    <row r="537" s="79" customFormat="1" ht="15" customHeight="1" x14ac:dyDescent="0.25"/>
    <row r="538" s="79" customFormat="1" ht="15" customHeight="1" x14ac:dyDescent="0.25"/>
    <row r="539" s="79" customFormat="1" ht="15" customHeight="1" x14ac:dyDescent="0.25"/>
    <row r="540" s="79" customFormat="1" ht="15" customHeight="1" x14ac:dyDescent="0.25"/>
    <row r="541" s="79" customFormat="1" ht="15" customHeight="1" x14ac:dyDescent="0.25"/>
    <row r="542" s="79" customFormat="1" ht="15" customHeight="1" x14ac:dyDescent="0.25"/>
    <row r="543" s="79" customFormat="1" ht="15" customHeight="1" x14ac:dyDescent="0.25"/>
    <row r="544" s="79" customFormat="1" ht="15" customHeight="1" x14ac:dyDescent="0.25"/>
    <row r="545" s="79" customFormat="1" ht="15" customHeight="1" x14ac:dyDescent="0.25"/>
    <row r="546" s="79" customFormat="1" ht="15" customHeight="1" x14ac:dyDescent="0.25"/>
    <row r="547" s="79" customFormat="1" ht="15" customHeight="1" x14ac:dyDescent="0.25"/>
    <row r="548" s="79" customFormat="1" ht="15" customHeight="1" x14ac:dyDescent="0.25"/>
    <row r="549" s="79" customFormat="1" ht="15" customHeight="1" x14ac:dyDescent="0.25"/>
    <row r="550" s="79" customFormat="1" ht="15" customHeight="1" x14ac:dyDescent="0.25"/>
    <row r="551" s="79" customFormat="1" ht="15" customHeight="1" x14ac:dyDescent="0.25"/>
    <row r="552" s="79" customFormat="1" ht="15" customHeight="1" x14ac:dyDescent="0.25"/>
    <row r="553" s="79" customFormat="1" ht="15" customHeight="1" x14ac:dyDescent="0.25"/>
    <row r="554" s="79" customFormat="1" ht="15" customHeight="1" x14ac:dyDescent="0.25"/>
    <row r="555" s="79" customFormat="1" ht="15" customHeight="1" x14ac:dyDescent="0.25"/>
    <row r="556" s="79" customFormat="1" ht="15" customHeight="1" x14ac:dyDescent="0.25"/>
    <row r="557" s="79" customFormat="1" ht="15" customHeight="1" x14ac:dyDescent="0.25"/>
    <row r="558" s="79" customFormat="1" ht="15" customHeight="1" x14ac:dyDescent="0.25"/>
    <row r="559" s="79" customFormat="1" ht="15" customHeight="1" x14ac:dyDescent="0.25"/>
    <row r="560" s="79" customFormat="1" ht="15" customHeight="1" x14ac:dyDescent="0.25"/>
    <row r="561" s="79" customFormat="1" ht="15" customHeight="1" x14ac:dyDescent="0.25"/>
    <row r="562" s="79" customFormat="1" ht="15" customHeight="1" x14ac:dyDescent="0.25"/>
    <row r="563" s="79" customFormat="1" ht="15" customHeight="1" x14ac:dyDescent="0.25"/>
    <row r="564" s="79" customFormat="1" ht="15" customHeight="1" x14ac:dyDescent="0.25"/>
    <row r="565" s="79" customFormat="1" ht="15" customHeight="1" x14ac:dyDescent="0.25"/>
    <row r="566" s="79" customFormat="1" ht="15" customHeight="1" x14ac:dyDescent="0.25"/>
    <row r="567" s="79" customFormat="1" ht="15" customHeight="1" x14ac:dyDescent="0.25"/>
    <row r="568" s="79" customFormat="1" ht="15" customHeight="1" x14ac:dyDescent="0.25"/>
    <row r="569" s="79" customFormat="1" ht="15" customHeight="1" x14ac:dyDescent="0.25"/>
    <row r="570" s="79" customFormat="1" ht="15" customHeight="1" x14ac:dyDescent="0.25"/>
    <row r="571" s="79" customFormat="1" ht="15" customHeight="1" x14ac:dyDescent="0.25"/>
    <row r="572" s="79" customFormat="1" ht="15" customHeight="1" x14ac:dyDescent="0.25"/>
    <row r="573" s="79" customFormat="1" ht="15" customHeight="1" x14ac:dyDescent="0.25"/>
    <row r="574" s="79" customFormat="1" ht="15" customHeight="1" x14ac:dyDescent="0.25"/>
    <row r="575" s="79" customFormat="1" ht="15" customHeight="1" x14ac:dyDescent="0.25"/>
    <row r="576" s="79" customFormat="1" ht="15" customHeight="1" x14ac:dyDescent="0.25"/>
    <row r="577" s="79" customFormat="1" ht="15" customHeight="1" x14ac:dyDescent="0.25"/>
    <row r="578" s="79" customFormat="1" ht="15" customHeight="1" x14ac:dyDescent="0.25"/>
    <row r="579" s="79" customFormat="1" ht="15" customHeight="1" x14ac:dyDescent="0.25"/>
    <row r="580" s="79" customFormat="1" ht="15" customHeight="1" x14ac:dyDescent="0.25"/>
    <row r="581" s="79" customFormat="1" ht="15" customHeight="1" x14ac:dyDescent="0.25"/>
    <row r="582" s="79" customFormat="1" ht="15" customHeight="1" x14ac:dyDescent="0.25"/>
    <row r="583" s="79" customFormat="1" ht="15" customHeight="1" x14ac:dyDescent="0.25"/>
    <row r="584" s="79" customFormat="1" ht="15" customHeight="1" x14ac:dyDescent="0.25"/>
    <row r="585" s="79" customFormat="1" ht="15" customHeight="1" x14ac:dyDescent="0.25"/>
    <row r="586" s="79" customFormat="1" ht="15" customHeight="1" x14ac:dyDescent="0.25"/>
    <row r="587" s="79" customFormat="1" ht="15" customHeight="1" x14ac:dyDescent="0.25"/>
    <row r="588" s="79" customFormat="1" ht="15" customHeight="1" x14ac:dyDescent="0.25"/>
    <row r="589" s="79" customFormat="1" ht="15" customHeight="1" x14ac:dyDescent="0.25"/>
    <row r="590" s="79" customFormat="1" ht="15" customHeight="1" x14ac:dyDescent="0.25"/>
    <row r="591" s="79" customFormat="1" ht="15" customHeight="1" x14ac:dyDescent="0.25"/>
    <row r="592" s="79" customFormat="1" ht="15" customHeight="1" x14ac:dyDescent="0.25"/>
    <row r="593" s="79" customFormat="1" ht="15" customHeight="1" x14ac:dyDescent="0.25"/>
    <row r="594" s="79" customFormat="1" ht="15" customHeight="1" x14ac:dyDescent="0.25"/>
    <row r="595" s="79" customFormat="1" ht="15" customHeight="1" x14ac:dyDescent="0.25"/>
    <row r="596" s="79" customFormat="1" ht="15" customHeight="1" x14ac:dyDescent="0.25"/>
    <row r="597" s="79" customFormat="1" ht="15" customHeight="1" x14ac:dyDescent="0.25"/>
    <row r="598" s="79" customFormat="1" ht="15" customHeight="1" x14ac:dyDescent="0.25"/>
    <row r="599" s="79" customFormat="1" ht="15" customHeight="1" x14ac:dyDescent="0.25"/>
    <row r="600" s="79" customFormat="1" ht="15" customHeight="1" x14ac:dyDescent="0.25"/>
    <row r="601" s="79" customFormat="1" ht="15" customHeight="1" x14ac:dyDescent="0.25"/>
    <row r="602" s="79" customFormat="1" ht="15" customHeight="1" x14ac:dyDescent="0.25"/>
    <row r="603" s="79" customFormat="1" ht="15" customHeight="1" x14ac:dyDescent="0.25"/>
    <row r="604" s="79" customFormat="1" ht="15" customHeight="1" x14ac:dyDescent="0.25"/>
    <row r="605" s="79" customFormat="1" ht="15" customHeight="1" x14ac:dyDescent="0.25"/>
    <row r="606" s="79" customFormat="1" ht="15" customHeight="1" x14ac:dyDescent="0.25"/>
    <row r="607" s="79" customFormat="1" ht="15" customHeight="1" x14ac:dyDescent="0.25"/>
    <row r="608" s="79" customFormat="1" ht="15" customHeight="1" x14ac:dyDescent="0.25"/>
    <row r="609" s="79" customFormat="1" ht="15" customHeight="1" x14ac:dyDescent="0.25"/>
    <row r="610" s="79" customFormat="1" ht="15" customHeight="1" x14ac:dyDescent="0.25"/>
    <row r="611" s="79" customFormat="1" ht="15" customHeight="1" x14ac:dyDescent="0.25"/>
    <row r="612" s="79" customFormat="1" ht="15" customHeight="1" x14ac:dyDescent="0.25"/>
    <row r="613" s="79" customFormat="1" ht="15" customHeight="1" x14ac:dyDescent="0.25"/>
    <row r="614" s="79" customFormat="1" ht="15" customHeight="1" x14ac:dyDescent="0.25"/>
    <row r="615" s="79" customFormat="1" ht="15" customHeight="1" x14ac:dyDescent="0.25"/>
    <row r="616" s="79" customFormat="1" ht="15" customHeight="1" x14ac:dyDescent="0.25"/>
    <row r="617" s="79" customFormat="1" ht="15" customHeight="1" x14ac:dyDescent="0.25"/>
    <row r="618" s="79" customFormat="1" ht="15" customHeight="1" x14ac:dyDescent="0.25"/>
    <row r="619" s="79" customFormat="1" ht="15" customHeight="1" x14ac:dyDescent="0.25"/>
    <row r="620" s="79" customFormat="1" ht="15" customHeight="1" x14ac:dyDescent="0.25"/>
    <row r="621" s="79" customFormat="1" ht="15" customHeight="1" x14ac:dyDescent="0.25"/>
    <row r="622" s="79" customFormat="1" ht="15" customHeight="1" x14ac:dyDescent="0.25"/>
    <row r="623" s="79" customFormat="1" ht="15" customHeight="1" x14ac:dyDescent="0.25"/>
    <row r="624" s="79" customFormat="1" ht="15" customHeight="1" x14ac:dyDescent="0.25"/>
    <row r="625" s="79" customFormat="1" ht="15" customHeight="1" x14ac:dyDescent="0.25"/>
    <row r="626" s="79" customFormat="1" ht="15" customHeight="1" x14ac:dyDescent="0.25"/>
    <row r="627" s="79" customFormat="1" ht="15" customHeight="1" x14ac:dyDescent="0.25"/>
    <row r="628" s="79" customFormat="1" ht="15" customHeight="1" x14ac:dyDescent="0.25"/>
    <row r="629" s="79" customFormat="1" ht="15" customHeight="1" x14ac:dyDescent="0.25"/>
    <row r="630" s="79" customFormat="1" ht="15" customHeight="1" x14ac:dyDescent="0.25"/>
    <row r="631" s="79" customFormat="1" ht="15" customHeight="1" x14ac:dyDescent="0.25"/>
    <row r="632" s="79" customFormat="1" ht="15" customHeight="1" x14ac:dyDescent="0.25"/>
    <row r="633" s="79" customFormat="1" ht="15" customHeight="1" x14ac:dyDescent="0.25"/>
    <row r="634" s="79" customFormat="1" ht="15" customHeight="1" x14ac:dyDescent="0.25"/>
    <row r="635" s="79" customFormat="1" ht="15" customHeight="1" x14ac:dyDescent="0.25"/>
    <row r="636" s="79" customFormat="1" ht="15" customHeight="1" x14ac:dyDescent="0.25"/>
    <row r="637" s="79" customFormat="1" ht="15" customHeight="1" x14ac:dyDescent="0.25"/>
    <row r="638" s="79" customFormat="1" ht="15" customHeight="1" x14ac:dyDescent="0.25"/>
    <row r="639" s="79" customFormat="1" ht="15" customHeight="1" x14ac:dyDescent="0.25"/>
    <row r="640" s="79" customFormat="1" ht="15" customHeight="1" x14ac:dyDescent="0.25"/>
    <row r="641" s="79" customFormat="1" ht="15" customHeight="1" x14ac:dyDescent="0.25"/>
    <row r="642" s="79" customFormat="1" ht="15" customHeight="1" x14ac:dyDescent="0.25"/>
    <row r="643" s="79" customFormat="1" ht="15" customHeight="1" x14ac:dyDescent="0.25"/>
    <row r="644" s="79" customFormat="1" ht="15" customHeight="1" x14ac:dyDescent="0.25"/>
    <row r="645" s="79" customFormat="1" ht="15" customHeight="1" x14ac:dyDescent="0.25"/>
    <row r="646" s="79" customFormat="1" ht="15" customHeight="1" x14ac:dyDescent="0.25"/>
    <row r="647" s="79" customFormat="1" ht="15" customHeight="1" x14ac:dyDescent="0.25"/>
    <row r="648" s="79" customFormat="1" ht="15" customHeight="1" x14ac:dyDescent="0.25"/>
    <row r="649" s="79" customFormat="1" ht="15" customHeight="1" x14ac:dyDescent="0.25"/>
    <row r="650" s="79" customFormat="1" ht="15" customHeight="1" x14ac:dyDescent="0.25"/>
    <row r="651" s="79" customFormat="1" ht="15" customHeight="1" x14ac:dyDescent="0.25"/>
    <row r="652" s="79" customFormat="1" ht="15" customHeight="1" x14ac:dyDescent="0.25"/>
    <row r="653" s="79" customFormat="1" ht="15" customHeight="1" x14ac:dyDescent="0.25"/>
    <row r="654" s="79" customFormat="1" ht="15" customHeight="1" x14ac:dyDescent="0.25"/>
    <row r="655" s="79" customFormat="1" ht="15" customHeight="1" x14ac:dyDescent="0.25"/>
    <row r="656" s="79" customFormat="1" ht="15" customHeight="1" x14ac:dyDescent="0.25"/>
    <row r="657" s="79" customFormat="1" ht="15" customHeight="1" x14ac:dyDescent="0.25"/>
    <row r="658" s="79" customFormat="1" ht="15" customHeight="1" x14ac:dyDescent="0.25"/>
    <row r="659" s="79" customFormat="1" ht="15" customHeight="1" x14ac:dyDescent="0.25"/>
    <row r="660" s="79" customFormat="1" ht="15" customHeight="1" x14ac:dyDescent="0.25"/>
    <row r="661" s="79" customFormat="1" ht="15" customHeight="1" x14ac:dyDescent="0.25"/>
    <row r="662" s="79" customFormat="1" ht="15" customHeight="1" x14ac:dyDescent="0.25"/>
    <row r="663" s="79" customFormat="1" ht="15" customHeight="1" x14ac:dyDescent="0.25"/>
    <row r="664" s="79" customFormat="1" ht="15" customHeight="1" x14ac:dyDescent="0.25"/>
    <row r="665" s="79" customFormat="1" ht="15" customHeight="1" x14ac:dyDescent="0.25"/>
    <row r="666" s="79" customFormat="1" ht="15" customHeight="1" x14ac:dyDescent="0.25"/>
    <row r="667" s="79" customFormat="1" ht="15" customHeight="1" x14ac:dyDescent="0.25"/>
    <row r="668" s="79" customFormat="1" ht="15" customHeight="1" x14ac:dyDescent="0.25"/>
    <row r="669" s="79" customFormat="1" ht="15" customHeight="1" x14ac:dyDescent="0.25"/>
    <row r="670" s="79" customFormat="1" ht="15" customHeight="1" x14ac:dyDescent="0.25"/>
    <row r="671" s="79" customFormat="1" ht="15" customHeight="1" x14ac:dyDescent="0.25"/>
    <row r="672" s="79" customFormat="1" ht="15" customHeight="1" x14ac:dyDescent="0.25"/>
    <row r="673" s="79" customFormat="1" ht="15" customHeight="1" x14ac:dyDescent="0.25"/>
    <row r="674" s="79" customFormat="1" ht="15" customHeight="1" x14ac:dyDescent="0.25"/>
    <row r="675" s="79" customFormat="1" ht="15" customHeight="1" x14ac:dyDescent="0.25"/>
    <row r="676" s="79" customFormat="1" ht="15" customHeight="1" x14ac:dyDescent="0.25"/>
    <row r="677" s="79" customFormat="1" ht="15" customHeight="1" x14ac:dyDescent="0.25"/>
    <row r="678" s="79" customFormat="1" ht="15" customHeight="1" x14ac:dyDescent="0.25"/>
    <row r="679" s="79" customFormat="1" ht="15" customHeight="1" x14ac:dyDescent="0.25"/>
    <row r="680" s="79" customFormat="1" ht="15" customHeight="1" x14ac:dyDescent="0.25"/>
    <row r="681" s="79" customFormat="1" ht="15" customHeight="1" x14ac:dyDescent="0.25"/>
    <row r="682" s="79" customFormat="1" ht="15" customHeight="1" x14ac:dyDescent="0.25"/>
    <row r="683" s="79" customFormat="1" ht="15" customHeight="1" x14ac:dyDescent="0.25"/>
    <row r="684" s="79" customFormat="1" ht="15" customHeight="1" x14ac:dyDescent="0.25"/>
    <row r="685" s="79" customFormat="1" ht="15" customHeight="1" x14ac:dyDescent="0.25"/>
    <row r="686" s="79" customFormat="1" ht="15" customHeight="1" x14ac:dyDescent="0.25"/>
    <row r="687" s="79" customFormat="1" ht="15" customHeight="1" x14ac:dyDescent="0.25"/>
    <row r="688" s="79" customFormat="1" ht="15" customHeight="1" x14ac:dyDescent="0.25"/>
    <row r="689" s="79" customFormat="1" ht="15" customHeight="1" x14ac:dyDescent="0.25"/>
    <row r="690" s="79" customFormat="1" ht="15" customHeight="1" x14ac:dyDescent="0.25"/>
    <row r="691" s="79" customFormat="1" ht="15" customHeight="1" x14ac:dyDescent="0.25"/>
    <row r="692" s="79" customFormat="1" ht="15" customHeight="1" x14ac:dyDescent="0.25"/>
    <row r="693" s="79" customFormat="1" ht="15" customHeight="1" x14ac:dyDescent="0.25"/>
    <row r="694" s="79" customFormat="1" ht="15" customHeight="1" x14ac:dyDescent="0.25"/>
    <row r="695" s="79" customFormat="1" ht="15" customHeight="1" x14ac:dyDescent="0.25"/>
    <row r="696" s="79" customFormat="1" ht="15" customHeight="1" x14ac:dyDescent="0.25"/>
    <row r="697" s="79" customFormat="1" ht="15" customHeight="1" x14ac:dyDescent="0.25"/>
    <row r="698" s="79" customFormat="1" ht="15" customHeight="1" x14ac:dyDescent="0.25"/>
    <row r="699" s="79" customFormat="1" ht="15" customHeight="1" x14ac:dyDescent="0.25"/>
    <row r="700" s="79" customFormat="1" ht="15" customHeight="1" x14ac:dyDescent="0.25"/>
    <row r="701" s="79" customFormat="1" ht="15" customHeight="1" x14ac:dyDescent="0.25"/>
    <row r="702" s="79" customFormat="1" ht="15" customHeight="1" x14ac:dyDescent="0.25"/>
    <row r="703" s="79" customFormat="1" ht="15" customHeight="1" x14ac:dyDescent="0.25"/>
    <row r="704" s="79" customFormat="1" ht="15" customHeight="1" x14ac:dyDescent="0.25"/>
    <row r="705" s="79" customFormat="1" ht="15" customHeight="1" x14ac:dyDescent="0.25"/>
    <row r="706" s="79" customFormat="1" ht="15" customHeight="1" x14ac:dyDescent="0.25"/>
    <row r="707" s="79" customFormat="1" ht="15" customHeight="1" x14ac:dyDescent="0.25"/>
    <row r="708" s="79" customFormat="1" ht="15" customHeight="1" x14ac:dyDescent="0.25"/>
    <row r="709" s="79" customFormat="1" ht="15" customHeight="1" x14ac:dyDescent="0.25"/>
    <row r="710" s="79" customFormat="1" ht="15" customHeight="1" x14ac:dyDescent="0.25"/>
    <row r="711" s="79" customFormat="1" ht="15" customHeight="1" x14ac:dyDescent="0.25"/>
    <row r="712" s="79" customFormat="1" ht="15" customHeight="1" x14ac:dyDescent="0.25"/>
    <row r="713" s="79" customFormat="1" ht="15" customHeight="1" x14ac:dyDescent="0.25"/>
    <row r="714" s="79" customFormat="1" ht="15" customHeight="1" x14ac:dyDescent="0.25"/>
    <row r="715" s="79" customFormat="1" ht="15" customHeight="1" x14ac:dyDescent="0.25"/>
    <row r="716" s="79" customFormat="1" ht="15" customHeight="1" x14ac:dyDescent="0.25"/>
    <row r="717" s="79" customFormat="1" ht="15" customHeight="1" x14ac:dyDescent="0.25"/>
    <row r="718" s="79" customFormat="1" ht="15" customHeight="1" x14ac:dyDescent="0.25"/>
    <row r="719" s="79" customFormat="1" ht="15" customHeight="1" x14ac:dyDescent="0.25"/>
    <row r="720" s="79" customFormat="1" ht="15" customHeight="1" x14ac:dyDescent="0.25"/>
    <row r="721" s="79" customFormat="1" ht="15" customHeight="1" x14ac:dyDescent="0.25"/>
    <row r="722" s="79" customFormat="1" ht="15" customHeight="1" x14ac:dyDescent="0.25"/>
    <row r="723" s="79" customFormat="1" ht="15" customHeight="1" x14ac:dyDescent="0.25"/>
    <row r="724" s="79" customFormat="1" ht="15" customHeight="1" x14ac:dyDescent="0.25"/>
    <row r="725" s="79" customFormat="1" ht="15" customHeight="1" x14ac:dyDescent="0.25"/>
    <row r="726" s="79" customFormat="1" ht="15" customHeight="1" x14ac:dyDescent="0.25"/>
    <row r="727" s="79" customFormat="1" ht="15" customHeight="1" x14ac:dyDescent="0.25"/>
    <row r="728" s="79" customFormat="1" ht="15" customHeight="1" x14ac:dyDescent="0.25"/>
    <row r="729" s="79" customFormat="1" ht="15" customHeight="1" x14ac:dyDescent="0.25"/>
    <row r="730" s="79" customFormat="1" ht="15" customHeight="1" x14ac:dyDescent="0.25"/>
    <row r="731" s="79" customFormat="1" ht="15" customHeight="1" x14ac:dyDescent="0.25"/>
    <row r="732" s="79" customFormat="1" ht="15" customHeight="1" x14ac:dyDescent="0.25"/>
    <row r="733" s="79" customFormat="1" ht="15" customHeight="1" x14ac:dyDescent="0.25"/>
    <row r="734" s="79" customFormat="1" ht="15" customHeight="1" x14ac:dyDescent="0.25"/>
    <row r="735" s="79" customFormat="1" ht="15" customHeight="1" x14ac:dyDescent="0.25"/>
    <row r="736" s="79" customFormat="1" ht="15" customHeight="1" x14ac:dyDescent="0.25"/>
    <row r="737" s="79" customFormat="1" ht="15" customHeight="1" x14ac:dyDescent="0.25"/>
    <row r="738" s="79" customFormat="1" ht="15" customHeight="1" x14ac:dyDescent="0.25"/>
    <row r="739" s="79" customFormat="1" ht="15" customHeight="1" x14ac:dyDescent="0.25"/>
    <row r="740" s="79" customFormat="1" ht="15" customHeight="1" x14ac:dyDescent="0.25"/>
    <row r="741" s="79" customFormat="1" ht="15" customHeight="1" x14ac:dyDescent="0.25"/>
    <row r="742" s="79" customFormat="1" ht="15" customHeight="1" x14ac:dyDescent="0.25"/>
    <row r="743" s="79" customFormat="1" ht="15" customHeight="1" x14ac:dyDescent="0.25"/>
    <row r="744" s="79" customFormat="1" ht="15" customHeight="1" x14ac:dyDescent="0.25"/>
    <row r="745" s="79" customFormat="1" ht="15" customHeight="1" x14ac:dyDescent="0.25"/>
    <row r="746" s="79" customFormat="1" ht="15" customHeight="1" x14ac:dyDescent="0.25"/>
    <row r="747" s="79" customFormat="1" ht="15" customHeight="1" x14ac:dyDescent="0.25"/>
    <row r="748" s="79" customFormat="1" ht="15" customHeight="1" x14ac:dyDescent="0.25"/>
    <row r="749" s="79" customFormat="1" ht="15" customHeight="1" x14ac:dyDescent="0.25"/>
    <row r="750" s="79" customFormat="1" ht="15" customHeight="1" x14ac:dyDescent="0.25"/>
    <row r="751" s="79" customFormat="1" ht="15" customHeight="1" x14ac:dyDescent="0.25"/>
    <row r="752" s="79" customFormat="1" ht="15" customHeight="1" x14ac:dyDescent="0.25"/>
    <row r="753" s="79" customFormat="1" ht="15" customHeight="1" x14ac:dyDescent="0.25"/>
    <row r="754" s="79" customFormat="1" ht="15" customHeight="1" x14ac:dyDescent="0.25"/>
    <row r="755" s="79" customFormat="1" ht="15" customHeight="1" x14ac:dyDescent="0.25"/>
    <row r="756" s="79" customFormat="1" ht="15" customHeight="1" x14ac:dyDescent="0.25"/>
    <row r="757" s="79" customFormat="1" ht="15" customHeight="1" x14ac:dyDescent="0.25"/>
    <row r="758" s="79" customFormat="1" ht="15" customHeight="1" x14ac:dyDescent="0.25"/>
    <row r="759" s="79" customFormat="1" ht="15" customHeight="1" x14ac:dyDescent="0.25"/>
    <row r="760" s="79" customFormat="1" ht="15" customHeight="1" x14ac:dyDescent="0.25"/>
    <row r="761" s="79" customFormat="1" ht="15" customHeight="1" x14ac:dyDescent="0.25"/>
    <row r="762" s="79" customFormat="1" ht="15" customHeight="1" x14ac:dyDescent="0.25"/>
    <row r="763" s="79" customFormat="1" ht="15" customHeight="1" x14ac:dyDescent="0.25"/>
    <row r="764" s="79" customFormat="1" ht="15" customHeight="1" x14ac:dyDescent="0.25"/>
    <row r="765" s="79" customFormat="1" ht="15" customHeight="1" x14ac:dyDescent="0.25"/>
    <row r="766" s="79" customFormat="1" ht="15" customHeight="1" x14ac:dyDescent="0.25"/>
    <row r="767" s="79" customFormat="1" ht="15" customHeight="1" x14ac:dyDescent="0.25"/>
    <row r="768" s="79" customFormat="1" ht="15" customHeight="1" x14ac:dyDescent="0.25"/>
    <row r="769" s="79" customFormat="1" ht="15" customHeight="1" x14ac:dyDescent="0.25"/>
    <row r="770" s="79" customFormat="1" ht="15" customHeight="1" x14ac:dyDescent="0.25"/>
    <row r="771" s="79" customFormat="1" ht="15" customHeight="1" x14ac:dyDescent="0.25"/>
    <row r="772" s="79" customFormat="1" ht="15" customHeight="1" x14ac:dyDescent="0.25"/>
    <row r="773" s="79" customFormat="1" ht="15" customHeight="1" x14ac:dyDescent="0.25"/>
    <row r="774" s="79" customFormat="1" ht="15" customHeight="1" x14ac:dyDescent="0.25"/>
    <row r="775" s="79" customFormat="1" ht="15" customHeight="1" x14ac:dyDescent="0.25"/>
    <row r="776" s="79" customFormat="1" ht="15" customHeight="1" x14ac:dyDescent="0.25"/>
    <row r="777" s="79" customFormat="1" ht="15" customHeight="1" x14ac:dyDescent="0.25"/>
    <row r="778" s="79" customFormat="1" ht="15" customHeight="1" x14ac:dyDescent="0.25"/>
    <row r="779" s="79" customFormat="1" ht="15" customHeight="1" x14ac:dyDescent="0.25"/>
    <row r="780" s="79" customFormat="1" ht="15" customHeight="1" x14ac:dyDescent="0.25"/>
    <row r="781" s="79" customFormat="1" ht="15" customHeight="1" x14ac:dyDescent="0.25"/>
    <row r="782" s="79" customFormat="1" ht="15" customHeight="1" x14ac:dyDescent="0.25"/>
    <row r="783" s="79" customFormat="1" ht="15" customHeight="1" x14ac:dyDescent="0.25"/>
    <row r="784" s="79" customFormat="1" ht="15" customHeight="1" x14ac:dyDescent="0.25"/>
    <row r="785" s="79" customFormat="1" ht="15" customHeight="1" x14ac:dyDescent="0.25"/>
    <row r="786" s="79" customFormat="1" ht="15" customHeight="1" x14ac:dyDescent="0.25"/>
    <row r="787" s="79" customFormat="1" ht="15" customHeight="1" x14ac:dyDescent="0.25"/>
    <row r="788" s="79" customFormat="1" ht="15" customHeight="1" x14ac:dyDescent="0.25"/>
    <row r="789" s="79" customFormat="1" ht="15" customHeight="1" x14ac:dyDescent="0.25"/>
    <row r="790" s="79" customFormat="1" ht="15" customHeight="1" x14ac:dyDescent="0.25"/>
    <row r="791" s="79" customFormat="1" ht="15" customHeight="1" x14ac:dyDescent="0.25"/>
    <row r="792" s="79" customFormat="1" ht="15" customHeight="1" x14ac:dyDescent="0.25"/>
    <row r="793" s="79" customFormat="1" ht="15" customHeight="1" x14ac:dyDescent="0.25"/>
    <row r="794" s="79" customFormat="1" ht="15" customHeight="1" x14ac:dyDescent="0.25"/>
    <row r="795" s="79" customFormat="1" ht="15" customHeight="1" x14ac:dyDescent="0.25"/>
    <row r="796" s="79" customFormat="1" ht="15" customHeight="1" x14ac:dyDescent="0.25"/>
    <row r="797" s="79" customFormat="1" ht="15" customHeight="1" x14ac:dyDescent="0.25"/>
    <row r="798" s="79" customFormat="1" ht="15" customHeight="1" x14ac:dyDescent="0.25"/>
    <row r="799" s="79" customFormat="1" ht="15" customHeight="1" x14ac:dyDescent="0.25"/>
    <row r="800" s="79" customFormat="1" ht="15" customHeight="1" x14ac:dyDescent="0.25"/>
    <row r="801" s="79" customFormat="1" ht="15" customHeight="1" x14ac:dyDescent="0.25"/>
    <row r="802" s="79" customFormat="1" ht="15" customHeight="1" x14ac:dyDescent="0.25"/>
    <row r="803" s="79" customFormat="1" ht="15" customHeight="1" x14ac:dyDescent="0.25"/>
    <row r="804" s="79" customFormat="1" ht="15" customHeight="1" x14ac:dyDescent="0.25"/>
    <row r="805" s="79" customFormat="1" ht="15" customHeight="1" x14ac:dyDescent="0.25"/>
    <row r="806" s="79" customFormat="1" ht="15" customHeight="1" x14ac:dyDescent="0.25"/>
    <row r="807" s="79" customFormat="1" ht="15" customHeight="1" x14ac:dyDescent="0.25"/>
    <row r="808" s="79" customFormat="1" ht="15" customHeight="1" x14ac:dyDescent="0.25"/>
    <row r="809" s="79" customFormat="1" ht="15" customHeight="1" x14ac:dyDescent="0.25"/>
    <row r="810" s="79" customFormat="1" ht="15" customHeight="1" x14ac:dyDescent="0.25"/>
    <row r="811" s="79" customFormat="1" ht="15" customHeight="1" x14ac:dyDescent="0.25"/>
    <row r="812" s="79" customFormat="1" ht="15" customHeight="1" x14ac:dyDescent="0.25"/>
    <row r="813" s="79" customFormat="1" ht="15" customHeight="1" x14ac:dyDescent="0.25"/>
    <row r="814" s="79" customFormat="1" ht="15" customHeight="1" x14ac:dyDescent="0.25"/>
    <row r="815" s="79" customFormat="1" ht="15" customHeight="1" x14ac:dyDescent="0.25"/>
    <row r="816" s="79" customFormat="1" ht="15" customHeight="1" x14ac:dyDescent="0.25"/>
    <row r="817" s="79" customFormat="1" ht="15" customHeight="1" x14ac:dyDescent="0.25"/>
    <row r="818" s="79" customFormat="1" ht="15" customHeight="1" x14ac:dyDescent="0.25"/>
    <row r="819" s="79" customFormat="1" ht="15" customHeight="1" x14ac:dyDescent="0.25"/>
    <row r="820" s="79" customFormat="1" ht="15" customHeight="1" x14ac:dyDescent="0.25"/>
    <row r="821" s="79" customFormat="1" ht="15" customHeight="1" x14ac:dyDescent="0.25"/>
    <row r="822" s="79" customFormat="1" ht="15" customHeight="1" x14ac:dyDescent="0.25"/>
    <row r="823" s="79" customFormat="1" ht="15" customHeight="1" x14ac:dyDescent="0.25"/>
    <row r="824" s="79" customFormat="1" ht="15" customHeight="1" x14ac:dyDescent="0.25"/>
    <row r="825" s="79" customFormat="1" ht="15" customHeight="1" x14ac:dyDescent="0.25"/>
    <row r="826" s="79" customFormat="1" ht="15" customHeight="1" x14ac:dyDescent="0.25"/>
    <row r="827" s="79" customFormat="1" ht="15" customHeight="1" x14ac:dyDescent="0.25"/>
    <row r="828" s="79" customFormat="1" ht="15" customHeight="1" x14ac:dyDescent="0.25"/>
    <row r="829" s="79" customFormat="1" ht="15" customHeight="1" x14ac:dyDescent="0.25"/>
    <row r="830" s="79" customFormat="1" ht="15" customHeight="1" x14ac:dyDescent="0.25"/>
    <row r="831" s="79" customFormat="1" ht="15" customHeight="1" x14ac:dyDescent="0.25"/>
    <row r="832" s="79" customFormat="1" ht="15" customHeight="1" x14ac:dyDescent="0.25"/>
    <row r="833" s="79" customFormat="1" ht="15" customHeight="1" x14ac:dyDescent="0.25"/>
    <row r="834" s="79" customFormat="1" ht="15" customHeight="1" x14ac:dyDescent="0.25"/>
    <row r="835" s="79" customFormat="1" ht="15" customHeight="1" x14ac:dyDescent="0.25"/>
    <row r="836" s="79" customFormat="1" ht="15" customHeight="1" x14ac:dyDescent="0.25"/>
    <row r="837" s="79" customFormat="1" ht="15" customHeight="1" x14ac:dyDescent="0.25"/>
    <row r="838" s="79" customFormat="1" ht="15" customHeight="1" x14ac:dyDescent="0.25"/>
    <row r="839" s="79" customFormat="1" ht="15" customHeight="1" x14ac:dyDescent="0.25"/>
    <row r="840" s="79" customFormat="1" ht="15" customHeight="1" x14ac:dyDescent="0.25"/>
    <row r="841" s="79" customFormat="1" ht="15" customHeight="1" x14ac:dyDescent="0.25"/>
    <row r="842" s="79" customFormat="1" ht="15" customHeight="1" x14ac:dyDescent="0.25"/>
    <row r="843" s="79" customFormat="1" ht="15" customHeight="1" x14ac:dyDescent="0.25"/>
    <row r="844" s="79" customFormat="1" ht="15" customHeight="1" x14ac:dyDescent="0.25"/>
    <row r="845" s="79" customFormat="1" ht="15" customHeight="1" x14ac:dyDescent="0.25"/>
    <row r="846" s="79" customFormat="1" ht="15" customHeight="1" x14ac:dyDescent="0.25"/>
    <row r="847" s="79" customFormat="1" ht="15" customHeight="1" x14ac:dyDescent="0.25"/>
    <row r="848" s="79" customFormat="1" ht="15" customHeight="1" x14ac:dyDescent="0.25"/>
    <row r="849" s="79" customFormat="1" ht="15" customHeight="1" x14ac:dyDescent="0.25"/>
    <row r="850" s="79" customFormat="1" ht="15" customHeight="1" x14ac:dyDescent="0.25"/>
    <row r="851" s="79" customFormat="1" ht="15" customHeight="1" x14ac:dyDescent="0.25"/>
    <row r="852" s="79" customFormat="1" ht="15" customHeight="1" x14ac:dyDescent="0.25"/>
    <row r="853" s="79" customFormat="1" ht="15" customHeight="1" x14ac:dyDescent="0.25"/>
    <row r="854" s="79" customFormat="1" ht="15" customHeight="1" x14ac:dyDescent="0.25"/>
    <row r="855" s="79" customFormat="1" ht="15" customHeight="1" x14ac:dyDescent="0.25"/>
    <row r="856" s="79" customFormat="1" ht="15" customHeight="1" x14ac:dyDescent="0.25"/>
    <row r="857" s="79" customFormat="1" ht="15" customHeight="1" x14ac:dyDescent="0.25"/>
    <row r="858" s="79" customFormat="1" ht="15" customHeight="1" x14ac:dyDescent="0.25"/>
    <row r="859" s="79" customFormat="1" ht="15" customHeight="1" x14ac:dyDescent="0.25"/>
    <row r="860" s="79" customFormat="1" ht="15" customHeight="1" x14ac:dyDescent="0.25"/>
    <row r="861" s="79" customFormat="1" ht="15" customHeight="1" x14ac:dyDescent="0.25"/>
    <row r="862" s="79" customFormat="1" ht="15" customHeight="1" x14ac:dyDescent="0.25"/>
    <row r="863" s="79" customFormat="1" ht="15" customHeight="1" x14ac:dyDescent="0.25"/>
    <row r="864" s="79" customFormat="1" ht="15" customHeight="1" x14ac:dyDescent="0.25"/>
    <row r="865" s="79" customFormat="1" ht="15" customHeight="1" x14ac:dyDescent="0.25"/>
    <row r="866" s="79" customFormat="1" ht="15" customHeight="1" x14ac:dyDescent="0.25"/>
    <row r="867" s="79" customFormat="1" ht="15" customHeight="1" x14ac:dyDescent="0.25"/>
    <row r="868" s="79" customFormat="1" ht="15" customHeight="1" x14ac:dyDescent="0.25"/>
    <row r="869" s="79" customFormat="1" ht="15" customHeight="1" x14ac:dyDescent="0.25"/>
    <row r="870" s="79" customFormat="1" ht="15" customHeight="1" x14ac:dyDescent="0.25"/>
    <row r="871" s="79" customFormat="1" ht="15" customHeight="1" x14ac:dyDescent="0.25"/>
    <row r="872" s="79" customFormat="1" ht="15" customHeight="1" x14ac:dyDescent="0.25"/>
    <row r="873" s="79" customFormat="1" ht="15" customHeight="1" x14ac:dyDescent="0.25"/>
    <row r="874" s="79" customFormat="1" ht="15" customHeight="1" x14ac:dyDescent="0.25"/>
    <row r="875" s="79" customFormat="1" ht="15" customHeight="1" x14ac:dyDescent="0.25"/>
    <row r="876" s="79" customFormat="1" ht="15" customHeight="1" x14ac:dyDescent="0.25"/>
    <row r="877" s="79" customFormat="1" ht="15" customHeight="1" x14ac:dyDescent="0.25"/>
    <row r="878" s="79" customFormat="1" ht="15" customHeight="1" x14ac:dyDescent="0.25"/>
    <row r="879" s="79" customFormat="1" ht="15" customHeight="1" x14ac:dyDescent="0.25"/>
    <row r="880" s="79" customFormat="1" ht="15" customHeight="1" x14ac:dyDescent="0.25"/>
    <row r="881" s="79" customFormat="1" ht="15" customHeight="1" x14ac:dyDescent="0.25"/>
    <row r="882" s="79" customFormat="1" ht="15" customHeight="1" x14ac:dyDescent="0.25"/>
    <row r="883" s="79" customFormat="1" ht="15" customHeight="1" x14ac:dyDescent="0.25"/>
    <row r="884" s="79" customFormat="1" ht="15" customHeight="1" x14ac:dyDescent="0.25"/>
    <row r="885" s="79" customFormat="1" ht="15" customHeight="1" x14ac:dyDescent="0.25"/>
    <row r="886" s="79" customFormat="1" ht="15" customHeight="1" x14ac:dyDescent="0.25"/>
    <row r="887" s="79" customFormat="1" ht="15" customHeight="1" x14ac:dyDescent="0.25"/>
    <row r="888" s="79" customFormat="1" ht="15" customHeight="1" x14ac:dyDescent="0.25"/>
    <row r="889" s="79" customFormat="1" ht="15" customHeight="1" x14ac:dyDescent="0.25"/>
    <row r="890" s="79" customFormat="1" ht="15" customHeight="1" x14ac:dyDescent="0.25"/>
    <row r="891" s="79" customFormat="1" ht="15" customHeight="1" x14ac:dyDescent="0.25"/>
    <row r="892" s="79" customFormat="1" ht="15" customHeight="1" x14ac:dyDescent="0.25"/>
    <row r="893" s="79" customFormat="1" ht="15" customHeight="1" x14ac:dyDescent="0.25"/>
    <row r="894" s="79" customFormat="1" ht="15" customHeight="1" x14ac:dyDescent="0.25"/>
    <row r="895" s="79" customFormat="1" ht="15" customHeight="1" x14ac:dyDescent="0.25"/>
    <row r="896" s="79" customFormat="1" ht="15" customHeight="1" x14ac:dyDescent="0.25"/>
    <row r="897" s="79" customFormat="1" ht="15" customHeight="1" x14ac:dyDescent="0.25"/>
    <row r="898" s="79" customFormat="1" ht="15" customHeight="1" x14ac:dyDescent="0.25"/>
    <row r="899" s="79" customFormat="1" ht="15" customHeight="1" x14ac:dyDescent="0.25"/>
    <row r="900" s="79" customFormat="1" ht="15" customHeight="1" x14ac:dyDescent="0.25"/>
    <row r="901" s="79" customFormat="1" ht="15" customHeight="1" x14ac:dyDescent="0.25"/>
    <row r="902" s="79" customFormat="1" ht="15" customHeight="1" x14ac:dyDescent="0.25"/>
    <row r="903" s="79" customFormat="1" ht="15" customHeight="1" x14ac:dyDescent="0.25"/>
    <row r="904" s="79" customFormat="1" ht="15" customHeight="1" x14ac:dyDescent="0.25"/>
    <row r="905" s="79" customFormat="1" ht="15" customHeight="1" x14ac:dyDescent="0.25"/>
    <row r="906" s="79" customFormat="1" ht="15" customHeight="1" x14ac:dyDescent="0.25"/>
    <row r="907" s="79" customFormat="1" ht="15" customHeight="1" x14ac:dyDescent="0.25"/>
    <row r="908" s="79" customFormat="1" ht="15" customHeight="1" x14ac:dyDescent="0.25"/>
    <row r="909" s="79" customFormat="1" ht="15" customHeight="1" x14ac:dyDescent="0.25"/>
    <row r="910" s="79" customFormat="1" ht="15" customHeight="1" x14ac:dyDescent="0.25"/>
    <row r="911" s="79" customFormat="1" ht="15" customHeight="1" x14ac:dyDescent="0.25"/>
    <row r="912" s="79" customFormat="1" ht="15" customHeight="1" x14ac:dyDescent="0.25"/>
    <row r="913" s="79" customFormat="1" ht="15" customHeight="1" x14ac:dyDescent="0.25"/>
    <row r="914" s="79" customFormat="1" ht="15" customHeight="1" x14ac:dyDescent="0.25"/>
    <row r="915" s="79" customFormat="1" ht="15" customHeight="1" x14ac:dyDescent="0.25"/>
    <row r="916" s="79" customFormat="1" ht="15" customHeight="1" x14ac:dyDescent="0.25"/>
    <row r="917" s="79" customFormat="1" ht="15" customHeight="1" x14ac:dyDescent="0.25"/>
    <row r="918" s="79" customFormat="1" ht="15" customHeight="1" x14ac:dyDescent="0.25"/>
    <row r="919" s="79" customFormat="1" ht="15" customHeight="1" x14ac:dyDescent="0.25"/>
    <row r="920" s="79" customFormat="1" ht="15" customHeight="1" x14ac:dyDescent="0.25"/>
    <row r="921" s="79" customFormat="1" ht="15" customHeight="1" x14ac:dyDescent="0.25"/>
    <row r="922" s="79" customFormat="1" ht="15" customHeight="1" x14ac:dyDescent="0.25"/>
    <row r="923" s="79" customFormat="1" ht="15" customHeight="1" x14ac:dyDescent="0.25"/>
    <row r="924" s="79" customFormat="1" ht="15" customHeight="1" x14ac:dyDescent="0.25"/>
    <row r="925" s="79" customFormat="1" ht="15" customHeight="1" x14ac:dyDescent="0.25"/>
    <row r="926" s="79" customFormat="1" ht="15" customHeight="1" x14ac:dyDescent="0.25"/>
    <row r="927" s="79" customFormat="1" ht="15" customHeight="1" x14ac:dyDescent="0.25"/>
    <row r="928" s="79" customFormat="1" ht="15" customHeight="1" x14ac:dyDescent="0.25"/>
    <row r="929" s="79" customFormat="1" ht="15" customHeight="1" x14ac:dyDescent="0.25"/>
    <row r="930" s="79" customFormat="1" ht="15" customHeight="1" x14ac:dyDescent="0.25"/>
    <row r="931" s="79" customFormat="1" ht="15" customHeight="1" x14ac:dyDescent="0.25"/>
    <row r="932" s="79" customFormat="1" ht="15" customHeight="1" x14ac:dyDescent="0.25"/>
    <row r="933" s="79" customFormat="1" ht="15" customHeight="1" x14ac:dyDescent="0.25"/>
    <row r="934" s="79" customFormat="1" ht="15" customHeight="1" x14ac:dyDescent="0.25"/>
    <row r="935" s="79" customFormat="1" ht="15" customHeight="1" x14ac:dyDescent="0.25"/>
    <row r="936" s="79" customFormat="1" ht="15" customHeight="1" x14ac:dyDescent="0.25"/>
    <row r="937" s="79" customFormat="1" ht="15" customHeight="1" x14ac:dyDescent="0.25"/>
    <row r="938" s="79" customFormat="1" ht="15" customHeight="1" x14ac:dyDescent="0.25"/>
    <row r="939" s="79" customFormat="1" ht="15" customHeight="1" x14ac:dyDescent="0.25"/>
    <row r="940" s="79" customFormat="1" ht="15" customHeight="1" x14ac:dyDescent="0.25"/>
    <row r="941" s="79" customFormat="1" ht="15" customHeight="1" x14ac:dyDescent="0.25"/>
    <row r="942" s="79" customFormat="1" ht="15" customHeight="1" x14ac:dyDescent="0.25"/>
    <row r="943" s="79" customFormat="1" ht="15" customHeight="1" x14ac:dyDescent="0.25"/>
    <row r="944" s="79" customFormat="1" ht="15" customHeight="1" x14ac:dyDescent="0.25"/>
    <row r="945" s="79" customFormat="1" ht="15" customHeight="1" x14ac:dyDescent="0.25"/>
    <row r="946" s="79" customFormat="1" ht="15" customHeight="1" x14ac:dyDescent="0.25"/>
    <row r="947" s="79" customFormat="1" ht="15" customHeight="1" x14ac:dyDescent="0.25"/>
    <row r="948" s="79" customFormat="1" ht="15" customHeight="1" x14ac:dyDescent="0.25"/>
    <row r="949" s="79" customFormat="1" ht="15" customHeight="1" x14ac:dyDescent="0.25"/>
    <row r="950" s="79" customFormat="1" ht="15" customHeight="1" x14ac:dyDescent="0.25"/>
    <row r="951" s="79" customFormat="1" ht="15" customHeight="1" x14ac:dyDescent="0.25"/>
    <row r="952" s="79" customFormat="1" ht="15" customHeight="1" x14ac:dyDescent="0.25"/>
    <row r="953" s="79" customFormat="1" ht="15" customHeight="1" x14ac:dyDescent="0.25"/>
    <row r="954" s="79" customFormat="1" ht="15" customHeight="1" x14ac:dyDescent="0.25"/>
    <row r="955" s="79" customFormat="1" ht="15" customHeight="1" x14ac:dyDescent="0.25"/>
    <row r="956" s="79" customFormat="1" ht="15" customHeight="1" x14ac:dyDescent="0.25"/>
    <row r="957" s="79" customFormat="1" ht="15" customHeight="1" x14ac:dyDescent="0.25"/>
    <row r="958" s="79" customFormat="1" ht="15" customHeight="1" x14ac:dyDescent="0.25"/>
    <row r="959" s="79" customFormat="1" ht="15" customHeight="1" x14ac:dyDescent="0.25"/>
    <row r="960" s="79" customFormat="1" ht="15" customHeight="1" x14ac:dyDescent="0.25"/>
    <row r="961" s="79" customFormat="1" ht="15" customHeight="1" x14ac:dyDescent="0.25"/>
    <row r="962" s="79" customFormat="1" ht="15" customHeight="1" x14ac:dyDescent="0.25"/>
    <row r="963" s="79" customFormat="1" ht="15" customHeight="1" x14ac:dyDescent="0.25"/>
    <row r="964" s="79" customFormat="1" ht="15" customHeight="1" x14ac:dyDescent="0.25"/>
    <row r="965" s="79" customFormat="1" ht="15" customHeight="1" x14ac:dyDescent="0.25"/>
    <row r="966" s="79" customFormat="1" ht="15" customHeight="1" x14ac:dyDescent="0.25"/>
    <row r="967" s="79" customFormat="1" ht="15" customHeight="1" x14ac:dyDescent="0.25"/>
    <row r="968" s="79" customFormat="1" ht="15" customHeight="1" x14ac:dyDescent="0.25"/>
    <row r="969" s="79" customFormat="1" ht="15" customHeight="1" x14ac:dyDescent="0.25"/>
    <row r="970" s="79" customFormat="1" ht="15" customHeight="1" x14ac:dyDescent="0.25"/>
    <row r="971" s="79" customFormat="1" ht="15" customHeight="1" x14ac:dyDescent="0.25"/>
    <row r="972" s="79" customFormat="1" ht="15" customHeight="1" x14ac:dyDescent="0.25"/>
    <row r="973" s="79" customFormat="1" ht="15" customHeight="1" x14ac:dyDescent="0.25"/>
    <row r="974" s="79" customFormat="1" ht="15" customHeight="1" x14ac:dyDescent="0.25"/>
    <row r="975" s="79" customFormat="1" ht="15" customHeight="1" x14ac:dyDescent="0.25"/>
    <row r="976" s="79" customFormat="1" ht="15" customHeight="1" x14ac:dyDescent="0.25"/>
    <row r="977" s="79" customFormat="1" ht="15" customHeight="1" x14ac:dyDescent="0.25"/>
    <row r="978" s="79" customFormat="1" ht="15" customHeight="1" x14ac:dyDescent="0.25"/>
    <row r="979" s="79" customFormat="1" ht="15" customHeight="1" x14ac:dyDescent="0.25"/>
    <row r="980" s="79" customFormat="1" ht="15" customHeight="1" x14ac:dyDescent="0.25"/>
    <row r="981" s="79" customFormat="1" ht="15" customHeight="1" x14ac:dyDescent="0.25"/>
    <row r="982" s="79" customFormat="1" ht="15" customHeight="1" x14ac:dyDescent="0.25"/>
    <row r="983" s="79" customFormat="1" ht="15" customHeight="1" x14ac:dyDescent="0.25"/>
    <row r="984" s="79" customFormat="1" ht="15" customHeight="1" x14ac:dyDescent="0.25"/>
    <row r="985" s="79" customFormat="1" ht="15" customHeight="1" x14ac:dyDescent="0.25"/>
    <row r="986" s="79" customFormat="1" ht="15" customHeight="1" x14ac:dyDescent="0.25"/>
    <row r="987" s="79" customFormat="1" ht="15" customHeight="1" x14ac:dyDescent="0.25"/>
    <row r="988" s="79" customFormat="1" ht="15" customHeight="1" x14ac:dyDescent="0.25"/>
    <row r="989" s="79" customFormat="1" ht="15" customHeight="1" x14ac:dyDescent="0.25"/>
    <row r="990" s="79" customFormat="1" ht="15" customHeight="1" x14ac:dyDescent="0.25"/>
    <row r="991" s="79" customFormat="1" ht="15" customHeight="1" x14ac:dyDescent="0.25"/>
    <row r="992" s="79" customFormat="1" ht="15" customHeight="1" x14ac:dyDescent="0.25"/>
    <row r="993" s="79" customFormat="1" ht="15" customHeight="1" x14ac:dyDescent="0.25"/>
    <row r="994" s="79" customFormat="1" ht="15" customHeight="1" x14ac:dyDescent="0.25"/>
    <row r="995" s="79" customFormat="1" ht="15" customHeight="1" x14ac:dyDescent="0.25"/>
    <row r="996" s="79" customFormat="1" ht="15" customHeight="1" x14ac:dyDescent="0.25"/>
    <row r="997" s="79" customFormat="1" ht="15" customHeight="1" x14ac:dyDescent="0.25"/>
    <row r="998" s="79" customFormat="1" ht="15" customHeight="1" x14ac:dyDescent="0.25"/>
    <row r="999" s="79" customFormat="1" ht="15" customHeight="1" x14ac:dyDescent="0.25"/>
    <row r="1000" s="79" customFormat="1" ht="15" customHeight="1" x14ac:dyDescent="0.25"/>
    <row r="1001" s="79" customFormat="1" ht="15" customHeight="1" x14ac:dyDescent="0.25"/>
    <row r="1002" s="79" customFormat="1" ht="15" customHeight="1" x14ac:dyDescent="0.25"/>
    <row r="1003" s="79" customFormat="1" ht="15" customHeight="1" x14ac:dyDescent="0.25"/>
    <row r="1004" s="79" customFormat="1" ht="15" customHeight="1" x14ac:dyDescent="0.25"/>
    <row r="1005" s="79" customFormat="1" ht="15" customHeight="1" x14ac:dyDescent="0.25"/>
    <row r="1006" s="79" customFormat="1" ht="15" customHeight="1" x14ac:dyDescent="0.25"/>
    <row r="1007" s="79" customFormat="1" ht="15" customHeight="1" x14ac:dyDescent="0.25"/>
    <row r="1008" s="79" customFormat="1" ht="15" customHeight="1" x14ac:dyDescent="0.25"/>
    <row r="1009" s="79" customFormat="1" ht="15" customHeight="1" x14ac:dyDescent="0.25"/>
    <row r="1010" s="79" customFormat="1" ht="15" customHeight="1" x14ac:dyDescent="0.25"/>
    <row r="1011" s="79" customFormat="1" ht="15" customHeight="1" x14ac:dyDescent="0.25"/>
    <row r="1012" s="79" customFormat="1" ht="15" customHeight="1" x14ac:dyDescent="0.25"/>
    <row r="1013" s="79" customFormat="1" ht="15" customHeight="1" x14ac:dyDescent="0.25"/>
    <row r="1014" s="79" customFormat="1" ht="15" customHeight="1" x14ac:dyDescent="0.25"/>
    <row r="1015" s="79" customFormat="1" ht="15" customHeight="1" x14ac:dyDescent="0.25"/>
    <row r="1016" s="79" customFormat="1" ht="15" customHeight="1" x14ac:dyDescent="0.25"/>
    <row r="1017" s="79" customFormat="1" ht="15" customHeight="1" x14ac:dyDescent="0.25"/>
    <row r="1018" s="79" customFormat="1" ht="15" customHeight="1" x14ac:dyDescent="0.25"/>
    <row r="1019" s="79" customFormat="1" ht="15" customHeight="1" x14ac:dyDescent="0.25"/>
    <row r="1020" s="79" customFormat="1" ht="15" customHeight="1" x14ac:dyDescent="0.25"/>
    <row r="1021" s="79" customFormat="1" ht="15" customHeight="1" x14ac:dyDescent="0.25"/>
    <row r="1022" s="79" customFormat="1" ht="15" customHeight="1" x14ac:dyDescent="0.25"/>
    <row r="1023" s="79" customFormat="1" ht="15" customHeight="1" x14ac:dyDescent="0.25"/>
    <row r="1024" s="79" customFormat="1" ht="15" customHeight="1" x14ac:dyDescent="0.25"/>
    <row r="1025" s="79" customFormat="1" ht="15" customHeight="1" x14ac:dyDescent="0.25"/>
    <row r="1026" s="79" customFormat="1" ht="15" customHeight="1" x14ac:dyDescent="0.25"/>
    <row r="1027" s="79" customFormat="1" ht="15" customHeight="1" x14ac:dyDescent="0.25"/>
    <row r="1028" s="79" customFormat="1" ht="15" customHeight="1" x14ac:dyDescent="0.25"/>
    <row r="1029" s="79" customFormat="1" ht="15" customHeight="1" x14ac:dyDescent="0.25"/>
    <row r="1030" s="79" customFormat="1" ht="15" customHeight="1" x14ac:dyDescent="0.25"/>
    <row r="1031" s="79" customFormat="1" ht="15" customHeight="1" x14ac:dyDescent="0.25"/>
    <row r="1032" s="79" customFormat="1" ht="15" customHeight="1" x14ac:dyDescent="0.25"/>
    <row r="1033" s="79" customFormat="1" ht="15" customHeight="1" x14ac:dyDescent="0.25"/>
    <row r="1034" s="79" customFormat="1" ht="15" customHeight="1" x14ac:dyDescent="0.25"/>
    <row r="1035" s="79" customFormat="1" ht="15" customHeight="1" x14ac:dyDescent="0.25"/>
    <row r="1036" s="79" customFormat="1" ht="15" customHeight="1" x14ac:dyDescent="0.25"/>
    <row r="1037" s="79" customFormat="1" ht="15" customHeight="1" x14ac:dyDescent="0.25"/>
    <row r="1038" s="79" customFormat="1" ht="15" customHeight="1" x14ac:dyDescent="0.25"/>
    <row r="1039" s="79" customFormat="1" ht="15" customHeight="1" x14ac:dyDescent="0.25"/>
    <row r="1040" s="79" customFormat="1" ht="15" customHeight="1" x14ac:dyDescent="0.25"/>
    <row r="1041" s="79" customFormat="1" ht="15" customHeight="1" x14ac:dyDescent="0.25"/>
    <row r="1042" s="79" customFormat="1" ht="15" customHeight="1" x14ac:dyDescent="0.25"/>
    <row r="1043" s="79" customFormat="1" ht="15" customHeight="1" x14ac:dyDescent="0.25"/>
    <row r="1044" s="79" customFormat="1" ht="15" customHeight="1" x14ac:dyDescent="0.25"/>
    <row r="1045" s="79" customFormat="1" ht="15" customHeight="1" x14ac:dyDescent="0.25"/>
    <row r="1046" s="79" customFormat="1" ht="15" customHeight="1" x14ac:dyDescent="0.25"/>
    <row r="1047" s="79" customFormat="1" ht="15" customHeight="1" x14ac:dyDescent="0.25"/>
    <row r="1048" s="79" customFormat="1" ht="15" customHeight="1" x14ac:dyDescent="0.25"/>
    <row r="1049" s="79" customFormat="1" ht="15" customHeight="1" x14ac:dyDescent="0.25"/>
    <row r="1050" s="79" customFormat="1" ht="15" customHeight="1" x14ac:dyDescent="0.25"/>
    <row r="1051" s="79" customFormat="1" ht="15" customHeight="1" x14ac:dyDescent="0.25"/>
    <row r="1052" s="79" customFormat="1" ht="15" customHeight="1" x14ac:dyDescent="0.25"/>
    <row r="1053" s="79" customFormat="1" ht="15" customHeight="1" x14ac:dyDescent="0.25"/>
    <row r="1054" s="79" customFormat="1" ht="15" customHeight="1" x14ac:dyDescent="0.25"/>
    <row r="1055" s="79" customFormat="1" ht="15" customHeight="1" x14ac:dyDescent="0.25"/>
    <row r="1056" s="79" customFormat="1" ht="15" customHeight="1" x14ac:dyDescent="0.25"/>
    <row r="1057" s="79" customFormat="1" ht="15" customHeight="1" x14ac:dyDescent="0.25"/>
    <row r="1058" s="79" customFormat="1" ht="15" customHeight="1" x14ac:dyDescent="0.25"/>
    <row r="1059" s="79" customFormat="1" ht="15" customHeight="1" x14ac:dyDescent="0.25"/>
    <row r="1060" s="79" customFormat="1" ht="15" customHeight="1" x14ac:dyDescent="0.25"/>
    <row r="1061" s="79" customFormat="1" ht="15" customHeight="1" x14ac:dyDescent="0.25"/>
    <row r="1062" s="79" customFormat="1" ht="15" customHeight="1" x14ac:dyDescent="0.25"/>
    <row r="1063" s="79" customFormat="1" ht="15" customHeight="1" x14ac:dyDescent="0.25"/>
    <row r="1064" s="79" customFormat="1" ht="15" customHeight="1" x14ac:dyDescent="0.25"/>
    <row r="1065" s="79" customFormat="1" ht="15" customHeight="1" x14ac:dyDescent="0.25"/>
    <row r="1066" s="79" customFormat="1" ht="15" customHeight="1" x14ac:dyDescent="0.25"/>
    <row r="1067" s="79" customFormat="1" ht="15" customHeight="1" x14ac:dyDescent="0.25"/>
    <row r="1068" s="79" customFormat="1" ht="15" customHeight="1" x14ac:dyDescent="0.25"/>
    <row r="1069" s="79" customFormat="1" ht="15" customHeight="1" x14ac:dyDescent="0.25"/>
    <row r="1070" s="79" customFormat="1" ht="15" customHeight="1" x14ac:dyDescent="0.25"/>
    <row r="1071" s="79" customFormat="1" ht="15" customHeight="1" x14ac:dyDescent="0.25"/>
    <row r="1072" s="79" customFormat="1" ht="15" customHeight="1" x14ac:dyDescent="0.25"/>
    <row r="1073" s="79" customFormat="1" ht="15" customHeight="1" x14ac:dyDescent="0.25"/>
    <row r="1074" s="79" customFormat="1" ht="15" customHeight="1" x14ac:dyDescent="0.25"/>
    <row r="1075" s="79" customFormat="1" ht="15" customHeight="1" x14ac:dyDescent="0.25"/>
    <row r="1076" s="79" customFormat="1" ht="15" customHeight="1" x14ac:dyDescent="0.25"/>
    <row r="1077" s="79" customFormat="1" ht="15" customHeight="1" x14ac:dyDescent="0.25"/>
    <row r="1078" s="79" customFormat="1" ht="15" customHeight="1" x14ac:dyDescent="0.25"/>
    <row r="1079" s="79" customFormat="1" ht="15" customHeight="1" x14ac:dyDescent="0.25"/>
    <row r="1080" s="79" customFormat="1" ht="15" customHeight="1" x14ac:dyDescent="0.25"/>
    <row r="1081" s="79" customFormat="1" ht="15" customHeight="1" x14ac:dyDescent="0.25"/>
    <row r="1082" s="79" customFormat="1" ht="15" customHeight="1" x14ac:dyDescent="0.25"/>
    <row r="1083" s="79" customFormat="1" ht="15" customHeight="1" x14ac:dyDescent="0.25"/>
    <row r="1084" s="79" customFormat="1" ht="15" customHeight="1" x14ac:dyDescent="0.25"/>
    <row r="1085" s="79" customFormat="1" ht="15" customHeight="1" x14ac:dyDescent="0.25"/>
    <row r="1086" s="79" customFormat="1" ht="15" customHeight="1" x14ac:dyDescent="0.25"/>
    <row r="1087" s="79" customFormat="1" ht="15" customHeight="1" x14ac:dyDescent="0.25"/>
    <row r="1088" s="79" customFormat="1" ht="15" customHeight="1" x14ac:dyDescent="0.25"/>
    <row r="1089" s="79" customFormat="1" ht="15" customHeight="1" x14ac:dyDescent="0.25"/>
    <row r="1090" s="79" customFormat="1" ht="15" customHeight="1" x14ac:dyDescent="0.25"/>
    <row r="1091" s="79" customFormat="1" ht="15" customHeight="1" x14ac:dyDescent="0.25"/>
    <row r="1092" s="79" customFormat="1" ht="15" customHeight="1" x14ac:dyDescent="0.25"/>
    <row r="1093" s="79" customFormat="1" ht="15" customHeight="1" x14ac:dyDescent="0.25"/>
    <row r="1094" s="79" customFormat="1" ht="15" customHeight="1" x14ac:dyDescent="0.25"/>
    <row r="1095" s="79" customFormat="1" ht="15" customHeight="1" x14ac:dyDescent="0.25"/>
    <row r="1096" s="79" customFormat="1" ht="15" customHeight="1" x14ac:dyDescent="0.25"/>
    <row r="1097" s="79" customFormat="1" ht="15" customHeight="1" x14ac:dyDescent="0.25"/>
    <row r="1098" s="79" customFormat="1" ht="15" customHeight="1" x14ac:dyDescent="0.25"/>
    <row r="1099" s="79" customFormat="1" ht="15" customHeight="1" x14ac:dyDescent="0.25"/>
    <row r="1100" s="79" customFormat="1" ht="15" customHeight="1" x14ac:dyDescent="0.25"/>
    <row r="1101" s="79" customFormat="1" ht="15" customHeight="1" x14ac:dyDescent="0.25"/>
    <row r="1102" s="79" customFormat="1" ht="15" customHeight="1" x14ac:dyDescent="0.25"/>
    <row r="1103" s="79" customFormat="1" ht="15" customHeight="1" x14ac:dyDescent="0.25"/>
    <row r="1104" s="79" customFormat="1" ht="15" customHeight="1" x14ac:dyDescent="0.25"/>
    <row r="1105" s="79" customFormat="1" ht="15" customHeight="1" x14ac:dyDescent="0.25"/>
    <row r="1106" s="79" customFormat="1" ht="15" customHeight="1" x14ac:dyDescent="0.25"/>
    <row r="1107" s="79" customFormat="1" ht="15" customHeight="1" x14ac:dyDescent="0.25"/>
    <row r="1108" s="79" customFormat="1" ht="15" customHeight="1" x14ac:dyDescent="0.25"/>
    <row r="1109" s="79" customFormat="1" ht="15" customHeight="1" x14ac:dyDescent="0.25"/>
    <row r="1110" s="79" customFormat="1" ht="15" customHeight="1" x14ac:dyDescent="0.25"/>
    <row r="1111" s="79" customFormat="1" ht="15" customHeight="1" x14ac:dyDescent="0.25"/>
    <row r="1112" s="79" customFormat="1" ht="15" customHeight="1" x14ac:dyDescent="0.25"/>
    <row r="1113" s="79" customFormat="1" ht="15" customHeight="1" x14ac:dyDescent="0.25"/>
    <row r="1114" s="79" customFormat="1" ht="15" customHeight="1" x14ac:dyDescent="0.25"/>
    <row r="1115" s="79" customFormat="1" ht="15" customHeight="1" x14ac:dyDescent="0.25"/>
    <row r="1116" s="79" customFormat="1" ht="15" customHeight="1" x14ac:dyDescent="0.25"/>
    <row r="1117" s="79" customFormat="1" ht="15" customHeight="1" x14ac:dyDescent="0.25"/>
    <row r="1118" s="79" customFormat="1" ht="15" customHeight="1" x14ac:dyDescent="0.25"/>
    <row r="1119" s="79" customFormat="1" ht="15" customHeight="1" x14ac:dyDescent="0.25"/>
    <row r="1120" s="79" customFormat="1" ht="15" customHeight="1" x14ac:dyDescent="0.25"/>
    <row r="1121" s="79" customFormat="1" ht="15" customHeight="1" x14ac:dyDescent="0.25"/>
    <row r="1122" s="79" customFormat="1" ht="15" customHeight="1" x14ac:dyDescent="0.25"/>
    <row r="1123" s="79" customFormat="1" ht="15" customHeight="1" x14ac:dyDescent="0.25"/>
    <row r="1124" s="79" customFormat="1" ht="15" customHeight="1" x14ac:dyDescent="0.25"/>
    <row r="1125" s="79" customFormat="1" ht="15" customHeight="1" x14ac:dyDescent="0.25"/>
    <row r="1126" s="79" customFormat="1" ht="15" customHeight="1" x14ac:dyDescent="0.25"/>
    <row r="1127" s="79" customFormat="1" ht="15" customHeight="1" x14ac:dyDescent="0.25"/>
    <row r="1128" s="79" customFormat="1" ht="15" customHeight="1" x14ac:dyDescent="0.25"/>
    <row r="1129" s="79" customFormat="1" ht="15" customHeight="1" x14ac:dyDescent="0.25"/>
    <row r="1130" s="79" customFormat="1" ht="15" customHeight="1" x14ac:dyDescent="0.25"/>
    <row r="1131" s="79" customFormat="1" ht="15" customHeight="1" x14ac:dyDescent="0.25"/>
    <row r="1132" s="79" customFormat="1" ht="15" customHeight="1" x14ac:dyDescent="0.25"/>
    <row r="1133" s="79" customFormat="1" ht="15" customHeight="1" x14ac:dyDescent="0.25"/>
    <row r="1134" s="79" customFormat="1" ht="15" customHeight="1" x14ac:dyDescent="0.25"/>
    <row r="1135" s="79" customFormat="1" ht="15" customHeight="1" x14ac:dyDescent="0.25"/>
    <row r="1136" s="79" customFormat="1" ht="15" customHeight="1" x14ac:dyDescent="0.25"/>
    <row r="1137" s="79" customFormat="1" ht="15" customHeight="1" x14ac:dyDescent="0.25"/>
    <row r="1138" s="79" customFormat="1" ht="15" customHeight="1" x14ac:dyDescent="0.25"/>
    <row r="1139" s="79" customFormat="1" ht="15" customHeight="1" x14ac:dyDescent="0.25"/>
    <row r="1140" s="79" customFormat="1" ht="15" customHeight="1" x14ac:dyDescent="0.25"/>
    <row r="1141" s="79" customFormat="1" ht="15" customHeight="1" x14ac:dyDescent="0.25"/>
    <row r="1142" s="79" customFormat="1" ht="15" customHeight="1" x14ac:dyDescent="0.25"/>
    <row r="1143" s="79" customFormat="1" ht="15" customHeight="1" x14ac:dyDescent="0.25"/>
    <row r="1144" s="79" customFormat="1" ht="15" customHeight="1" x14ac:dyDescent="0.25"/>
    <row r="1145" s="79" customFormat="1" ht="15" customHeight="1" x14ac:dyDescent="0.25"/>
    <row r="1146" s="79" customFormat="1" ht="15" customHeight="1" x14ac:dyDescent="0.25"/>
    <row r="1147" s="79" customFormat="1" ht="15" customHeight="1" x14ac:dyDescent="0.25"/>
    <row r="1148" s="79" customFormat="1" ht="15" customHeight="1" x14ac:dyDescent="0.25"/>
    <row r="1149" s="79" customFormat="1" ht="15" customHeight="1" x14ac:dyDescent="0.25"/>
    <row r="1150" s="79" customFormat="1" ht="15" customHeight="1" x14ac:dyDescent="0.25"/>
    <row r="1151" s="79" customFormat="1" ht="15" customHeight="1" x14ac:dyDescent="0.25"/>
    <row r="1152" s="79" customFormat="1" ht="15" customHeight="1" x14ac:dyDescent="0.25"/>
    <row r="1153" s="79" customFormat="1" ht="15" customHeight="1" x14ac:dyDescent="0.25"/>
    <row r="1154" s="79" customFormat="1" ht="15" customHeight="1" x14ac:dyDescent="0.25"/>
    <row r="1155" s="79" customFormat="1" ht="15" customHeight="1" x14ac:dyDescent="0.25"/>
    <row r="1156" s="79" customFormat="1" ht="15" customHeight="1" x14ac:dyDescent="0.25"/>
    <row r="1157" s="79" customFormat="1" ht="15" customHeight="1" x14ac:dyDescent="0.25"/>
    <row r="1158" s="79" customFormat="1" ht="15" customHeight="1" x14ac:dyDescent="0.25"/>
    <row r="1159" s="79" customFormat="1" ht="15" customHeight="1" x14ac:dyDescent="0.25"/>
    <row r="1160" s="79" customFormat="1" ht="15" customHeight="1" x14ac:dyDescent="0.25"/>
    <row r="1161" s="79" customFormat="1" ht="15" customHeight="1" x14ac:dyDescent="0.25"/>
    <row r="1162" s="79" customFormat="1" ht="15" customHeight="1" x14ac:dyDescent="0.25"/>
    <row r="1163" s="79" customFormat="1" ht="15" customHeight="1" x14ac:dyDescent="0.25"/>
    <row r="1164" s="79" customFormat="1" ht="15" customHeight="1" x14ac:dyDescent="0.25"/>
    <row r="1165" s="79" customFormat="1" ht="15" customHeight="1" x14ac:dyDescent="0.25"/>
    <row r="1166" s="79" customFormat="1" ht="15" customHeight="1" x14ac:dyDescent="0.25"/>
    <row r="1167" s="79" customFormat="1" ht="15" customHeight="1" x14ac:dyDescent="0.25"/>
    <row r="1168" s="79" customFormat="1" ht="15" customHeight="1" x14ac:dyDescent="0.25"/>
    <row r="1169" s="79" customFormat="1" ht="15" customHeight="1" x14ac:dyDescent="0.25"/>
    <row r="1170" s="79" customFormat="1" ht="15" customHeight="1" x14ac:dyDescent="0.25"/>
    <row r="1171" s="79" customFormat="1" ht="15" customHeight="1" x14ac:dyDescent="0.25"/>
    <row r="1172" s="79" customFormat="1" ht="15" customHeight="1" x14ac:dyDescent="0.25"/>
    <row r="1173" s="79" customFormat="1" ht="15" customHeight="1" x14ac:dyDescent="0.25"/>
    <row r="1174" s="79" customFormat="1" ht="15" customHeight="1" x14ac:dyDescent="0.25"/>
    <row r="1175" s="79" customFormat="1" ht="15" customHeight="1" x14ac:dyDescent="0.25"/>
    <row r="1176" s="79" customFormat="1" ht="15" customHeight="1" x14ac:dyDescent="0.25"/>
    <row r="1177" s="79" customFormat="1" ht="15" customHeight="1" x14ac:dyDescent="0.25"/>
    <row r="1178" s="79" customFormat="1" ht="15" customHeight="1" x14ac:dyDescent="0.25"/>
    <row r="1179" s="79" customFormat="1" ht="15" customHeight="1" x14ac:dyDescent="0.25"/>
    <row r="1180" s="79" customFormat="1" ht="15" customHeight="1" x14ac:dyDescent="0.25"/>
    <row r="1181" s="79" customFormat="1" ht="15" customHeight="1" x14ac:dyDescent="0.25"/>
    <row r="1182" s="79" customFormat="1" ht="15" customHeight="1" x14ac:dyDescent="0.25"/>
    <row r="1183" s="79" customFormat="1" ht="15" customHeight="1" x14ac:dyDescent="0.25"/>
    <row r="1184" s="79" customFormat="1" ht="15" customHeight="1" x14ac:dyDescent="0.25"/>
    <row r="1185" s="79" customFormat="1" ht="15" customHeight="1" x14ac:dyDescent="0.25"/>
    <row r="1186" s="79" customFormat="1" ht="15" customHeight="1" x14ac:dyDescent="0.25"/>
    <row r="1187" s="79" customFormat="1" ht="15" customHeight="1" x14ac:dyDescent="0.25"/>
    <row r="1188" s="79" customFormat="1" ht="15" customHeight="1" x14ac:dyDescent="0.25"/>
    <row r="1189" s="79" customFormat="1" ht="15" customHeight="1" x14ac:dyDescent="0.25"/>
    <row r="1190" s="79" customFormat="1" ht="15" customHeight="1" x14ac:dyDescent="0.25"/>
    <row r="1191" s="79" customFormat="1" ht="15" customHeight="1" x14ac:dyDescent="0.25"/>
    <row r="1192" s="79" customFormat="1" ht="15" customHeight="1" x14ac:dyDescent="0.25"/>
    <row r="1193" s="79" customFormat="1" ht="15" customHeight="1" x14ac:dyDescent="0.25"/>
    <row r="1194" s="79" customFormat="1" ht="15" customHeight="1" x14ac:dyDescent="0.25"/>
    <row r="1195" s="79" customFormat="1" ht="15" customHeight="1" x14ac:dyDescent="0.25"/>
    <row r="1196" s="79" customFormat="1" ht="15" customHeight="1" x14ac:dyDescent="0.25"/>
    <row r="1197" s="79" customFormat="1" ht="15" customHeight="1" x14ac:dyDescent="0.25"/>
    <row r="1198" s="79" customFormat="1" ht="15" customHeight="1" x14ac:dyDescent="0.25"/>
    <row r="1199" s="79" customFormat="1" ht="15" customHeight="1" x14ac:dyDescent="0.25"/>
    <row r="1200" s="79" customFormat="1" ht="15" customHeight="1" x14ac:dyDescent="0.25"/>
    <row r="1201" s="79" customFormat="1" ht="15" customHeight="1" x14ac:dyDescent="0.25"/>
    <row r="1202" s="79" customFormat="1" ht="15" customHeight="1" x14ac:dyDescent="0.25"/>
    <row r="1203" s="79" customFormat="1" ht="15" customHeight="1" x14ac:dyDescent="0.25"/>
    <row r="1204" s="79" customFormat="1" ht="15" customHeight="1" x14ac:dyDescent="0.25"/>
    <row r="1205" s="79" customFormat="1" ht="15" customHeight="1" x14ac:dyDescent="0.25"/>
    <row r="1206" s="79" customFormat="1" ht="15" customHeight="1" x14ac:dyDescent="0.25"/>
    <row r="1207" s="79" customFormat="1" ht="15" customHeight="1" x14ac:dyDescent="0.25"/>
    <row r="1208" s="79" customFormat="1" ht="15" customHeight="1" x14ac:dyDescent="0.25"/>
    <row r="1209" s="79" customFormat="1" ht="15" customHeight="1" x14ac:dyDescent="0.25"/>
    <row r="1210" s="79" customFormat="1" ht="15" customHeight="1" x14ac:dyDescent="0.25"/>
    <row r="1211" s="79" customFormat="1" ht="15" customHeight="1" x14ac:dyDescent="0.25"/>
    <row r="1212" s="79" customFormat="1" ht="15" customHeight="1" x14ac:dyDescent="0.25"/>
    <row r="1213" s="79" customFormat="1" ht="15" customHeight="1" x14ac:dyDescent="0.25"/>
    <row r="1214" s="79" customFormat="1" ht="15" customHeight="1" x14ac:dyDescent="0.25"/>
    <row r="1215" s="79" customFormat="1" ht="15" customHeight="1" x14ac:dyDescent="0.25"/>
    <row r="1216" s="79" customFormat="1" ht="15" customHeight="1" x14ac:dyDescent="0.25"/>
    <row r="1217" s="79" customFormat="1" ht="15" customHeight="1" x14ac:dyDescent="0.25"/>
    <row r="1218" s="79" customFormat="1" ht="15" customHeight="1" x14ac:dyDescent="0.25"/>
    <row r="1219" s="79" customFormat="1" ht="15" customHeight="1" x14ac:dyDescent="0.25"/>
    <row r="1220" s="79" customFormat="1" ht="15" customHeight="1" x14ac:dyDescent="0.25"/>
    <row r="1221" s="79" customFormat="1" ht="15" customHeight="1" x14ac:dyDescent="0.25"/>
    <row r="1222" s="79" customFormat="1" ht="15" customHeight="1" x14ac:dyDescent="0.25"/>
    <row r="1223" s="79" customFormat="1" ht="15" customHeight="1" x14ac:dyDescent="0.25"/>
    <row r="1224" s="79" customFormat="1" ht="15" customHeight="1" x14ac:dyDescent="0.25"/>
    <row r="1225" s="79" customFormat="1" ht="15" customHeight="1" x14ac:dyDescent="0.25"/>
    <row r="1226" s="79" customFormat="1" ht="15" customHeight="1" x14ac:dyDescent="0.25"/>
    <row r="1227" s="79" customFormat="1" ht="15" customHeight="1" x14ac:dyDescent="0.25"/>
    <row r="1228" s="79" customFormat="1" ht="15" customHeight="1" x14ac:dyDescent="0.25"/>
    <row r="1229" s="79" customFormat="1" ht="15" customHeight="1" x14ac:dyDescent="0.25"/>
    <row r="1230" s="79" customFormat="1" ht="15" customHeight="1" x14ac:dyDescent="0.25"/>
    <row r="1231" s="79" customFormat="1" ht="15" customHeight="1" x14ac:dyDescent="0.25"/>
    <row r="1232" s="79" customFormat="1" ht="15" customHeight="1" x14ac:dyDescent="0.25"/>
    <row r="1233" s="79" customFormat="1" ht="15" customHeight="1" x14ac:dyDescent="0.25"/>
    <row r="1234" s="79" customFormat="1" ht="15" customHeight="1" x14ac:dyDescent="0.25"/>
    <row r="1235" s="79" customFormat="1" ht="15" customHeight="1" x14ac:dyDescent="0.25"/>
    <row r="1236" s="79" customFormat="1" ht="15" customHeight="1" x14ac:dyDescent="0.25"/>
    <row r="1237" s="79" customFormat="1" ht="15" customHeight="1" x14ac:dyDescent="0.25"/>
    <row r="1238" s="79" customFormat="1" ht="15" customHeight="1" x14ac:dyDescent="0.25"/>
    <row r="1239" s="79" customFormat="1" ht="15" customHeight="1" x14ac:dyDescent="0.25"/>
    <row r="1240" s="79" customFormat="1" ht="15" customHeight="1" x14ac:dyDescent="0.25"/>
    <row r="1241" s="79" customFormat="1" ht="15" customHeight="1" x14ac:dyDescent="0.25"/>
    <row r="1242" s="79" customFormat="1" ht="15" customHeight="1" x14ac:dyDescent="0.25"/>
    <row r="1243" s="79" customFormat="1" ht="15" customHeight="1" x14ac:dyDescent="0.25"/>
    <row r="1244" s="79" customFormat="1" ht="15" customHeight="1" x14ac:dyDescent="0.25"/>
    <row r="1245" s="79" customFormat="1" ht="15" customHeight="1" x14ac:dyDescent="0.25"/>
    <row r="1246" s="79" customFormat="1" ht="15" customHeight="1" x14ac:dyDescent="0.25"/>
    <row r="1247" s="79" customFormat="1" ht="15" customHeight="1" x14ac:dyDescent="0.25"/>
    <row r="1248" s="79" customFormat="1" ht="15" customHeight="1" x14ac:dyDescent="0.25"/>
    <row r="1249" s="79" customFormat="1" ht="15" customHeight="1" x14ac:dyDescent="0.25"/>
    <row r="1250" s="79" customFormat="1" ht="15" customHeight="1" x14ac:dyDescent="0.25"/>
    <row r="1251" s="79" customFormat="1" ht="15" customHeight="1" x14ac:dyDescent="0.25"/>
    <row r="1252" s="79" customFormat="1" ht="15" customHeight="1" x14ac:dyDescent="0.25"/>
    <row r="1253" s="79" customFormat="1" ht="15" customHeight="1" x14ac:dyDescent="0.25"/>
    <row r="1254" s="79" customFormat="1" ht="15" customHeight="1" x14ac:dyDescent="0.25"/>
    <row r="1255" s="79" customFormat="1" ht="15" customHeight="1" x14ac:dyDescent="0.25"/>
    <row r="1256" s="79" customFormat="1" ht="15" customHeight="1" x14ac:dyDescent="0.25"/>
    <row r="1257" s="79" customFormat="1" ht="15" customHeight="1" x14ac:dyDescent="0.25"/>
    <row r="1258" s="79" customFormat="1" ht="15" customHeight="1" x14ac:dyDescent="0.25"/>
    <row r="1259" s="79" customFormat="1" ht="15" customHeight="1" x14ac:dyDescent="0.25"/>
    <row r="1260" s="79" customFormat="1" ht="15" customHeight="1" x14ac:dyDescent="0.25"/>
    <row r="1261" s="79" customFormat="1" ht="15" customHeight="1" x14ac:dyDescent="0.25"/>
    <row r="1262" s="79" customFormat="1" ht="15" customHeight="1" x14ac:dyDescent="0.25"/>
    <row r="1263" s="79" customFormat="1" ht="15" customHeight="1" x14ac:dyDescent="0.25"/>
    <row r="1264" s="79" customFormat="1" ht="15" customHeight="1" x14ac:dyDescent="0.25"/>
    <row r="1265" s="79" customFormat="1" ht="15" customHeight="1" x14ac:dyDescent="0.25"/>
    <row r="1266" s="79" customFormat="1" ht="15" customHeight="1" x14ac:dyDescent="0.25"/>
    <row r="1267" s="79" customFormat="1" ht="15" customHeight="1" x14ac:dyDescent="0.25"/>
    <row r="1268" s="79" customFormat="1" ht="15" customHeight="1" x14ac:dyDescent="0.25"/>
    <row r="1269" s="79" customFormat="1" ht="15" customHeight="1" x14ac:dyDescent="0.25"/>
    <row r="1270" s="79" customFormat="1" ht="15" customHeight="1" x14ac:dyDescent="0.25"/>
    <row r="1271" s="79" customFormat="1" ht="15" customHeight="1" x14ac:dyDescent="0.25"/>
    <row r="1272" s="79" customFormat="1" ht="15" customHeight="1" x14ac:dyDescent="0.25"/>
    <row r="1273" s="79" customFormat="1" ht="15" customHeight="1" x14ac:dyDescent="0.25"/>
    <row r="1274" s="79" customFormat="1" ht="15" customHeight="1" x14ac:dyDescent="0.25"/>
    <row r="1275" s="79" customFormat="1" ht="15" customHeight="1" x14ac:dyDescent="0.25"/>
    <row r="1276" s="79" customFormat="1" ht="15" customHeight="1" x14ac:dyDescent="0.25"/>
    <row r="1277" s="79" customFormat="1" ht="15" customHeight="1" x14ac:dyDescent="0.25"/>
    <row r="1278" s="79" customFormat="1" ht="15" customHeight="1" x14ac:dyDescent="0.25"/>
    <row r="1279" s="79" customFormat="1" ht="15" customHeight="1" x14ac:dyDescent="0.25"/>
    <row r="1280" s="79" customFormat="1" ht="15" customHeight="1" x14ac:dyDescent="0.25"/>
    <row r="1281" s="79" customFormat="1" ht="15" customHeight="1" x14ac:dyDescent="0.25"/>
    <row r="1282" s="79" customFormat="1" ht="15" customHeight="1" x14ac:dyDescent="0.25"/>
    <row r="1283" s="79" customFormat="1" ht="15" customHeight="1" x14ac:dyDescent="0.25"/>
    <row r="1284" s="79" customFormat="1" ht="15" customHeight="1" x14ac:dyDescent="0.25"/>
    <row r="1285" s="79" customFormat="1" ht="15" customHeight="1" x14ac:dyDescent="0.25"/>
    <row r="1286" s="79" customFormat="1" ht="15" customHeight="1" x14ac:dyDescent="0.25"/>
    <row r="1287" s="79" customFormat="1" ht="15" customHeight="1" x14ac:dyDescent="0.25"/>
    <row r="1288" s="79" customFormat="1" ht="15" customHeight="1" x14ac:dyDescent="0.25"/>
    <row r="1289" s="79" customFormat="1" ht="15" customHeight="1" x14ac:dyDescent="0.25"/>
    <row r="1290" s="79" customFormat="1" ht="15" customHeight="1" x14ac:dyDescent="0.25"/>
    <row r="1291" s="79" customFormat="1" ht="15" customHeight="1" x14ac:dyDescent="0.25"/>
    <row r="1292" s="79" customFormat="1" ht="15" customHeight="1" x14ac:dyDescent="0.25"/>
    <row r="1293" s="79" customFormat="1" ht="15" customHeight="1" x14ac:dyDescent="0.25"/>
    <row r="1294" s="79" customFormat="1" ht="15" customHeight="1" x14ac:dyDescent="0.25"/>
    <row r="1295" s="79" customFormat="1" ht="15" customHeight="1" x14ac:dyDescent="0.25"/>
    <row r="1296" s="79" customFormat="1" ht="15" customHeight="1" x14ac:dyDescent="0.25"/>
    <row r="1297" s="79" customFormat="1" ht="15" customHeight="1" x14ac:dyDescent="0.25"/>
    <row r="1298" s="79" customFormat="1" ht="15" customHeight="1" x14ac:dyDescent="0.25"/>
    <row r="1299" s="79" customFormat="1" ht="15" customHeight="1" x14ac:dyDescent="0.25"/>
    <row r="1300" s="79" customFormat="1" ht="15" customHeight="1" x14ac:dyDescent="0.25"/>
    <row r="1301" s="79" customFormat="1" ht="15" customHeight="1" x14ac:dyDescent="0.25"/>
    <row r="1302" s="79" customFormat="1" ht="15" customHeight="1" x14ac:dyDescent="0.25"/>
    <row r="1303" s="79" customFormat="1" ht="15" customHeight="1" x14ac:dyDescent="0.25"/>
    <row r="1304" s="79" customFormat="1" ht="15" customHeight="1" x14ac:dyDescent="0.25"/>
    <row r="1305" s="79" customFormat="1" ht="15" customHeight="1" x14ac:dyDescent="0.25"/>
    <row r="1306" s="79" customFormat="1" ht="15" customHeight="1" x14ac:dyDescent="0.25"/>
    <row r="1307" s="79" customFormat="1" ht="15" customHeight="1" x14ac:dyDescent="0.25"/>
    <row r="1308" s="79" customFormat="1" ht="15" customHeight="1" x14ac:dyDescent="0.25"/>
    <row r="1309" s="79" customFormat="1" ht="15" customHeight="1" x14ac:dyDescent="0.25"/>
    <row r="1310" s="79" customFormat="1" ht="15" customHeight="1" x14ac:dyDescent="0.25"/>
    <row r="1311" s="79" customFormat="1" ht="15" customHeight="1" x14ac:dyDescent="0.25"/>
    <row r="1312" s="79" customFormat="1" ht="15" customHeight="1" x14ac:dyDescent="0.25"/>
    <row r="1313" s="79" customFormat="1" ht="15" customHeight="1" x14ac:dyDescent="0.25"/>
    <row r="1314" s="79" customFormat="1" ht="15" customHeight="1" x14ac:dyDescent="0.25"/>
    <row r="1315" s="79" customFormat="1" ht="15" customHeight="1" x14ac:dyDescent="0.25"/>
    <row r="1316" s="79" customFormat="1" ht="15" customHeight="1" x14ac:dyDescent="0.25"/>
    <row r="1317" s="79" customFormat="1" ht="15" customHeight="1" x14ac:dyDescent="0.25"/>
    <row r="1318" s="79" customFormat="1" ht="15" customHeight="1" x14ac:dyDescent="0.25"/>
    <row r="1319" s="79" customFormat="1" ht="15" customHeight="1" x14ac:dyDescent="0.25"/>
    <row r="1320" s="79" customFormat="1" ht="15" customHeight="1" x14ac:dyDescent="0.25"/>
    <row r="1321" s="79" customFormat="1" ht="15" customHeight="1" x14ac:dyDescent="0.25"/>
    <row r="1322" s="79" customFormat="1" ht="15" customHeight="1" x14ac:dyDescent="0.25"/>
    <row r="1323" s="79" customFormat="1" ht="15" customHeight="1" x14ac:dyDescent="0.25"/>
    <row r="1324" s="79" customFormat="1" ht="15" customHeight="1" x14ac:dyDescent="0.25"/>
    <row r="1325" s="79" customFormat="1" ht="15" customHeight="1" x14ac:dyDescent="0.25"/>
    <row r="1326" s="79" customFormat="1" ht="15" customHeight="1" x14ac:dyDescent="0.25"/>
    <row r="1327" s="79" customFormat="1" ht="15" customHeight="1" x14ac:dyDescent="0.25"/>
    <row r="1328" s="79" customFormat="1" ht="15" customHeight="1" x14ac:dyDescent="0.25"/>
    <row r="1329" s="79" customFormat="1" ht="15" customHeight="1" x14ac:dyDescent="0.25"/>
    <row r="1330" s="79" customFormat="1" ht="15" customHeight="1" x14ac:dyDescent="0.25"/>
    <row r="1331" s="79" customFormat="1" ht="15" customHeight="1" x14ac:dyDescent="0.25"/>
    <row r="1332" s="79" customFormat="1" ht="15" customHeight="1" x14ac:dyDescent="0.25"/>
    <row r="1333" s="79" customFormat="1" ht="15" customHeight="1" x14ac:dyDescent="0.25"/>
    <row r="1334" s="79" customFormat="1" ht="15" customHeight="1" x14ac:dyDescent="0.25"/>
    <row r="1335" s="79" customFormat="1" ht="15" customHeight="1" x14ac:dyDescent="0.25"/>
    <row r="1336" s="79" customFormat="1" ht="15" customHeight="1" x14ac:dyDescent="0.25"/>
    <row r="1337" s="79" customFormat="1" ht="15" customHeight="1" x14ac:dyDescent="0.25"/>
    <row r="1338" s="79" customFormat="1" ht="15" customHeight="1" x14ac:dyDescent="0.25"/>
    <row r="1339" s="79" customFormat="1" ht="15" customHeight="1" x14ac:dyDescent="0.25"/>
    <row r="1340" s="79" customFormat="1" ht="15" customHeight="1" x14ac:dyDescent="0.25"/>
    <row r="1341" s="79" customFormat="1" ht="15" customHeight="1" x14ac:dyDescent="0.25"/>
    <row r="1342" s="79" customFormat="1" ht="15" customHeight="1" x14ac:dyDescent="0.25"/>
    <row r="1343" s="79" customFormat="1" ht="15" customHeight="1" x14ac:dyDescent="0.25"/>
    <row r="1344" s="79" customFormat="1" ht="15" customHeight="1" x14ac:dyDescent="0.25"/>
    <row r="1345" s="79" customFormat="1" ht="15" customHeight="1" x14ac:dyDescent="0.25"/>
    <row r="1346" s="79" customFormat="1" ht="15" customHeight="1" x14ac:dyDescent="0.25"/>
    <row r="1347" s="79" customFormat="1" ht="15" customHeight="1" x14ac:dyDescent="0.25"/>
    <row r="1348" s="79" customFormat="1" ht="15" customHeight="1" x14ac:dyDescent="0.25"/>
    <row r="1349" s="79" customFormat="1" ht="15" customHeight="1" x14ac:dyDescent="0.25"/>
    <row r="1350" s="79" customFormat="1" ht="15" customHeight="1" x14ac:dyDescent="0.25"/>
    <row r="1351" s="79" customFormat="1" ht="15" customHeight="1" x14ac:dyDescent="0.25"/>
    <row r="1352" s="79" customFormat="1" ht="15" customHeight="1" x14ac:dyDescent="0.25"/>
    <row r="1353" s="79" customFormat="1" ht="15" customHeight="1" x14ac:dyDescent="0.25"/>
    <row r="1354" s="79" customFormat="1" ht="15" customHeight="1" x14ac:dyDescent="0.25"/>
    <row r="1355" s="79" customFormat="1" ht="15" customHeight="1" x14ac:dyDescent="0.25"/>
    <row r="1356" s="79" customFormat="1" ht="15" customHeight="1" x14ac:dyDescent="0.25"/>
    <row r="1357" s="79" customFormat="1" ht="15" customHeight="1" x14ac:dyDescent="0.25"/>
    <row r="1358" s="79" customFormat="1" ht="15" customHeight="1" x14ac:dyDescent="0.25"/>
    <row r="1359" s="79" customFormat="1" ht="15" customHeight="1" x14ac:dyDescent="0.25"/>
    <row r="1360" s="79" customFormat="1" ht="15" customHeight="1" x14ac:dyDescent="0.25"/>
    <row r="1361" s="79" customFormat="1" ht="15" customHeight="1" x14ac:dyDescent="0.25"/>
    <row r="1362" s="79" customFormat="1" ht="15" customHeight="1" x14ac:dyDescent="0.25"/>
    <row r="1363" s="79" customFormat="1" ht="15" customHeight="1" x14ac:dyDescent="0.25"/>
    <row r="1364" s="79" customFormat="1" ht="15" customHeight="1" x14ac:dyDescent="0.25"/>
    <row r="1365" s="79" customFormat="1" ht="15" customHeight="1" x14ac:dyDescent="0.25"/>
    <row r="1366" s="79" customFormat="1" ht="15" customHeight="1" x14ac:dyDescent="0.25"/>
    <row r="1367" s="79" customFormat="1" ht="15" customHeight="1" x14ac:dyDescent="0.25"/>
    <row r="1368" s="79" customFormat="1" ht="15" customHeight="1" x14ac:dyDescent="0.25"/>
    <row r="1369" s="79" customFormat="1" ht="15" customHeight="1" x14ac:dyDescent="0.25"/>
    <row r="1370" s="79" customFormat="1" ht="15" customHeight="1" x14ac:dyDescent="0.25"/>
    <row r="1371" s="79" customFormat="1" ht="15" customHeight="1" x14ac:dyDescent="0.25"/>
    <row r="1372" s="79" customFormat="1" ht="15" customHeight="1" x14ac:dyDescent="0.25"/>
    <row r="1373" s="79" customFormat="1" ht="15" customHeight="1" x14ac:dyDescent="0.25"/>
    <row r="1374" s="79" customFormat="1" ht="15" customHeight="1" x14ac:dyDescent="0.25"/>
    <row r="1375" s="79" customFormat="1" ht="15" customHeight="1" x14ac:dyDescent="0.25"/>
    <row r="1376" s="79" customFormat="1" ht="15" customHeight="1" x14ac:dyDescent="0.25"/>
    <row r="1377" s="79" customFormat="1" ht="15" customHeight="1" x14ac:dyDescent="0.25"/>
    <row r="1378" s="79" customFormat="1" ht="15" customHeight="1" x14ac:dyDescent="0.25"/>
    <row r="1379" s="79" customFormat="1" ht="15" customHeight="1" x14ac:dyDescent="0.25"/>
    <row r="1380" s="79" customFormat="1" ht="15" customHeight="1" x14ac:dyDescent="0.25"/>
    <row r="1381" s="79" customFormat="1" ht="15" customHeight="1" x14ac:dyDescent="0.25"/>
    <row r="1382" s="79" customFormat="1" ht="15" customHeight="1" x14ac:dyDescent="0.25"/>
    <row r="1383" s="79" customFormat="1" ht="15" customHeight="1" x14ac:dyDescent="0.25"/>
    <row r="1384" s="79" customFormat="1" ht="15" customHeight="1" x14ac:dyDescent="0.25"/>
    <row r="1385" s="79" customFormat="1" ht="15" customHeight="1" x14ac:dyDescent="0.25"/>
    <row r="1386" s="79" customFormat="1" ht="15" customHeight="1" x14ac:dyDescent="0.25"/>
    <row r="1387" s="79" customFormat="1" ht="15" customHeight="1" x14ac:dyDescent="0.25"/>
    <row r="1388" s="79" customFormat="1" ht="15" customHeight="1" x14ac:dyDescent="0.25"/>
    <row r="1389" s="79" customFormat="1" ht="15" customHeight="1" x14ac:dyDescent="0.25"/>
    <row r="1390" s="79" customFormat="1" ht="15" customHeight="1" x14ac:dyDescent="0.25"/>
    <row r="1391" s="79" customFormat="1" ht="15" customHeight="1" x14ac:dyDescent="0.25"/>
    <row r="1392" s="79" customFormat="1" ht="15" customHeight="1" x14ac:dyDescent="0.25"/>
    <row r="1393" s="79" customFormat="1" ht="15" customHeight="1" x14ac:dyDescent="0.25"/>
    <row r="1394" s="79" customFormat="1" ht="15" customHeight="1" x14ac:dyDescent="0.25"/>
    <row r="1395" s="79" customFormat="1" ht="15" customHeight="1" x14ac:dyDescent="0.25"/>
    <row r="1396" s="79" customFormat="1" ht="15" customHeight="1" x14ac:dyDescent="0.25"/>
    <row r="1397" s="79" customFormat="1" ht="15" customHeight="1" x14ac:dyDescent="0.25"/>
    <row r="1398" s="79" customFormat="1" ht="15" customHeight="1" x14ac:dyDescent="0.25"/>
    <row r="1399" s="79" customFormat="1" ht="15" customHeight="1" x14ac:dyDescent="0.25"/>
    <row r="1400" s="79" customFormat="1" ht="15" customHeight="1" x14ac:dyDescent="0.25"/>
    <row r="1401" s="79" customFormat="1" ht="15" customHeight="1" x14ac:dyDescent="0.25"/>
    <row r="1402" s="79" customFormat="1" ht="15" customHeight="1" x14ac:dyDescent="0.25"/>
    <row r="1403" s="79" customFormat="1" ht="15" customHeight="1" x14ac:dyDescent="0.25"/>
    <row r="1404" s="79" customFormat="1" ht="15" customHeight="1" x14ac:dyDescent="0.25"/>
    <row r="1405" s="79" customFormat="1" ht="15" customHeight="1" x14ac:dyDescent="0.25"/>
    <row r="1406" s="79" customFormat="1" ht="15" customHeight="1" x14ac:dyDescent="0.25"/>
    <row r="1407" s="79" customFormat="1" ht="15" customHeight="1" x14ac:dyDescent="0.25"/>
    <row r="1408" s="79" customFormat="1" ht="15" customHeight="1" x14ac:dyDescent="0.25"/>
    <row r="1409" s="79" customFormat="1" ht="15" customHeight="1" x14ac:dyDescent="0.25"/>
    <row r="1410" s="79" customFormat="1" ht="15" customHeight="1" x14ac:dyDescent="0.25"/>
    <row r="1411" s="79" customFormat="1" ht="15" customHeight="1" x14ac:dyDescent="0.25"/>
    <row r="1412" s="79" customFormat="1" ht="15" customHeight="1" x14ac:dyDescent="0.25"/>
    <row r="1413" s="79" customFormat="1" ht="15" customHeight="1" x14ac:dyDescent="0.25"/>
    <row r="1414" s="79" customFormat="1" ht="15" customHeight="1" x14ac:dyDescent="0.25"/>
    <row r="1415" s="79" customFormat="1" ht="15" customHeight="1" x14ac:dyDescent="0.25"/>
    <row r="1416" s="79" customFormat="1" ht="15" customHeight="1" x14ac:dyDescent="0.25"/>
    <row r="1417" s="79" customFormat="1" ht="15" customHeight="1" x14ac:dyDescent="0.25"/>
    <row r="1418" s="79" customFormat="1" ht="15" customHeight="1" x14ac:dyDescent="0.25"/>
    <row r="1419" s="79" customFormat="1" ht="15" customHeight="1" x14ac:dyDescent="0.25"/>
    <row r="1420" s="79" customFormat="1" ht="15" customHeight="1" x14ac:dyDescent="0.25"/>
    <row r="1421" s="79" customFormat="1" ht="15" customHeight="1" x14ac:dyDescent="0.25"/>
    <row r="1422" s="79" customFormat="1" ht="15" customHeight="1" x14ac:dyDescent="0.25"/>
    <row r="1423" s="79" customFormat="1" ht="15" customHeight="1" x14ac:dyDescent="0.25"/>
    <row r="1424" s="79" customFormat="1" ht="15" customHeight="1" x14ac:dyDescent="0.25"/>
    <row r="1425" s="79" customFormat="1" ht="15" customHeight="1" x14ac:dyDescent="0.25"/>
    <row r="1426" s="79" customFormat="1" ht="15" customHeight="1" x14ac:dyDescent="0.25"/>
    <row r="1427" s="79" customFormat="1" ht="15" customHeight="1" x14ac:dyDescent="0.25"/>
    <row r="1428" s="79" customFormat="1" ht="15" customHeight="1" x14ac:dyDescent="0.25"/>
    <row r="1429" s="79" customFormat="1" ht="15" customHeight="1" x14ac:dyDescent="0.25"/>
    <row r="1430" s="79" customFormat="1" ht="15" customHeight="1" x14ac:dyDescent="0.25"/>
    <row r="1431" s="79" customFormat="1" ht="15" customHeight="1" x14ac:dyDescent="0.25"/>
    <row r="1432" s="79" customFormat="1" ht="15" customHeight="1" x14ac:dyDescent="0.25"/>
    <row r="1433" s="79" customFormat="1" ht="15" customHeight="1" x14ac:dyDescent="0.25"/>
    <row r="1434" s="79" customFormat="1" ht="15" customHeight="1" x14ac:dyDescent="0.25"/>
    <row r="1435" s="79" customFormat="1" ht="15" customHeight="1" x14ac:dyDescent="0.25"/>
    <row r="1436" s="79" customFormat="1" ht="15" customHeight="1" x14ac:dyDescent="0.25"/>
    <row r="1437" s="79" customFormat="1" ht="15" customHeight="1" x14ac:dyDescent="0.25"/>
    <row r="1438" s="79" customFormat="1" ht="15" customHeight="1" x14ac:dyDescent="0.25"/>
    <row r="1439" s="79" customFormat="1" ht="15" customHeight="1" x14ac:dyDescent="0.25"/>
    <row r="1440" s="79" customFormat="1" ht="15" customHeight="1" x14ac:dyDescent="0.25"/>
    <row r="1441" s="79" customFormat="1" ht="15" customHeight="1" x14ac:dyDescent="0.25"/>
    <row r="1442" s="79" customFormat="1" ht="15" customHeight="1" x14ac:dyDescent="0.25"/>
    <row r="1443" s="79" customFormat="1" ht="15" customHeight="1" x14ac:dyDescent="0.25"/>
    <row r="1444" s="79" customFormat="1" ht="15" customHeight="1" x14ac:dyDescent="0.25"/>
    <row r="1445" s="79" customFormat="1" ht="15" customHeight="1" x14ac:dyDescent="0.25"/>
    <row r="1446" s="79" customFormat="1" ht="15" customHeight="1" x14ac:dyDescent="0.25"/>
    <row r="1447" s="79" customFormat="1" ht="15" customHeight="1" x14ac:dyDescent="0.25"/>
    <row r="1448" s="79" customFormat="1" ht="15" customHeight="1" x14ac:dyDescent="0.25"/>
    <row r="1449" s="79" customFormat="1" ht="15" customHeight="1" x14ac:dyDescent="0.25"/>
    <row r="1450" s="79" customFormat="1" ht="15" customHeight="1" x14ac:dyDescent="0.25"/>
    <row r="1451" s="79" customFormat="1" ht="15" customHeight="1" x14ac:dyDescent="0.25"/>
    <row r="1452" s="79" customFormat="1" ht="15" customHeight="1" x14ac:dyDescent="0.25"/>
    <row r="1453" s="79" customFormat="1" ht="15" customHeight="1" x14ac:dyDescent="0.25"/>
    <row r="1454" s="79" customFormat="1" ht="15" customHeight="1" x14ac:dyDescent="0.25"/>
    <row r="1455" s="79" customFormat="1" ht="15" customHeight="1" x14ac:dyDescent="0.25"/>
    <row r="1456" s="79" customFormat="1" ht="15" customHeight="1" x14ac:dyDescent="0.25"/>
    <row r="1457" s="79" customFormat="1" ht="15" customHeight="1" x14ac:dyDescent="0.25"/>
    <row r="1458" s="79" customFormat="1" ht="15" customHeight="1" x14ac:dyDescent="0.25"/>
    <row r="1459" s="79" customFormat="1" ht="15" customHeight="1" x14ac:dyDescent="0.25"/>
    <row r="1460" s="79" customFormat="1" ht="15" customHeight="1" x14ac:dyDescent="0.25"/>
    <row r="1461" s="79" customFormat="1" ht="15" customHeight="1" x14ac:dyDescent="0.25"/>
    <row r="1462" s="79" customFormat="1" ht="15" customHeight="1" x14ac:dyDescent="0.25"/>
    <row r="1463" s="79" customFormat="1" ht="15" customHeight="1" x14ac:dyDescent="0.25"/>
    <row r="1464" s="79" customFormat="1" ht="15" customHeight="1" x14ac:dyDescent="0.25"/>
    <row r="1465" s="79" customFormat="1" ht="15" customHeight="1" x14ac:dyDescent="0.25"/>
    <row r="1466" s="79" customFormat="1" ht="15" customHeight="1" x14ac:dyDescent="0.25"/>
    <row r="1467" s="79" customFormat="1" ht="15" customHeight="1" x14ac:dyDescent="0.25"/>
    <row r="1468" s="79" customFormat="1" ht="15" customHeight="1" x14ac:dyDescent="0.25"/>
    <row r="1469" s="79" customFormat="1" ht="15" customHeight="1" x14ac:dyDescent="0.25"/>
    <row r="1470" s="79" customFormat="1" ht="15" customHeight="1" x14ac:dyDescent="0.25"/>
    <row r="1471" s="79" customFormat="1" ht="15" customHeight="1" x14ac:dyDescent="0.25"/>
    <row r="1472" s="79" customFormat="1" ht="15" customHeight="1" x14ac:dyDescent="0.25"/>
    <row r="1473" s="79" customFormat="1" ht="15" customHeight="1" x14ac:dyDescent="0.25"/>
    <row r="1474" s="79" customFormat="1" ht="15" customHeight="1" x14ac:dyDescent="0.25"/>
    <row r="1475" s="79" customFormat="1" ht="15" customHeight="1" x14ac:dyDescent="0.25"/>
    <row r="1476" s="79" customFormat="1" ht="15" customHeight="1" x14ac:dyDescent="0.25"/>
    <row r="1477" s="79" customFormat="1" ht="15" customHeight="1" x14ac:dyDescent="0.25"/>
    <row r="1478" s="79" customFormat="1" ht="15" customHeight="1" x14ac:dyDescent="0.25"/>
    <row r="1479" s="79" customFormat="1" ht="15" customHeight="1" x14ac:dyDescent="0.25"/>
    <row r="1480" s="79" customFormat="1" ht="15" customHeight="1" x14ac:dyDescent="0.25"/>
    <row r="1481" s="79" customFormat="1" ht="15" customHeight="1" x14ac:dyDescent="0.25"/>
    <row r="1482" s="79" customFormat="1" ht="15" customHeight="1" x14ac:dyDescent="0.25"/>
    <row r="1483" s="79" customFormat="1" ht="15" customHeight="1" x14ac:dyDescent="0.25"/>
    <row r="1484" s="79" customFormat="1" ht="15" customHeight="1" x14ac:dyDescent="0.25"/>
    <row r="1485" s="79" customFormat="1" ht="15" customHeight="1" x14ac:dyDescent="0.25"/>
    <row r="1486" s="79" customFormat="1" ht="15" customHeight="1" x14ac:dyDescent="0.25"/>
    <row r="1487" s="79" customFormat="1" ht="15" customHeight="1" x14ac:dyDescent="0.25"/>
    <row r="1488" s="79" customFormat="1" ht="15" customHeight="1" x14ac:dyDescent="0.25"/>
    <row r="1489" s="79" customFormat="1" ht="15" customHeight="1" x14ac:dyDescent="0.25"/>
    <row r="1490" s="79" customFormat="1" ht="15" customHeight="1" x14ac:dyDescent="0.25"/>
    <row r="1491" s="79" customFormat="1" ht="15" customHeight="1" x14ac:dyDescent="0.25"/>
    <row r="1492" s="79" customFormat="1" ht="15" customHeight="1" x14ac:dyDescent="0.25"/>
    <row r="1493" s="79" customFormat="1" ht="15" customHeight="1" x14ac:dyDescent="0.25"/>
    <row r="1494" s="79" customFormat="1" ht="15" customHeight="1" x14ac:dyDescent="0.25"/>
    <row r="1495" s="79" customFormat="1" ht="15" customHeight="1" x14ac:dyDescent="0.25"/>
    <row r="1496" s="79" customFormat="1" ht="15" customHeight="1" x14ac:dyDescent="0.25"/>
    <row r="1497" s="79" customFormat="1" ht="15" customHeight="1" x14ac:dyDescent="0.25"/>
    <row r="1498" s="79" customFormat="1" ht="15" customHeight="1" x14ac:dyDescent="0.25"/>
    <row r="1499" s="79" customFormat="1" ht="15" customHeight="1" x14ac:dyDescent="0.25"/>
    <row r="1500" s="79" customFormat="1" ht="15" customHeight="1" x14ac:dyDescent="0.25"/>
    <row r="1501" s="79" customFormat="1" ht="15" customHeight="1" x14ac:dyDescent="0.25"/>
    <row r="1502" s="79" customFormat="1" ht="15" customHeight="1" x14ac:dyDescent="0.25"/>
    <row r="1503" s="79" customFormat="1" ht="15" customHeight="1" x14ac:dyDescent="0.25"/>
    <row r="1504" s="79" customFormat="1" ht="15" customHeight="1" x14ac:dyDescent="0.25"/>
    <row r="1505" s="79" customFormat="1" ht="15" customHeight="1" x14ac:dyDescent="0.25"/>
    <row r="1506" s="79" customFormat="1" ht="15" customHeight="1" x14ac:dyDescent="0.25"/>
    <row r="1507" s="79" customFormat="1" ht="15" customHeight="1" x14ac:dyDescent="0.25"/>
    <row r="1508" s="79" customFormat="1" ht="15" customHeight="1" x14ac:dyDescent="0.25"/>
    <row r="1509" s="79" customFormat="1" ht="15" customHeight="1" x14ac:dyDescent="0.25"/>
    <row r="1510" s="79" customFormat="1" ht="15" customHeight="1" x14ac:dyDescent="0.25"/>
    <row r="1511" s="79" customFormat="1" ht="15" customHeight="1" x14ac:dyDescent="0.25"/>
    <row r="1512" s="79" customFormat="1" ht="15" customHeight="1" x14ac:dyDescent="0.25"/>
    <row r="1513" s="79" customFormat="1" ht="15" customHeight="1" x14ac:dyDescent="0.25"/>
    <row r="1514" s="79" customFormat="1" ht="15" customHeight="1" x14ac:dyDescent="0.25"/>
  </sheetData>
  <sheetProtection selectLockedCells="1"/>
  <mergeCells count="5">
    <mergeCell ref="C2:AG2"/>
    <mergeCell ref="AH2:AH3"/>
    <mergeCell ref="AI2:AL3"/>
    <mergeCell ref="AM2:AP3"/>
    <mergeCell ref="AQ2:AR3"/>
  </mergeCells>
  <conditionalFormatting sqref="C17:C18 C9:AG11 C5:AG7">
    <cfRule type="expression" priority="1830" stopIfTrue="1">
      <formula>C5=""</formula>
    </cfRule>
    <cfRule type="expression" dxfId="10779" priority="1831" stopIfTrue="1">
      <formula>C5=CléPersonnalisée2</formula>
    </cfRule>
    <cfRule type="expression" dxfId="10778" priority="1832" stopIfTrue="1">
      <formula>C5=CléPersonnalisée1</formula>
    </cfRule>
    <cfRule type="expression" dxfId="10777" priority="1833" stopIfTrue="1">
      <formula>C5=CléMaladie</formula>
    </cfRule>
    <cfRule type="expression" dxfId="10776" priority="1834" stopIfTrue="1">
      <formula>C5=CléPersonnelle</formula>
    </cfRule>
    <cfRule type="expression" dxfId="10775" priority="1835" stopIfTrue="1">
      <formula>C5=CléCongés</formula>
    </cfRule>
  </conditionalFormatting>
  <conditionalFormatting sqref="AH5:AH6 AH9:AH11">
    <cfRule type="dataBar" priority="1836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{8A788A24-ED3F-4701-AF57-606C89BEA520}</x14:id>
        </ext>
      </extLst>
    </cfRule>
  </conditionalFormatting>
  <conditionalFormatting sqref="AI5:AL6 AI9:AL11">
    <cfRule type="expression" priority="1824" stopIfTrue="1">
      <formula>AI5=""</formula>
    </cfRule>
    <cfRule type="expression" dxfId="10774" priority="1825" stopIfTrue="1">
      <formula>AI5=CléPersonnalisée2</formula>
    </cfRule>
    <cfRule type="expression" dxfId="10773" priority="1826" stopIfTrue="1">
      <formula>AI5=CléPersonnalisée1</formula>
    </cfRule>
    <cfRule type="expression" dxfId="10772" priority="1827" stopIfTrue="1">
      <formula>AI5=CléMaladie</formula>
    </cfRule>
    <cfRule type="expression" dxfId="10771" priority="1828" stopIfTrue="1">
      <formula>AI5=CléPersonnelle</formula>
    </cfRule>
    <cfRule type="expression" dxfId="10770" priority="1829" stopIfTrue="1">
      <formula>AI5=CléCongés</formula>
    </cfRule>
  </conditionalFormatting>
  <conditionalFormatting sqref="AM5:AP6 AM9:AP10">
    <cfRule type="expression" priority="1818" stopIfTrue="1">
      <formula>AM5=""</formula>
    </cfRule>
    <cfRule type="expression" dxfId="10769" priority="1819" stopIfTrue="1">
      <formula>AM5=CléPersonnalisée2</formula>
    </cfRule>
    <cfRule type="expression" dxfId="10768" priority="1820" stopIfTrue="1">
      <formula>AM5=CléPersonnalisée1</formula>
    </cfRule>
    <cfRule type="expression" dxfId="10767" priority="1821" stopIfTrue="1">
      <formula>AM5=CléMaladie</formula>
    </cfRule>
    <cfRule type="expression" dxfId="10766" priority="1822" stopIfTrue="1">
      <formula>AM5=CléPersonnelle</formula>
    </cfRule>
    <cfRule type="expression" dxfId="10765" priority="1823" stopIfTrue="1">
      <formula>AM5=CléCongés</formula>
    </cfRule>
  </conditionalFormatting>
  <conditionalFormatting sqref="AQ5:AR6 AQ9:AR10 AQ32:AR32 AQ44:AR44">
    <cfRule type="expression" priority="1812" stopIfTrue="1">
      <formula>AQ5=""</formula>
    </cfRule>
    <cfRule type="expression" dxfId="10764" priority="1813" stopIfTrue="1">
      <formula>AQ5=CléPersonnalisée2</formula>
    </cfRule>
    <cfRule type="expression" dxfId="10763" priority="1814" stopIfTrue="1">
      <formula>AQ5=CléPersonnalisée1</formula>
    </cfRule>
    <cfRule type="expression" dxfId="10762" priority="1815" stopIfTrue="1">
      <formula>AQ5=CléMaladie</formula>
    </cfRule>
    <cfRule type="expression" dxfId="10761" priority="1816" stopIfTrue="1">
      <formula>AQ5=CléPersonnelle</formula>
    </cfRule>
    <cfRule type="expression" dxfId="10760" priority="1817" stopIfTrue="1">
      <formula>AQ5=CléCongés</formula>
    </cfRule>
  </conditionalFormatting>
  <conditionalFormatting sqref="AP7:AP8">
    <cfRule type="expression" priority="1806" stopIfTrue="1">
      <formula>AP7=""</formula>
    </cfRule>
    <cfRule type="expression" dxfId="10759" priority="1807" stopIfTrue="1">
      <formula>AP7=CléPersonnalisée2</formula>
    </cfRule>
    <cfRule type="expression" dxfId="10758" priority="1808" stopIfTrue="1">
      <formula>AP7=CléPersonnalisée1</formula>
    </cfRule>
    <cfRule type="expression" dxfId="10757" priority="1809" stopIfTrue="1">
      <formula>AP7=CléMaladie</formula>
    </cfRule>
    <cfRule type="expression" dxfId="10756" priority="1810" stopIfTrue="1">
      <formula>AP7=CléPersonnelle</formula>
    </cfRule>
    <cfRule type="expression" dxfId="10755" priority="1811" stopIfTrue="1">
      <formula>AP7=CléCongés</formula>
    </cfRule>
  </conditionalFormatting>
  <conditionalFormatting sqref="AQ8:AR8 AR7">
    <cfRule type="expression" priority="1800" stopIfTrue="1">
      <formula>AQ7=""</formula>
    </cfRule>
    <cfRule type="expression" dxfId="10754" priority="1801" stopIfTrue="1">
      <formula>AQ7=CléPersonnalisée2</formula>
    </cfRule>
    <cfRule type="expression" dxfId="10753" priority="1802" stopIfTrue="1">
      <formula>AQ7=CléPersonnalisée1</formula>
    </cfRule>
    <cfRule type="expression" dxfId="10752" priority="1803" stopIfTrue="1">
      <formula>AQ7=CléMaladie</formula>
    </cfRule>
    <cfRule type="expression" dxfId="10751" priority="1804" stopIfTrue="1">
      <formula>AQ7=CléPersonnelle</formula>
    </cfRule>
    <cfRule type="expression" dxfId="10750" priority="1805" stopIfTrue="1">
      <formula>AQ7=CléCongés</formula>
    </cfRule>
  </conditionalFormatting>
  <conditionalFormatting sqref="AM11 AP11">
    <cfRule type="expression" priority="1794" stopIfTrue="1">
      <formula>AM11=""</formula>
    </cfRule>
    <cfRule type="expression" dxfId="10749" priority="1795" stopIfTrue="1">
      <formula>AM11=CléPersonnalisée2</formula>
    </cfRule>
    <cfRule type="expression" dxfId="10748" priority="1796" stopIfTrue="1">
      <formula>AM11=CléPersonnalisée1</formula>
    </cfRule>
    <cfRule type="expression" dxfId="10747" priority="1797" stopIfTrue="1">
      <formula>AM11=CléMaladie</formula>
    </cfRule>
    <cfRule type="expression" dxfId="10746" priority="1798" stopIfTrue="1">
      <formula>AM11=CléPersonnelle</formula>
    </cfRule>
    <cfRule type="expression" dxfId="10745" priority="1799" stopIfTrue="1">
      <formula>AM11=CléCongés</formula>
    </cfRule>
  </conditionalFormatting>
  <conditionalFormatting sqref="AQ48:AR48">
    <cfRule type="expression" priority="1788" stopIfTrue="1">
      <formula>AQ48=""</formula>
    </cfRule>
    <cfRule type="expression" dxfId="10744" priority="1789" stopIfTrue="1">
      <formula>AQ48=CléPersonnalisée2</formula>
    </cfRule>
    <cfRule type="expression" dxfId="10743" priority="1790" stopIfTrue="1">
      <formula>AQ48=CléPersonnalisée1</formula>
    </cfRule>
    <cfRule type="expression" dxfId="10742" priority="1791" stopIfTrue="1">
      <formula>AQ48=CléMaladie</formula>
    </cfRule>
    <cfRule type="expression" dxfId="10741" priority="1792" stopIfTrue="1">
      <formula>AQ48=CléPersonnelle</formula>
    </cfRule>
    <cfRule type="expression" dxfId="10740" priority="1793" stopIfTrue="1">
      <formula>AQ48=CléCongés</formula>
    </cfRule>
  </conditionalFormatting>
  <conditionalFormatting sqref="AQ52:AR52">
    <cfRule type="expression" priority="1782" stopIfTrue="1">
      <formula>AQ52=""</formula>
    </cfRule>
    <cfRule type="expression" dxfId="10739" priority="1783" stopIfTrue="1">
      <formula>AQ52=CléPersonnalisée2</formula>
    </cfRule>
    <cfRule type="expression" dxfId="10738" priority="1784" stopIfTrue="1">
      <formula>AQ52=CléPersonnalisée1</formula>
    </cfRule>
    <cfRule type="expression" dxfId="10737" priority="1785" stopIfTrue="1">
      <formula>AQ52=CléMaladie</formula>
    </cfRule>
    <cfRule type="expression" dxfId="10736" priority="1786" stopIfTrue="1">
      <formula>AQ52=CléPersonnelle</formula>
    </cfRule>
    <cfRule type="expression" dxfId="10735" priority="1787" stopIfTrue="1">
      <formula>AQ52=CléCongés</formula>
    </cfRule>
  </conditionalFormatting>
  <conditionalFormatting sqref="AQ56:AR56 AQ60:AR60">
    <cfRule type="expression" priority="1776" stopIfTrue="1">
      <formula>AQ56=""</formula>
    </cfRule>
    <cfRule type="expression" dxfId="10734" priority="1777" stopIfTrue="1">
      <formula>AQ56=CléPersonnalisée2</formula>
    </cfRule>
    <cfRule type="expression" dxfId="10733" priority="1778" stopIfTrue="1">
      <formula>AQ56=CléPersonnalisée1</formula>
    </cfRule>
    <cfRule type="expression" dxfId="10732" priority="1779" stopIfTrue="1">
      <formula>AQ56=CléMaladie</formula>
    </cfRule>
    <cfRule type="expression" dxfId="10731" priority="1780" stopIfTrue="1">
      <formula>AQ56=CléPersonnelle</formula>
    </cfRule>
    <cfRule type="expression" dxfId="10730" priority="1781" stopIfTrue="1">
      <formula>AQ56=CléCongés</formula>
    </cfRule>
  </conditionalFormatting>
  <conditionalFormatting sqref="AQ64:AR64 AQ68:AR68">
    <cfRule type="expression" priority="1770" stopIfTrue="1">
      <formula>AQ64=""</formula>
    </cfRule>
    <cfRule type="expression" dxfId="10729" priority="1771" stopIfTrue="1">
      <formula>AQ64=CléPersonnalisée2</formula>
    </cfRule>
    <cfRule type="expression" dxfId="10728" priority="1772" stopIfTrue="1">
      <formula>AQ64=CléPersonnalisée1</formula>
    </cfRule>
    <cfRule type="expression" dxfId="10727" priority="1773" stopIfTrue="1">
      <formula>AQ64=CléMaladie</formula>
    </cfRule>
    <cfRule type="expression" dxfId="10726" priority="1774" stopIfTrue="1">
      <formula>AQ64=CléPersonnelle</formula>
    </cfRule>
    <cfRule type="expression" dxfId="10725" priority="1775" stopIfTrue="1">
      <formula>AQ64=CléCongés</formula>
    </cfRule>
  </conditionalFormatting>
  <conditionalFormatting sqref="AQ72:AR72 AQ76:AR76 AQ84:AR84 AQ88:AR88 AQ92:AR92 AQ80:AR80">
    <cfRule type="expression" priority="1764" stopIfTrue="1">
      <formula>AQ72=""</formula>
    </cfRule>
    <cfRule type="expression" dxfId="10724" priority="1765" stopIfTrue="1">
      <formula>AQ72=CléPersonnalisée2</formula>
    </cfRule>
    <cfRule type="expression" dxfId="10723" priority="1766" stopIfTrue="1">
      <formula>AQ72=CléPersonnalisée1</formula>
    </cfRule>
    <cfRule type="expression" dxfId="10722" priority="1767" stopIfTrue="1">
      <formula>AQ72=CléMaladie</formula>
    </cfRule>
    <cfRule type="expression" dxfId="10721" priority="1768" stopIfTrue="1">
      <formula>AQ72=CléPersonnelle</formula>
    </cfRule>
    <cfRule type="expression" dxfId="10720" priority="1769" stopIfTrue="1">
      <formula>AQ72=CléCongés</formula>
    </cfRule>
  </conditionalFormatting>
  <conditionalFormatting sqref="D17:AG18 C19:AG19">
    <cfRule type="expression" priority="1758" stopIfTrue="1">
      <formula>C17=""</formula>
    </cfRule>
    <cfRule type="expression" dxfId="10719" priority="1759" stopIfTrue="1">
      <formula>C17=CléPersonnalisée2</formula>
    </cfRule>
    <cfRule type="expression" dxfId="10718" priority="1760" stopIfTrue="1">
      <formula>C17=CléPersonnalisée1</formula>
    </cfRule>
    <cfRule type="expression" dxfId="10717" priority="1761" stopIfTrue="1">
      <formula>C17=CléMaladie</formula>
    </cfRule>
    <cfRule type="expression" dxfId="10716" priority="1762" stopIfTrue="1">
      <formula>C17=CléPersonnelle</formula>
    </cfRule>
    <cfRule type="expression" dxfId="10715" priority="1763" stopIfTrue="1">
      <formula>C17=CléCongés</formula>
    </cfRule>
  </conditionalFormatting>
  <conditionalFormatting sqref="AJ17:AL19">
    <cfRule type="expression" priority="1752" stopIfTrue="1">
      <formula>AJ17=""</formula>
    </cfRule>
    <cfRule type="expression" dxfId="10714" priority="1753" stopIfTrue="1">
      <formula>AJ17=CléPersonnalisée2</formula>
    </cfRule>
    <cfRule type="expression" dxfId="10713" priority="1754" stopIfTrue="1">
      <formula>AJ17=CléPersonnalisée1</formula>
    </cfRule>
    <cfRule type="expression" dxfId="10712" priority="1755" stopIfTrue="1">
      <formula>AJ17=CléMaladie</formula>
    </cfRule>
    <cfRule type="expression" dxfId="10711" priority="1756" stopIfTrue="1">
      <formula>AJ17=CléPersonnelle</formula>
    </cfRule>
    <cfRule type="expression" dxfId="10710" priority="1757" stopIfTrue="1">
      <formula>AJ17=CléCongés</formula>
    </cfRule>
  </conditionalFormatting>
  <conditionalFormatting sqref="C21:AG23">
    <cfRule type="expression" priority="1746" stopIfTrue="1">
      <formula>C21=""</formula>
    </cfRule>
    <cfRule type="expression" dxfId="10709" priority="1747" stopIfTrue="1">
      <formula>C21=CléPersonnalisée2</formula>
    </cfRule>
    <cfRule type="expression" dxfId="10708" priority="1748" stopIfTrue="1">
      <formula>C21=CléPersonnalisée1</formula>
    </cfRule>
    <cfRule type="expression" dxfId="10707" priority="1749" stopIfTrue="1">
      <formula>C21=CléMaladie</formula>
    </cfRule>
    <cfRule type="expression" dxfId="10706" priority="1750" stopIfTrue="1">
      <formula>C21=CléPersonnelle</formula>
    </cfRule>
    <cfRule type="expression" dxfId="10705" priority="1751" stopIfTrue="1">
      <formula>C21=CléCongés</formula>
    </cfRule>
  </conditionalFormatting>
  <conditionalFormatting sqref="AJ21:AL23">
    <cfRule type="expression" priority="1740" stopIfTrue="1">
      <formula>AJ21=""</formula>
    </cfRule>
    <cfRule type="expression" dxfId="10704" priority="1741" stopIfTrue="1">
      <formula>AJ21=CléPersonnalisée2</formula>
    </cfRule>
    <cfRule type="expression" dxfId="10703" priority="1742" stopIfTrue="1">
      <formula>AJ21=CléPersonnalisée1</formula>
    </cfRule>
    <cfRule type="expression" dxfId="10702" priority="1743" stopIfTrue="1">
      <formula>AJ21=CléMaladie</formula>
    </cfRule>
    <cfRule type="expression" dxfId="10701" priority="1744" stopIfTrue="1">
      <formula>AJ21=CléPersonnelle</formula>
    </cfRule>
    <cfRule type="expression" dxfId="10700" priority="1745" stopIfTrue="1">
      <formula>AJ21=CléCongés</formula>
    </cfRule>
  </conditionalFormatting>
  <conditionalFormatting sqref="C25:AG27">
    <cfRule type="expression" priority="1733" stopIfTrue="1">
      <formula>C25=""</formula>
    </cfRule>
    <cfRule type="expression" dxfId="10699" priority="1734" stopIfTrue="1">
      <formula>C25=CléPersonnalisée2</formula>
    </cfRule>
    <cfRule type="expression" dxfId="10698" priority="1735" stopIfTrue="1">
      <formula>C25=CléPersonnalisée1</formula>
    </cfRule>
    <cfRule type="expression" dxfId="10697" priority="1736" stopIfTrue="1">
      <formula>C25=CléMaladie</formula>
    </cfRule>
    <cfRule type="expression" dxfId="10696" priority="1737" stopIfTrue="1">
      <formula>C25=CléPersonnelle</formula>
    </cfRule>
    <cfRule type="expression" dxfId="10695" priority="1738" stopIfTrue="1">
      <formula>C25=CléCongés</formula>
    </cfRule>
  </conditionalFormatting>
  <conditionalFormatting sqref="AH27">
    <cfRule type="dataBar" priority="1739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{F370647D-B816-48B2-8434-ACACF036FCB7}</x14:id>
        </ext>
      </extLst>
    </cfRule>
  </conditionalFormatting>
  <conditionalFormatting sqref="AI27:AL27 AJ25:AL26">
    <cfRule type="expression" priority="1727" stopIfTrue="1">
      <formula>AI25=""</formula>
    </cfRule>
    <cfRule type="expression" dxfId="10694" priority="1728" stopIfTrue="1">
      <formula>AI25=CléPersonnalisée2</formula>
    </cfRule>
    <cfRule type="expression" dxfId="10693" priority="1729" stopIfTrue="1">
      <formula>AI25=CléPersonnalisée1</formula>
    </cfRule>
    <cfRule type="expression" dxfId="10692" priority="1730" stopIfTrue="1">
      <formula>AI25=CléMaladie</formula>
    </cfRule>
    <cfRule type="expression" dxfId="10691" priority="1731" stopIfTrue="1">
      <formula>AI25=CléPersonnelle</formula>
    </cfRule>
    <cfRule type="expression" dxfId="10690" priority="1732" stopIfTrue="1">
      <formula>AI25=CléCongés</formula>
    </cfRule>
  </conditionalFormatting>
  <conditionalFormatting sqref="AM25:AP26">
    <cfRule type="expression" priority="1721" stopIfTrue="1">
      <formula>AM25=""</formula>
    </cfRule>
    <cfRule type="expression" dxfId="10689" priority="1722" stopIfTrue="1">
      <formula>AM25=CléPersonnalisée2</formula>
    </cfRule>
    <cfRule type="expression" dxfId="10688" priority="1723" stopIfTrue="1">
      <formula>AM25=CléPersonnalisée1</formula>
    </cfRule>
    <cfRule type="expression" dxfId="10687" priority="1724" stopIfTrue="1">
      <formula>AM25=CléMaladie</formula>
    </cfRule>
    <cfRule type="expression" dxfId="10686" priority="1725" stopIfTrue="1">
      <formula>AM25=CléPersonnelle</formula>
    </cfRule>
    <cfRule type="expression" dxfId="10685" priority="1726" stopIfTrue="1">
      <formula>AM25=CléCongés</formula>
    </cfRule>
  </conditionalFormatting>
  <conditionalFormatting sqref="AQ25:AR26">
    <cfRule type="expression" priority="1715" stopIfTrue="1">
      <formula>AQ25=""</formula>
    </cfRule>
    <cfRule type="expression" dxfId="10684" priority="1716" stopIfTrue="1">
      <formula>AQ25=CléPersonnalisée2</formula>
    </cfRule>
    <cfRule type="expression" dxfId="10683" priority="1717" stopIfTrue="1">
      <formula>AQ25=CléPersonnalisée1</formula>
    </cfRule>
    <cfRule type="expression" dxfId="10682" priority="1718" stopIfTrue="1">
      <formula>AQ25=CléMaladie</formula>
    </cfRule>
    <cfRule type="expression" dxfId="10681" priority="1719" stopIfTrue="1">
      <formula>AQ25=CléPersonnelle</formula>
    </cfRule>
    <cfRule type="expression" dxfId="10680" priority="1720" stopIfTrue="1">
      <formula>AQ25=CléCongés</formula>
    </cfRule>
  </conditionalFormatting>
  <conditionalFormatting sqref="AM27 AP27">
    <cfRule type="expression" priority="1709" stopIfTrue="1">
      <formula>AM27=""</formula>
    </cfRule>
    <cfRule type="expression" dxfId="10679" priority="1710" stopIfTrue="1">
      <formula>AM27=CléPersonnalisée2</formula>
    </cfRule>
    <cfRule type="expression" dxfId="10678" priority="1711" stopIfTrue="1">
      <formula>AM27=CléPersonnalisée1</formula>
    </cfRule>
    <cfRule type="expression" dxfId="10677" priority="1712" stopIfTrue="1">
      <formula>AM27=CléMaladie</formula>
    </cfRule>
    <cfRule type="expression" dxfId="10676" priority="1713" stopIfTrue="1">
      <formula>AM27=CléPersonnelle</formula>
    </cfRule>
    <cfRule type="expression" dxfId="10675" priority="1714" stopIfTrue="1">
      <formula>AM27=CléCongés</formula>
    </cfRule>
  </conditionalFormatting>
  <conditionalFormatting sqref="C29:AG31">
    <cfRule type="expression" priority="1702" stopIfTrue="1">
      <formula>C29=""</formula>
    </cfRule>
    <cfRule type="expression" dxfId="10674" priority="1703" stopIfTrue="1">
      <formula>C29=CléPersonnalisée2</formula>
    </cfRule>
    <cfRule type="expression" dxfId="10673" priority="1704" stopIfTrue="1">
      <formula>C29=CléPersonnalisée1</formula>
    </cfRule>
    <cfRule type="expression" dxfId="10672" priority="1705" stopIfTrue="1">
      <formula>C29=CléMaladie</formula>
    </cfRule>
    <cfRule type="expression" dxfId="10671" priority="1706" stopIfTrue="1">
      <formula>C29=CléPersonnelle</formula>
    </cfRule>
    <cfRule type="expression" dxfId="10670" priority="1707" stopIfTrue="1">
      <formula>C29=CléCongés</formula>
    </cfRule>
  </conditionalFormatting>
  <conditionalFormatting sqref="AH31">
    <cfRule type="dataBar" priority="1708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{E0F64235-6400-4115-B079-C66C07FA4351}</x14:id>
        </ext>
      </extLst>
    </cfRule>
  </conditionalFormatting>
  <conditionalFormatting sqref="AI31:AL31 AJ29:AL30">
    <cfRule type="expression" priority="1696" stopIfTrue="1">
      <formula>AI29=""</formula>
    </cfRule>
    <cfRule type="expression" dxfId="10669" priority="1697" stopIfTrue="1">
      <formula>AI29=CléPersonnalisée2</formula>
    </cfRule>
    <cfRule type="expression" dxfId="10668" priority="1698" stopIfTrue="1">
      <formula>AI29=CléPersonnalisée1</formula>
    </cfRule>
    <cfRule type="expression" dxfId="10667" priority="1699" stopIfTrue="1">
      <formula>AI29=CléMaladie</formula>
    </cfRule>
    <cfRule type="expression" dxfId="10666" priority="1700" stopIfTrue="1">
      <formula>AI29=CléPersonnelle</formula>
    </cfRule>
    <cfRule type="expression" dxfId="10665" priority="1701" stopIfTrue="1">
      <formula>AI29=CléCongés</formula>
    </cfRule>
  </conditionalFormatting>
  <conditionalFormatting sqref="AM29:AP30">
    <cfRule type="expression" priority="1690" stopIfTrue="1">
      <formula>AM29=""</formula>
    </cfRule>
    <cfRule type="expression" dxfId="10664" priority="1691" stopIfTrue="1">
      <formula>AM29=CléPersonnalisée2</formula>
    </cfRule>
    <cfRule type="expression" dxfId="10663" priority="1692" stopIfTrue="1">
      <formula>AM29=CléPersonnalisée1</formula>
    </cfRule>
    <cfRule type="expression" dxfId="10662" priority="1693" stopIfTrue="1">
      <formula>AM29=CléMaladie</formula>
    </cfRule>
    <cfRule type="expression" dxfId="10661" priority="1694" stopIfTrue="1">
      <formula>AM29=CléPersonnelle</formula>
    </cfRule>
    <cfRule type="expression" dxfId="10660" priority="1695" stopIfTrue="1">
      <formula>AM29=CléCongés</formula>
    </cfRule>
  </conditionalFormatting>
  <conditionalFormatting sqref="AQ29:AR30">
    <cfRule type="expression" priority="1684" stopIfTrue="1">
      <formula>AQ29=""</formula>
    </cfRule>
    <cfRule type="expression" dxfId="10659" priority="1685" stopIfTrue="1">
      <formula>AQ29=CléPersonnalisée2</formula>
    </cfRule>
    <cfRule type="expression" dxfId="10658" priority="1686" stopIfTrue="1">
      <formula>AQ29=CléPersonnalisée1</formula>
    </cfRule>
    <cfRule type="expression" dxfId="10657" priority="1687" stopIfTrue="1">
      <formula>AQ29=CléMaladie</formula>
    </cfRule>
    <cfRule type="expression" dxfId="10656" priority="1688" stopIfTrue="1">
      <formula>AQ29=CléPersonnelle</formula>
    </cfRule>
    <cfRule type="expression" dxfId="10655" priority="1689" stopIfTrue="1">
      <formula>AQ29=CléCongés</formula>
    </cfRule>
  </conditionalFormatting>
  <conditionalFormatting sqref="AM31 AP31">
    <cfRule type="expression" priority="1678" stopIfTrue="1">
      <formula>AM31=""</formula>
    </cfRule>
    <cfRule type="expression" dxfId="10654" priority="1679" stopIfTrue="1">
      <formula>AM31=CléPersonnalisée2</formula>
    </cfRule>
    <cfRule type="expression" dxfId="10653" priority="1680" stopIfTrue="1">
      <formula>AM31=CléPersonnalisée1</formula>
    </cfRule>
    <cfRule type="expression" dxfId="10652" priority="1681" stopIfTrue="1">
      <formula>AM31=CléMaladie</formula>
    </cfRule>
    <cfRule type="expression" dxfId="10651" priority="1682" stopIfTrue="1">
      <formula>AM31=CléPersonnelle</formula>
    </cfRule>
    <cfRule type="expression" dxfId="10650" priority="1683" stopIfTrue="1">
      <formula>AM31=CléCongés</formula>
    </cfRule>
  </conditionalFormatting>
  <conditionalFormatting sqref="C33:AG35">
    <cfRule type="expression" priority="1671" stopIfTrue="1">
      <formula>C33=""</formula>
    </cfRule>
    <cfRule type="expression" dxfId="10649" priority="1672" stopIfTrue="1">
      <formula>C33=CléPersonnalisée2</formula>
    </cfRule>
    <cfRule type="expression" dxfId="10648" priority="1673" stopIfTrue="1">
      <formula>C33=CléPersonnalisée1</formula>
    </cfRule>
    <cfRule type="expression" dxfId="10647" priority="1674" stopIfTrue="1">
      <formula>C33=CléMaladie</formula>
    </cfRule>
    <cfRule type="expression" dxfId="10646" priority="1675" stopIfTrue="1">
      <formula>C33=CléPersonnelle</formula>
    </cfRule>
    <cfRule type="expression" dxfId="10645" priority="1676" stopIfTrue="1">
      <formula>C33=CléCongés</formula>
    </cfRule>
  </conditionalFormatting>
  <conditionalFormatting sqref="AH35">
    <cfRule type="dataBar" priority="1677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{533A6315-1087-49E1-8736-E1CC541EF176}</x14:id>
        </ext>
      </extLst>
    </cfRule>
  </conditionalFormatting>
  <conditionalFormatting sqref="AI35:AL35 AJ33:AL34">
    <cfRule type="expression" priority="1665" stopIfTrue="1">
      <formula>AI33=""</formula>
    </cfRule>
    <cfRule type="expression" dxfId="10644" priority="1666" stopIfTrue="1">
      <formula>AI33=CléPersonnalisée2</formula>
    </cfRule>
    <cfRule type="expression" dxfId="10643" priority="1667" stopIfTrue="1">
      <formula>AI33=CléPersonnalisée1</formula>
    </cfRule>
    <cfRule type="expression" dxfId="10642" priority="1668" stopIfTrue="1">
      <formula>AI33=CléMaladie</formula>
    </cfRule>
    <cfRule type="expression" dxfId="10641" priority="1669" stopIfTrue="1">
      <formula>AI33=CléPersonnelle</formula>
    </cfRule>
    <cfRule type="expression" dxfId="10640" priority="1670" stopIfTrue="1">
      <formula>AI33=CléCongés</formula>
    </cfRule>
  </conditionalFormatting>
  <conditionalFormatting sqref="AM33:AP34">
    <cfRule type="expression" priority="1659" stopIfTrue="1">
      <formula>AM33=""</formula>
    </cfRule>
    <cfRule type="expression" dxfId="10639" priority="1660" stopIfTrue="1">
      <formula>AM33=CléPersonnalisée2</formula>
    </cfRule>
    <cfRule type="expression" dxfId="10638" priority="1661" stopIfTrue="1">
      <formula>AM33=CléPersonnalisée1</formula>
    </cfRule>
    <cfRule type="expression" dxfId="10637" priority="1662" stopIfTrue="1">
      <formula>AM33=CléMaladie</formula>
    </cfRule>
    <cfRule type="expression" dxfId="10636" priority="1663" stopIfTrue="1">
      <formula>AM33=CléPersonnelle</formula>
    </cfRule>
    <cfRule type="expression" dxfId="10635" priority="1664" stopIfTrue="1">
      <formula>AM33=CléCongés</formula>
    </cfRule>
  </conditionalFormatting>
  <conditionalFormatting sqref="AQ33:AR34">
    <cfRule type="expression" priority="1653" stopIfTrue="1">
      <formula>AQ33=""</formula>
    </cfRule>
    <cfRule type="expression" dxfId="10634" priority="1654" stopIfTrue="1">
      <formula>AQ33=CléPersonnalisée2</formula>
    </cfRule>
    <cfRule type="expression" dxfId="10633" priority="1655" stopIfTrue="1">
      <formula>AQ33=CléPersonnalisée1</formula>
    </cfRule>
    <cfRule type="expression" dxfId="10632" priority="1656" stopIfTrue="1">
      <formula>AQ33=CléMaladie</formula>
    </cfRule>
    <cfRule type="expression" dxfId="10631" priority="1657" stopIfTrue="1">
      <formula>AQ33=CléPersonnelle</formula>
    </cfRule>
    <cfRule type="expression" dxfId="10630" priority="1658" stopIfTrue="1">
      <formula>AQ33=CléCongés</formula>
    </cfRule>
  </conditionalFormatting>
  <conditionalFormatting sqref="AM35 AP35">
    <cfRule type="expression" priority="1647" stopIfTrue="1">
      <formula>AM35=""</formula>
    </cfRule>
    <cfRule type="expression" dxfId="10629" priority="1648" stopIfTrue="1">
      <formula>AM35=CléPersonnalisée2</formula>
    </cfRule>
    <cfRule type="expression" dxfId="10628" priority="1649" stopIfTrue="1">
      <formula>AM35=CléPersonnalisée1</formula>
    </cfRule>
    <cfRule type="expression" dxfId="10627" priority="1650" stopIfTrue="1">
      <formula>AM35=CléMaladie</formula>
    </cfRule>
    <cfRule type="expression" dxfId="10626" priority="1651" stopIfTrue="1">
      <formula>AM35=CléPersonnelle</formula>
    </cfRule>
    <cfRule type="expression" dxfId="10625" priority="1652" stopIfTrue="1">
      <formula>AM35=CléCongés</formula>
    </cfRule>
  </conditionalFormatting>
  <conditionalFormatting sqref="C37:AG39">
    <cfRule type="expression" priority="1640" stopIfTrue="1">
      <formula>C37=""</formula>
    </cfRule>
    <cfRule type="expression" dxfId="10624" priority="1641" stopIfTrue="1">
      <formula>C37=CléPersonnalisée2</formula>
    </cfRule>
    <cfRule type="expression" dxfId="10623" priority="1642" stopIfTrue="1">
      <formula>C37=CléPersonnalisée1</formula>
    </cfRule>
    <cfRule type="expression" dxfId="10622" priority="1643" stopIfTrue="1">
      <formula>C37=CléMaladie</formula>
    </cfRule>
    <cfRule type="expression" dxfId="10621" priority="1644" stopIfTrue="1">
      <formula>C37=CléPersonnelle</formula>
    </cfRule>
    <cfRule type="expression" dxfId="10620" priority="1645" stopIfTrue="1">
      <formula>C37=CléCongés</formula>
    </cfRule>
  </conditionalFormatting>
  <conditionalFormatting sqref="AH39">
    <cfRule type="dataBar" priority="1646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{F87D3CB0-D09B-4593-AF0F-709B708225F8}</x14:id>
        </ext>
      </extLst>
    </cfRule>
  </conditionalFormatting>
  <conditionalFormatting sqref="AI39:AL39 AJ37:AL38">
    <cfRule type="expression" priority="1634" stopIfTrue="1">
      <formula>AI37=""</formula>
    </cfRule>
    <cfRule type="expression" dxfId="10619" priority="1635" stopIfTrue="1">
      <formula>AI37=CléPersonnalisée2</formula>
    </cfRule>
    <cfRule type="expression" dxfId="10618" priority="1636" stopIfTrue="1">
      <formula>AI37=CléPersonnalisée1</formula>
    </cfRule>
    <cfRule type="expression" dxfId="10617" priority="1637" stopIfTrue="1">
      <formula>AI37=CléMaladie</formula>
    </cfRule>
    <cfRule type="expression" dxfId="10616" priority="1638" stopIfTrue="1">
      <formula>AI37=CléPersonnelle</formula>
    </cfRule>
    <cfRule type="expression" dxfId="10615" priority="1639" stopIfTrue="1">
      <formula>AI37=CléCongés</formula>
    </cfRule>
  </conditionalFormatting>
  <conditionalFormatting sqref="AM37:AP38">
    <cfRule type="expression" priority="1628" stopIfTrue="1">
      <formula>AM37=""</formula>
    </cfRule>
    <cfRule type="expression" dxfId="10614" priority="1629" stopIfTrue="1">
      <formula>AM37=CléPersonnalisée2</formula>
    </cfRule>
    <cfRule type="expression" dxfId="10613" priority="1630" stopIfTrue="1">
      <formula>AM37=CléPersonnalisée1</formula>
    </cfRule>
    <cfRule type="expression" dxfId="10612" priority="1631" stopIfTrue="1">
      <formula>AM37=CléMaladie</formula>
    </cfRule>
    <cfRule type="expression" dxfId="10611" priority="1632" stopIfTrue="1">
      <formula>AM37=CléPersonnelle</formula>
    </cfRule>
    <cfRule type="expression" dxfId="10610" priority="1633" stopIfTrue="1">
      <formula>AM37=CléCongés</formula>
    </cfRule>
  </conditionalFormatting>
  <conditionalFormatting sqref="AQ37:AR38">
    <cfRule type="expression" priority="1622" stopIfTrue="1">
      <formula>AQ37=""</formula>
    </cfRule>
    <cfRule type="expression" dxfId="10609" priority="1623" stopIfTrue="1">
      <formula>AQ37=CléPersonnalisée2</formula>
    </cfRule>
    <cfRule type="expression" dxfId="10608" priority="1624" stopIfTrue="1">
      <formula>AQ37=CléPersonnalisée1</formula>
    </cfRule>
    <cfRule type="expression" dxfId="10607" priority="1625" stopIfTrue="1">
      <formula>AQ37=CléMaladie</formula>
    </cfRule>
    <cfRule type="expression" dxfId="10606" priority="1626" stopIfTrue="1">
      <formula>AQ37=CléPersonnelle</formula>
    </cfRule>
    <cfRule type="expression" dxfId="10605" priority="1627" stopIfTrue="1">
      <formula>AQ37=CléCongés</formula>
    </cfRule>
  </conditionalFormatting>
  <conditionalFormatting sqref="AM39 AP39">
    <cfRule type="expression" priority="1616" stopIfTrue="1">
      <formula>AM39=""</formula>
    </cfRule>
    <cfRule type="expression" dxfId="10604" priority="1617" stopIfTrue="1">
      <formula>AM39=CléPersonnalisée2</formula>
    </cfRule>
    <cfRule type="expression" dxfId="10603" priority="1618" stopIfTrue="1">
      <formula>AM39=CléPersonnalisée1</formula>
    </cfRule>
    <cfRule type="expression" dxfId="10602" priority="1619" stopIfTrue="1">
      <formula>AM39=CléMaladie</formula>
    </cfRule>
    <cfRule type="expression" dxfId="10601" priority="1620" stopIfTrue="1">
      <formula>AM39=CléPersonnelle</formula>
    </cfRule>
    <cfRule type="expression" dxfId="10600" priority="1621" stopIfTrue="1">
      <formula>AM39=CléCongés</formula>
    </cfRule>
  </conditionalFormatting>
  <conditionalFormatting sqref="C41:AG43">
    <cfRule type="expression" priority="1609" stopIfTrue="1">
      <formula>C41=""</formula>
    </cfRule>
    <cfRule type="expression" dxfId="10599" priority="1610" stopIfTrue="1">
      <formula>C41=CléPersonnalisée2</formula>
    </cfRule>
    <cfRule type="expression" dxfId="10598" priority="1611" stopIfTrue="1">
      <formula>C41=CléPersonnalisée1</formula>
    </cfRule>
    <cfRule type="expression" dxfId="10597" priority="1612" stopIfTrue="1">
      <formula>C41=CléMaladie</formula>
    </cfRule>
    <cfRule type="expression" dxfId="10596" priority="1613" stopIfTrue="1">
      <formula>C41=CléPersonnelle</formula>
    </cfRule>
    <cfRule type="expression" dxfId="10595" priority="1614" stopIfTrue="1">
      <formula>C41=CléCongés</formula>
    </cfRule>
  </conditionalFormatting>
  <conditionalFormatting sqref="AH43">
    <cfRule type="dataBar" priority="1615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{F70728CB-2F40-4A5C-A928-DD84A1E0F541}</x14:id>
        </ext>
      </extLst>
    </cfRule>
  </conditionalFormatting>
  <conditionalFormatting sqref="AI43:AL43 AJ41:AL42">
    <cfRule type="expression" priority="1603" stopIfTrue="1">
      <formula>AI41=""</formula>
    </cfRule>
    <cfRule type="expression" dxfId="10594" priority="1604" stopIfTrue="1">
      <formula>AI41=CléPersonnalisée2</formula>
    </cfRule>
    <cfRule type="expression" dxfId="10593" priority="1605" stopIfTrue="1">
      <formula>AI41=CléPersonnalisée1</formula>
    </cfRule>
    <cfRule type="expression" dxfId="10592" priority="1606" stopIfTrue="1">
      <formula>AI41=CléMaladie</formula>
    </cfRule>
    <cfRule type="expression" dxfId="10591" priority="1607" stopIfTrue="1">
      <formula>AI41=CléPersonnelle</formula>
    </cfRule>
    <cfRule type="expression" dxfId="10590" priority="1608" stopIfTrue="1">
      <formula>AI41=CléCongés</formula>
    </cfRule>
  </conditionalFormatting>
  <conditionalFormatting sqref="AM41:AP42">
    <cfRule type="expression" priority="1597" stopIfTrue="1">
      <formula>AM41=""</formula>
    </cfRule>
    <cfRule type="expression" dxfId="10589" priority="1598" stopIfTrue="1">
      <formula>AM41=CléPersonnalisée2</formula>
    </cfRule>
    <cfRule type="expression" dxfId="10588" priority="1599" stopIfTrue="1">
      <formula>AM41=CléPersonnalisée1</formula>
    </cfRule>
    <cfRule type="expression" dxfId="10587" priority="1600" stopIfTrue="1">
      <formula>AM41=CléMaladie</formula>
    </cfRule>
    <cfRule type="expression" dxfId="10586" priority="1601" stopIfTrue="1">
      <formula>AM41=CléPersonnelle</formula>
    </cfRule>
    <cfRule type="expression" dxfId="10585" priority="1602" stopIfTrue="1">
      <formula>AM41=CléCongés</formula>
    </cfRule>
  </conditionalFormatting>
  <conditionalFormatting sqref="AQ41:AR42">
    <cfRule type="expression" priority="1591" stopIfTrue="1">
      <formula>AQ41=""</formula>
    </cfRule>
    <cfRule type="expression" dxfId="10584" priority="1592" stopIfTrue="1">
      <formula>AQ41=CléPersonnalisée2</formula>
    </cfRule>
    <cfRule type="expression" dxfId="10583" priority="1593" stopIfTrue="1">
      <formula>AQ41=CléPersonnalisée1</formula>
    </cfRule>
    <cfRule type="expression" dxfId="10582" priority="1594" stopIfTrue="1">
      <formula>AQ41=CléMaladie</formula>
    </cfRule>
    <cfRule type="expression" dxfId="10581" priority="1595" stopIfTrue="1">
      <formula>AQ41=CléPersonnelle</formula>
    </cfRule>
    <cfRule type="expression" dxfId="10580" priority="1596" stopIfTrue="1">
      <formula>AQ41=CléCongés</formula>
    </cfRule>
  </conditionalFormatting>
  <conditionalFormatting sqref="AM43 AP43">
    <cfRule type="expression" priority="1585" stopIfTrue="1">
      <formula>AM43=""</formula>
    </cfRule>
    <cfRule type="expression" dxfId="10579" priority="1586" stopIfTrue="1">
      <formula>AM43=CléPersonnalisée2</formula>
    </cfRule>
    <cfRule type="expression" dxfId="10578" priority="1587" stopIfTrue="1">
      <formula>AM43=CléPersonnalisée1</formula>
    </cfRule>
    <cfRule type="expression" dxfId="10577" priority="1588" stopIfTrue="1">
      <formula>AM43=CléMaladie</formula>
    </cfRule>
    <cfRule type="expression" dxfId="10576" priority="1589" stopIfTrue="1">
      <formula>AM43=CléPersonnelle</formula>
    </cfRule>
    <cfRule type="expression" dxfId="10575" priority="1590" stopIfTrue="1">
      <formula>AM43=CléCongés</formula>
    </cfRule>
  </conditionalFormatting>
  <conditionalFormatting sqref="C45:AG47">
    <cfRule type="expression" priority="1578" stopIfTrue="1">
      <formula>C45=""</formula>
    </cfRule>
    <cfRule type="expression" dxfId="10574" priority="1579" stopIfTrue="1">
      <formula>C45=CléPersonnalisée2</formula>
    </cfRule>
    <cfRule type="expression" dxfId="10573" priority="1580" stopIfTrue="1">
      <formula>C45=CléPersonnalisée1</formula>
    </cfRule>
    <cfRule type="expression" dxfId="10572" priority="1581" stopIfTrue="1">
      <formula>C45=CléMaladie</formula>
    </cfRule>
    <cfRule type="expression" dxfId="10571" priority="1582" stopIfTrue="1">
      <formula>C45=CléPersonnelle</formula>
    </cfRule>
    <cfRule type="expression" dxfId="10570" priority="1583" stopIfTrue="1">
      <formula>C45=CléCongés</formula>
    </cfRule>
  </conditionalFormatting>
  <conditionalFormatting sqref="AH47">
    <cfRule type="dataBar" priority="1584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{CE240075-A03D-4BB6-8FE7-E670F3C42185}</x14:id>
        </ext>
      </extLst>
    </cfRule>
  </conditionalFormatting>
  <conditionalFormatting sqref="AI47:AL47 AJ45:AL46">
    <cfRule type="expression" priority="1572" stopIfTrue="1">
      <formula>AI45=""</formula>
    </cfRule>
    <cfRule type="expression" dxfId="10569" priority="1573" stopIfTrue="1">
      <formula>AI45=CléPersonnalisée2</formula>
    </cfRule>
    <cfRule type="expression" dxfId="10568" priority="1574" stopIfTrue="1">
      <formula>AI45=CléPersonnalisée1</formula>
    </cfRule>
    <cfRule type="expression" dxfId="10567" priority="1575" stopIfTrue="1">
      <formula>AI45=CléMaladie</formula>
    </cfRule>
    <cfRule type="expression" dxfId="10566" priority="1576" stopIfTrue="1">
      <formula>AI45=CléPersonnelle</formula>
    </cfRule>
    <cfRule type="expression" dxfId="10565" priority="1577" stopIfTrue="1">
      <formula>AI45=CléCongés</formula>
    </cfRule>
  </conditionalFormatting>
  <conditionalFormatting sqref="AM45:AP46">
    <cfRule type="expression" priority="1566" stopIfTrue="1">
      <formula>AM45=""</formula>
    </cfRule>
    <cfRule type="expression" dxfId="10564" priority="1567" stopIfTrue="1">
      <formula>AM45=CléPersonnalisée2</formula>
    </cfRule>
    <cfRule type="expression" dxfId="10563" priority="1568" stopIfTrue="1">
      <formula>AM45=CléPersonnalisée1</formula>
    </cfRule>
    <cfRule type="expression" dxfId="10562" priority="1569" stopIfTrue="1">
      <formula>AM45=CléMaladie</formula>
    </cfRule>
    <cfRule type="expression" dxfId="10561" priority="1570" stopIfTrue="1">
      <formula>AM45=CléPersonnelle</formula>
    </cfRule>
    <cfRule type="expression" dxfId="10560" priority="1571" stopIfTrue="1">
      <formula>AM45=CléCongés</formula>
    </cfRule>
  </conditionalFormatting>
  <conditionalFormatting sqref="AQ45:AR46">
    <cfRule type="expression" priority="1560" stopIfTrue="1">
      <formula>AQ45=""</formula>
    </cfRule>
    <cfRule type="expression" dxfId="10559" priority="1561" stopIfTrue="1">
      <formula>AQ45=CléPersonnalisée2</formula>
    </cfRule>
    <cfRule type="expression" dxfId="10558" priority="1562" stopIfTrue="1">
      <formula>AQ45=CléPersonnalisée1</formula>
    </cfRule>
    <cfRule type="expression" dxfId="10557" priority="1563" stopIfTrue="1">
      <formula>AQ45=CléMaladie</formula>
    </cfRule>
    <cfRule type="expression" dxfId="10556" priority="1564" stopIfTrue="1">
      <formula>AQ45=CléPersonnelle</formula>
    </cfRule>
    <cfRule type="expression" dxfId="10555" priority="1565" stopIfTrue="1">
      <formula>AQ45=CléCongés</formula>
    </cfRule>
  </conditionalFormatting>
  <conditionalFormatting sqref="AM47 AP47">
    <cfRule type="expression" priority="1554" stopIfTrue="1">
      <formula>AM47=""</formula>
    </cfRule>
    <cfRule type="expression" dxfId="10554" priority="1555" stopIfTrue="1">
      <formula>AM47=CléPersonnalisée2</formula>
    </cfRule>
    <cfRule type="expression" dxfId="10553" priority="1556" stopIfTrue="1">
      <formula>AM47=CléPersonnalisée1</formula>
    </cfRule>
    <cfRule type="expression" dxfId="10552" priority="1557" stopIfTrue="1">
      <formula>AM47=CléMaladie</formula>
    </cfRule>
    <cfRule type="expression" dxfId="10551" priority="1558" stopIfTrue="1">
      <formula>AM47=CléPersonnelle</formula>
    </cfRule>
    <cfRule type="expression" dxfId="10550" priority="1559" stopIfTrue="1">
      <formula>AM47=CléCongés</formula>
    </cfRule>
  </conditionalFormatting>
  <conditionalFormatting sqref="C49:AG51">
    <cfRule type="expression" priority="1547" stopIfTrue="1">
      <formula>C49=""</formula>
    </cfRule>
    <cfRule type="expression" dxfId="10549" priority="1548" stopIfTrue="1">
      <formula>C49=CléPersonnalisée2</formula>
    </cfRule>
    <cfRule type="expression" dxfId="10548" priority="1549" stopIfTrue="1">
      <formula>C49=CléPersonnalisée1</formula>
    </cfRule>
    <cfRule type="expression" dxfId="10547" priority="1550" stopIfTrue="1">
      <formula>C49=CléMaladie</formula>
    </cfRule>
    <cfRule type="expression" dxfId="10546" priority="1551" stopIfTrue="1">
      <formula>C49=CléPersonnelle</formula>
    </cfRule>
    <cfRule type="expression" dxfId="10545" priority="1552" stopIfTrue="1">
      <formula>C49=CléCongés</formula>
    </cfRule>
  </conditionalFormatting>
  <conditionalFormatting sqref="AH51">
    <cfRule type="dataBar" priority="1553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{5B16FCDB-77EC-4CC4-9DB8-58A65AD871C5}</x14:id>
        </ext>
      </extLst>
    </cfRule>
  </conditionalFormatting>
  <conditionalFormatting sqref="AI51:AL51 AJ49:AL50">
    <cfRule type="expression" priority="1541" stopIfTrue="1">
      <formula>AI49=""</formula>
    </cfRule>
    <cfRule type="expression" dxfId="10544" priority="1542" stopIfTrue="1">
      <formula>AI49=CléPersonnalisée2</formula>
    </cfRule>
    <cfRule type="expression" dxfId="10543" priority="1543" stopIfTrue="1">
      <formula>AI49=CléPersonnalisée1</formula>
    </cfRule>
    <cfRule type="expression" dxfId="10542" priority="1544" stopIfTrue="1">
      <formula>AI49=CléMaladie</formula>
    </cfRule>
    <cfRule type="expression" dxfId="10541" priority="1545" stopIfTrue="1">
      <formula>AI49=CléPersonnelle</formula>
    </cfRule>
    <cfRule type="expression" dxfId="10540" priority="1546" stopIfTrue="1">
      <formula>AI49=CléCongés</formula>
    </cfRule>
  </conditionalFormatting>
  <conditionalFormatting sqref="AM49:AP50">
    <cfRule type="expression" priority="1535" stopIfTrue="1">
      <formula>AM49=""</formula>
    </cfRule>
    <cfRule type="expression" dxfId="10539" priority="1536" stopIfTrue="1">
      <formula>AM49=CléPersonnalisée2</formula>
    </cfRule>
    <cfRule type="expression" dxfId="10538" priority="1537" stopIfTrue="1">
      <formula>AM49=CléPersonnalisée1</formula>
    </cfRule>
    <cfRule type="expression" dxfId="10537" priority="1538" stopIfTrue="1">
      <formula>AM49=CléMaladie</formula>
    </cfRule>
    <cfRule type="expression" dxfId="10536" priority="1539" stopIfTrue="1">
      <formula>AM49=CléPersonnelle</formula>
    </cfRule>
    <cfRule type="expression" dxfId="10535" priority="1540" stopIfTrue="1">
      <formula>AM49=CléCongés</formula>
    </cfRule>
  </conditionalFormatting>
  <conditionalFormatting sqref="AQ49:AR50">
    <cfRule type="expression" priority="1529" stopIfTrue="1">
      <formula>AQ49=""</formula>
    </cfRule>
    <cfRule type="expression" dxfId="10534" priority="1530" stopIfTrue="1">
      <formula>AQ49=CléPersonnalisée2</formula>
    </cfRule>
    <cfRule type="expression" dxfId="10533" priority="1531" stopIfTrue="1">
      <formula>AQ49=CléPersonnalisée1</formula>
    </cfRule>
    <cfRule type="expression" dxfId="10532" priority="1532" stopIfTrue="1">
      <formula>AQ49=CléMaladie</formula>
    </cfRule>
    <cfRule type="expression" dxfId="10531" priority="1533" stopIfTrue="1">
      <formula>AQ49=CléPersonnelle</formula>
    </cfRule>
    <cfRule type="expression" dxfId="10530" priority="1534" stopIfTrue="1">
      <formula>AQ49=CléCongés</formula>
    </cfRule>
  </conditionalFormatting>
  <conditionalFormatting sqref="AM51 AP51">
    <cfRule type="expression" priority="1523" stopIfTrue="1">
      <formula>AM51=""</formula>
    </cfRule>
    <cfRule type="expression" dxfId="10529" priority="1524" stopIfTrue="1">
      <formula>AM51=CléPersonnalisée2</formula>
    </cfRule>
    <cfRule type="expression" dxfId="10528" priority="1525" stopIfTrue="1">
      <formula>AM51=CléPersonnalisée1</formula>
    </cfRule>
    <cfRule type="expression" dxfId="10527" priority="1526" stopIfTrue="1">
      <formula>AM51=CléMaladie</formula>
    </cfRule>
    <cfRule type="expression" dxfId="10526" priority="1527" stopIfTrue="1">
      <formula>AM51=CléPersonnelle</formula>
    </cfRule>
    <cfRule type="expression" dxfId="10525" priority="1528" stopIfTrue="1">
      <formula>AM51=CléCongés</formula>
    </cfRule>
  </conditionalFormatting>
  <conditionalFormatting sqref="C53:AG55">
    <cfRule type="expression" priority="1516" stopIfTrue="1">
      <formula>C53=""</formula>
    </cfRule>
    <cfRule type="expression" dxfId="10524" priority="1517" stopIfTrue="1">
      <formula>C53=CléPersonnalisée2</formula>
    </cfRule>
    <cfRule type="expression" dxfId="10523" priority="1518" stopIfTrue="1">
      <formula>C53=CléPersonnalisée1</formula>
    </cfRule>
    <cfRule type="expression" dxfId="10522" priority="1519" stopIfTrue="1">
      <formula>C53=CléMaladie</formula>
    </cfRule>
    <cfRule type="expression" dxfId="10521" priority="1520" stopIfTrue="1">
      <formula>C53=CléPersonnelle</formula>
    </cfRule>
    <cfRule type="expression" dxfId="10520" priority="1521" stopIfTrue="1">
      <formula>C53=CléCongés</formula>
    </cfRule>
  </conditionalFormatting>
  <conditionalFormatting sqref="AH55">
    <cfRule type="dataBar" priority="1522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{C991DEC7-1E96-4FC9-AA17-A4F1C8861CB8}</x14:id>
        </ext>
      </extLst>
    </cfRule>
  </conditionalFormatting>
  <conditionalFormatting sqref="AI55:AL55 AJ53:AL54">
    <cfRule type="expression" priority="1510" stopIfTrue="1">
      <formula>AI53=""</formula>
    </cfRule>
    <cfRule type="expression" dxfId="10519" priority="1511" stopIfTrue="1">
      <formula>AI53=CléPersonnalisée2</formula>
    </cfRule>
    <cfRule type="expression" dxfId="10518" priority="1512" stopIfTrue="1">
      <formula>AI53=CléPersonnalisée1</formula>
    </cfRule>
    <cfRule type="expression" dxfId="10517" priority="1513" stopIfTrue="1">
      <formula>AI53=CléMaladie</formula>
    </cfRule>
    <cfRule type="expression" dxfId="10516" priority="1514" stopIfTrue="1">
      <formula>AI53=CléPersonnelle</formula>
    </cfRule>
    <cfRule type="expression" dxfId="10515" priority="1515" stopIfTrue="1">
      <formula>AI53=CléCongés</formula>
    </cfRule>
  </conditionalFormatting>
  <conditionalFormatting sqref="AM53:AP54">
    <cfRule type="expression" priority="1504" stopIfTrue="1">
      <formula>AM53=""</formula>
    </cfRule>
    <cfRule type="expression" dxfId="10514" priority="1505" stopIfTrue="1">
      <formula>AM53=CléPersonnalisée2</formula>
    </cfRule>
    <cfRule type="expression" dxfId="10513" priority="1506" stopIfTrue="1">
      <formula>AM53=CléPersonnalisée1</formula>
    </cfRule>
    <cfRule type="expression" dxfId="10512" priority="1507" stopIfTrue="1">
      <formula>AM53=CléMaladie</formula>
    </cfRule>
    <cfRule type="expression" dxfId="10511" priority="1508" stopIfTrue="1">
      <formula>AM53=CléPersonnelle</formula>
    </cfRule>
    <cfRule type="expression" dxfId="10510" priority="1509" stopIfTrue="1">
      <formula>AM53=CléCongés</formula>
    </cfRule>
  </conditionalFormatting>
  <conditionalFormatting sqref="AQ53:AR54">
    <cfRule type="expression" priority="1498" stopIfTrue="1">
      <formula>AQ53=""</formula>
    </cfRule>
    <cfRule type="expression" dxfId="10509" priority="1499" stopIfTrue="1">
      <formula>AQ53=CléPersonnalisée2</formula>
    </cfRule>
    <cfRule type="expression" dxfId="10508" priority="1500" stopIfTrue="1">
      <formula>AQ53=CléPersonnalisée1</formula>
    </cfRule>
    <cfRule type="expression" dxfId="10507" priority="1501" stopIfTrue="1">
      <formula>AQ53=CléMaladie</formula>
    </cfRule>
    <cfRule type="expression" dxfId="10506" priority="1502" stopIfTrue="1">
      <formula>AQ53=CléPersonnelle</formula>
    </cfRule>
    <cfRule type="expression" dxfId="10505" priority="1503" stopIfTrue="1">
      <formula>AQ53=CléCongés</formula>
    </cfRule>
  </conditionalFormatting>
  <conditionalFormatting sqref="AM55 AP55">
    <cfRule type="expression" priority="1492" stopIfTrue="1">
      <formula>AM55=""</formula>
    </cfRule>
    <cfRule type="expression" dxfId="10504" priority="1493" stopIfTrue="1">
      <formula>AM55=CléPersonnalisée2</formula>
    </cfRule>
    <cfRule type="expression" dxfId="10503" priority="1494" stopIfTrue="1">
      <formula>AM55=CléPersonnalisée1</formula>
    </cfRule>
    <cfRule type="expression" dxfId="10502" priority="1495" stopIfTrue="1">
      <formula>AM55=CléMaladie</formula>
    </cfRule>
    <cfRule type="expression" dxfId="10501" priority="1496" stopIfTrue="1">
      <formula>AM55=CléPersonnelle</formula>
    </cfRule>
    <cfRule type="expression" dxfId="10500" priority="1497" stopIfTrue="1">
      <formula>AM55=CléCongés</formula>
    </cfRule>
  </conditionalFormatting>
  <conditionalFormatting sqref="C61:AG63">
    <cfRule type="expression" priority="1485" stopIfTrue="1">
      <formula>C61=""</formula>
    </cfRule>
    <cfRule type="expression" dxfId="10499" priority="1486" stopIfTrue="1">
      <formula>C61=CléPersonnalisée2</formula>
    </cfRule>
    <cfRule type="expression" dxfId="10498" priority="1487" stopIfTrue="1">
      <formula>C61=CléPersonnalisée1</formula>
    </cfRule>
    <cfRule type="expression" dxfId="10497" priority="1488" stopIfTrue="1">
      <formula>C61=CléMaladie</formula>
    </cfRule>
    <cfRule type="expression" dxfId="10496" priority="1489" stopIfTrue="1">
      <formula>C61=CléPersonnelle</formula>
    </cfRule>
    <cfRule type="expression" dxfId="10495" priority="1490" stopIfTrue="1">
      <formula>C61=CléCongés</formula>
    </cfRule>
  </conditionalFormatting>
  <conditionalFormatting sqref="AH63">
    <cfRule type="dataBar" priority="1491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{150C9C62-08B2-48AE-82A9-D717E61014CE}</x14:id>
        </ext>
      </extLst>
    </cfRule>
  </conditionalFormatting>
  <conditionalFormatting sqref="AI63:AL63 AJ61:AL62">
    <cfRule type="expression" priority="1479" stopIfTrue="1">
      <formula>AI61=""</formula>
    </cfRule>
    <cfRule type="expression" dxfId="10494" priority="1480" stopIfTrue="1">
      <formula>AI61=CléPersonnalisée2</formula>
    </cfRule>
    <cfRule type="expression" dxfId="10493" priority="1481" stopIfTrue="1">
      <formula>AI61=CléPersonnalisée1</formula>
    </cfRule>
    <cfRule type="expression" dxfId="10492" priority="1482" stopIfTrue="1">
      <formula>AI61=CléMaladie</formula>
    </cfRule>
    <cfRule type="expression" dxfId="10491" priority="1483" stopIfTrue="1">
      <formula>AI61=CléPersonnelle</formula>
    </cfRule>
    <cfRule type="expression" dxfId="10490" priority="1484" stopIfTrue="1">
      <formula>AI61=CléCongés</formula>
    </cfRule>
  </conditionalFormatting>
  <conditionalFormatting sqref="AM61:AP62">
    <cfRule type="expression" priority="1473" stopIfTrue="1">
      <formula>AM61=""</formula>
    </cfRule>
    <cfRule type="expression" dxfId="10489" priority="1474" stopIfTrue="1">
      <formula>AM61=CléPersonnalisée2</formula>
    </cfRule>
    <cfRule type="expression" dxfId="10488" priority="1475" stopIfTrue="1">
      <formula>AM61=CléPersonnalisée1</formula>
    </cfRule>
    <cfRule type="expression" dxfId="10487" priority="1476" stopIfTrue="1">
      <formula>AM61=CléMaladie</formula>
    </cfRule>
    <cfRule type="expression" dxfId="10486" priority="1477" stopIfTrue="1">
      <formula>AM61=CléPersonnelle</formula>
    </cfRule>
    <cfRule type="expression" dxfId="10485" priority="1478" stopIfTrue="1">
      <formula>AM61=CléCongés</formula>
    </cfRule>
  </conditionalFormatting>
  <conditionalFormatting sqref="AQ61:AR62">
    <cfRule type="expression" priority="1467" stopIfTrue="1">
      <formula>AQ61=""</formula>
    </cfRule>
    <cfRule type="expression" dxfId="10484" priority="1468" stopIfTrue="1">
      <formula>AQ61=CléPersonnalisée2</formula>
    </cfRule>
    <cfRule type="expression" dxfId="10483" priority="1469" stopIfTrue="1">
      <formula>AQ61=CléPersonnalisée1</formula>
    </cfRule>
    <cfRule type="expression" dxfId="10482" priority="1470" stopIfTrue="1">
      <formula>AQ61=CléMaladie</formula>
    </cfRule>
    <cfRule type="expression" dxfId="10481" priority="1471" stopIfTrue="1">
      <formula>AQ61=CléPersonnelle</formula>
    </cfRule>
    <cfRule type="expression" dxfId="10480" priority="1472" stopIfTrue="1">
      <formula>AQ61=CléCongés</formula>
    </cfRule>
  </conditionalFormatting>
  <conditionalFormatting sqref="AM63 AP63">
    <cfRule type="expression" priority="1461" stopIfTrue="1">
      <formula>AM63=""</formula>
    </cfRule>
    <cfRule type="expression" dxfId="10479" priority="1462" stopIfTrue="1">
      <formula>AM63=CléPersonnalisée2</formula>
    </cfRule>
    <cfRule type="expression" dxfId="10478" priority="1463" stopIfTrue="1">
      <formula>AM63=CléPersonnalisée1</formula>
    </cfRule>
    <cfRule type="expression" dxfId="10477" priority="1464" stopIfTrue="1">
      <formula>AM63=CléMaladie</formula>
    </cfRule>
    <cfRule type="expression" dxfId="10476" priority="1465" stopIfTrue="1">
      <formula>AM63=CléPersonnelle</formula>
    </cfRule>
    <cfRule type="expression" dxfId="10475" priority="1466" stopIfTrue="1">
      <formula>AM63=CléCongés</formula>
    </cfRule>
  </conditionalFormatting>
  <conditionalFormatting sqref="AO39">
    <cfRule type="expression" priority="1326" stopIfTrue="1">
      <formula>AO39=""</formula>
    </cfRule>
    <cfRule type="expression" dxfId="10474" priority="1327" stopIfTrue="1">
      <formula>AO39=CléPersonnalisée2</formula>
    </cfRule>
    <cfRule type="expression" dxfId="10473" priority="1328" stopIfTrue="1">
      <formula>AO39=CléPersonnalisée1</formula>
    </cfRule>
    <cfRule type="expression" dxfId="10472" priority="1329" stopIfTrue="1">
      <formula>AO39=CléMaladie</formula>
    </cfRule>
    <cfRule type="expression" dxfId="10471" priority="1330" stopIfTrue="1">
      <formula>AO39=CléPersonnelle</formula>
    </cfRule>
    <cfRule type="expression" dxfId="10470" priority="1331" stopIfTrue="1">
      <formula>AO39=CléCongés</formula>
    </cfRule>
  </conditionalFormatting>
  <conditionalFormatting sqref="C69:AG71">
    <cfRule type="expression" priority="1454" stopIfTrue="1">
      <formula>C69=""</formula>
    </cfRule>
    <cfRule type="expression" dxfId="10469" priority="1455" stopIfTrue="1">
      <formula>C69=CléPersonnalisée2</formula>
    </cfRule>
    <cfRule type="expression" dxfId="10468" priority="1456" stopIfTrue="1">
      <formula>C69=CléPersonnalisée1</formula>
    </cfRule>
    <cfRule type="expression" dxfId="10467" priority="1457" stopIfTrue="1">
      <formula>C69=CléMaladie</formula>
    </cfRule>
    <cfRule type="expression" dxfId="10466" priority="1458" stopIfTrue="1">
      <formula>C69=CléPersonnelle</formula>
    </cfRule>
    <cfRule type="expression" dxfId="10465" priority="1459" stopIfTrue="1">
      <formula>C69=CléCongés</formula>
    </cfRule>
  </conditionalFormatting>
  <conditionalFormatting sqref="AH71">
    <cfRule type="dataBar" priority="1460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{54CCB413-1015-4139-A42C-63ED3EC20726}</x14:id>
        </ext>
      </extLst>
    </cfRule>
  </conditionalFormatting>
  <conditionalFormatting sqref="AI71:AL71 AJ69:AL70">
    <cfRule type="expression" priority="1448" stopIfTrue="1">
      <formula>AI69=""</formula>
    </cfRule>
    <cfRule type="expression" dxfId="10464" priority="1449" stopIfTrue="1">
      <formula>AI69=CléPersonnalisée2</formula>
    </cfRule>
    <cfRule type="expression" dxfId="10463" priority="1450" stopIfTrue="1">
      <formula>AI69=CléPersonnalisée1</formula>
    </cfRule>
    <cfRule type="expression" dxfId="10462" priority="1451" stopIfTrue="1">
      <formula>AI69=CléMaladie</formula>
    </cfRule>
    <cfRule type="expression" dxfId="10461" priority="1452" stopIfTrue="1">
      <formula>AI69=CléPersonnelle</formula>
    </cfRule>
    <cfRule type="expression" dxfId="10460" priority="1453" stopIfTrue="1">
      <formula>AI69=CléCongés</formula>
    </cfRule>
  </conditionalFormatting>
  <conditionalFormatting sqref="AM69:AP70">
    <cfRule type="expression" priority="1442" stopIfTrue="1">
      <formula>AM69=""</formula>
    </cfRule>
    <cfRule type="expression" dxfId="10459" priority="1443" stopIfTrue="1">
      <formula>AM69=CléPersonnalisée2</formula>
    </cfRule>
    <cfRule type="expression" dxfId="10458" priority="1444" stopIfTrue="1">
      <formula>AM69=CléPersonnalisée1</formula>
    </cfRule>
    <cfRule type="expression" dxfId="10457" priority="1445" stopIfTrue="1">
      <formula>AM69=CléMaladie</formula>
    </cfRule>
    <cfRule type="expression" dxfId="10456" priority="1446" stopIfTrue="1">
      <formula>AM69=CléPersonnelle</formula>
    </cfRule>
    <cfRule type="expression" dxfId="10455" priority="1447" stopIfTrue="1">
      <formula>AM69=CléCongés</formula>
    </cfRule>
  </conditionalFormatting>
  <conditionalFormatting sqref="AQ69:AR70">
    <cfRule type="expression" priority="1436" stopIfTrue="1">
      <formula>AQ69=""</formula>
    </cfRule>
    <cfRule type="expression" dxfId="10454" priority="1437" stopIfTrue="1">
      <formula>AQ69=CléPersonnalisée2</formula>
    </cfRule>
    <cfRule type="expression" dxfId="10453" priority="1438" stopIfTrue="1">
      <formula>AQ69=CléPersonnalisée1</formula>
    </cfRule>
    <cfRule type="expression" dxfId="10452" priority="1439" stopIfTrue="1">
      <formula>AQ69=CléMaladie</formula>
    </cfRule>
    <cfRule type="expression" dxfId="10451" priority="1440" stopIfTrue="1">
      <formula>AQ69=CléPersonnelle</formula>
    </cfRule>
    <cfRule type="expression" dxfId="10450" priority="1441" stopIfTrue="1">
      <formula>AQ69=CléCongés</formula>
    </cfRule>
  </conditionalFormatting>
  <conditionalFormatting sqref="AM71 AP71">
    <cfRule type="expression" priority="1430" stopIfTrue="1">
      <formula>AM71=""</formula>
    </cfRule>
    <cfRule type="expression" dxfId="10449" priority="1431" stopIfTrue="1">
      <formula>AM71=CléPersonnalisée2</formula>
    </cfRule>
    <cfRule type="expression" dxfId="10448" priority="1432" stopIfTrue="1">
      <formula>AM71=CléPersonnalisée1</formula>
    </cfRule>
    <cfRule type="expression" dxfId="10447" priority="1433" stopIfTrue="1">
      <formula>AM71=CléMaladie</formula>
    </cfRule>
    <cfRule type="expression" dxfId="10446" priority="1434" stopIfTrue="1">
      <formula>AM71=CléPersonnelle</formula>
    </cfRule>
    <cfRule type="expression" dxfId="10445" priority="1435" stopIfTrue="1">
      <formula>AM71=CléCongés</formula>
    </cfRule>
  </conditionalFormatting>
  <conditionalFormatting sqref="AI23">
    <cfRule type="expression" priority="1418" stopIfTrue="1">
      <formula>AI23=""</formula>
    </cfRule>
    <cfRule type="expression" dxfId="10444" priority="1419" stopIfTrue="1">
      <formula>AI23=CléPersonnalisée2</formula>
    </cfRule>
    <cfRule type="expression" dxfId="10443" priority="1420" stopIfTrue="1">
      <formula>AI23=CléPersonnalisée1</formula>
    </cfRule>
    <cfRule type="expression" dxfId="10442" priority="1421" stopIfTrue="1">
      <formula>AI23=CléMaladie</formula>
    </cfRule>
    <cfRule type="expression" dxfId="10441" priority="1422" stopIfTrue="1">
      <formula>AI23=CléPersonnelle</formula>
    </cfRule>
    <cfRule type="expression" dxfId="10440" priority="1423" stopIfTrue="1">
      <formula>AI23=CléCongés</formula>
    </cfRule>
  </conditionalFormatting>
  <conditionalFormatting sqref="AI19">
    <cfRule type="expression" priority="1424" stopIfTrue="1">
      <formula>AI19=""</formula>
    </cfRule>
    <cfRule type="expression" dxfId="10439" priority="1425" stopIfTrue="1">
      <formula>AI19=CléPersonnalisée2</formula>
    </cfRule>
    <cfRule type="expression" dxfId="10438" priority="1426" stopIfTrue="1">
      <formula>AI19=CléPersonnalisée1</formula>
    </cfRule>
    <cfRule type="expression" dxfId="10437" priority="1427" stopIfTrue="1">
      <formula>AI19=CléMaladie</formula>
    </cfRule>
    <cfRule type="expression" dxfId="10436" priority="1428" stopIfTrue="1">
      <formula>AI19=CléPersonnelle</formula>
    </cfRule>
    <cfRule type="expression" dxfId="10435" priority="1429" stopIfTrue="1">
      <formula>AI19=CléCongés</formula>
    </cfRule>
  </conditionalFormatting>
  <conditionalFormatting sqref="AI25:AI26">
    <cfRule type="expression" priority="1272" stopIfTrue="1">
      <formula>AI25=""</formula>
    </cfRule>
    <cfRule type="expression" dxfId="10434" priority="1273" stopIfTrue="1">
      <formula>AI25=CléPersonnalisée2</formula>
    </cfRule>
    <cfRule type="expression" dxfId="10433" priority="1274" stopIfTrue="1">
      <formula>AI25=CléPersonnalisée1</formula>
    </cfRule>
    <cfRule type="expression" dxfId="10432" priority="1275" stopIfTrue="1">
      <formula>AI25=CléMaladie</formula>
    </cfRule>
    <cfRule type="expression" dxfId="10431" priority="1276" stopIfTrue="1">
      <formula>AI25=CléPersonnelle</formula>
    </cfRule>
    <cfRule type="expression" dxfId="10430" priority="1277" stopIfTrue="1">
      <formula>AI25=CléCongés</formula>
    </cfRule>
  </conditionalFormatting>
  <conditionalFormatting sqref="AH19">
    <cfRule type="dataBar" priority="1417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{4CEA14D7-4B80-49AC-B6E5-2F1ED7A073E5}</x14:id>
        </ext>
      </extLst>
    </cfRule>
  </conditionalFormatting>
  <conditionalFormatting sqref="AH23">
    <cfRule type="dataBar" priority="1416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{94F78DD4-3035-4208-BEF5-F7EB4E6B21A2}</x14:id>
        </ext>
      </extLst>
    </cfRule>
  </conditionalFormatting>
  <conditionalFormatting sqref="AM17:AP18">
    <cfRule type="expression" priority="1410" stopIfTrue="1">
      <formula>AM17=""</formula>
    </cfRule>
    <cfRule type="expression" dxfId="10429" priority="1411" stopIfTrue="1">
      <formula>AM17=CléPersonnalisée2</formula>
    </cfRule>
    <cfRule type="expression" dxfId="10428" priority="1412" stopIfTrue="1">
      <formula>AM17=CléPersonnalisée1</formula>
    </cfRule>
    <cfRule type="expression" dxfId="10427" priority="1413" stopIfTrue="1">
      <formula>AM17=CléMaladie</formula>
    </cfRule>
    <cfRule type="expression" dxfId="10426" priority="1414" stopIfTrue="1">
      <formula>AM17=CléPersonnelle</formula>
    </cfRule>
    <cfRule type="expression" dxfId="10425" priority="1415" stopIfTrue="1">
      <formula>AM17=CléCongés</formula>
    </cfRule>
  </conditionalFormatting>
  <conditionalFormatting sqref="AQ17:AR18">
    <cfRule type="expression" priority="1404" stopIfTrue="1">
      <formula>AQ17=""</formula>
    </cfRule>
    <cfRule type="expression" dxfId="10424" priority="1405" stopIfTrue="1">
      <formula>AQ17=CléPersonnalisée2</formula>
    </cfRule>
    <cfRule type="expression" dxfId="10423" priority="1406" stopIfTrue="1">
      <formula>AQ17=CléPersonnalisée1</formula>
    </cfRule>
    <cfRule type="expression" dxfId="10422" priority="1407" stopIfTrue="1">
      <formula>AQ17=CléMaladie</formula>
    </cfRule>
    <cfRule type="expression" dxfId="10421" priority="1408" stopIfTrue="1">
      <formula>AQ17=CléPersonnelle</formula>
    </cfRule>
    <cfRule type="expression" dxfId="10420" priority="1409" stopIfTrue="1">
      <formula>AQ17=CléCongés</formula>
    </cfRule>
  </conditionalFormatting>
  <conditionalFormatting sqref="AM19 AP19">
    <cfRule type="expression" priority="1398" stopIfTrue="1">
      <formula>AM19=""</formula>
    </cfRule>
    <cfRule type="expression" dxfId="10419" priority="1399" stopIfTrue="1">
      <formula>AM19=CléPersonnalisée2</formula>
    </cfRule>
    <cfRule type="expression" dxfId="10418" priority="1400" stopIfTrue="1">
      <formula>AM19=CléPersonnalisée1</formula>
    </cfRule>
    <cfRule type="expression" dxfId="10417" priority="1401" stopIfTrue="1">
      <formula>AM19=CléMaladie</formula>
    </cfRule>
    <cfRule type="expression" dxfId="10416" priority="1402" stopIfTrue="1">
      <formula>AM19=CléPersonnelle</formula>
    </cfRule>
    <cfRule type="expression" dxfId="10415" priority="1403" stopIfTrue="1">
      <formula>AM19=CléCongés</formula>
    </cfRule>
  </conditionalFormatting>
  <conditionalFormatting sqref="AO31">
    <cfRule type="expression" priority="1338" stopIfTrue="1">
      <formula>AO31=""</formula>
    </cfRule>
    <cfRule type="expression" dxfId="10414" priority="1339" stopIfTrue="1">
      <formula>AO31=CléPersonnalisée2</formula>
    </cfRule>
    <cfRule type="expression" dxfId="10413" priority="1340" stopIfTrue="1">
      <formula>AO31=CléPersonnalisée1</formula>
    </cfRule>
    <cfRule type="expression" dxfId="10412" priority="1341" stopIfTrue="1">
      <formula>AO31=CléMaladie</formula>
    </cfRule>
    <cfRule type="expression" dxfId="10411" priority="1342" stopIfTrue="1">
      <formula>AO31=CléPersonnelle</formula>
    </cfRule>
    <cfRule type="expression" dxfId="10410" priority="1343" stopIfTrue="1">
      <formula>AO31=CléCongés</formula>
    </cfRule>
  </conditionalFormatting>
  <conditionalFormatting sqref="AM21:AP22">
    <cfRule type="expression" priority="1392" stopIfTrue="1">
      <formula>AM21=""</formula>
    </cfRule>
    <cfRule type="expression" dxfId="10409" priority="1393" stopIfTrue="1">
      <formula>AM21=CléPersonnalisée2</formula>
    </cfRule>
    <cfRule type="expression" dxfId="10408" priority="1394" stopIfTrue="1">
      <formula>AM21=CléPersonnalisée1</formula>
    </cfRule>
    <cfRule type="expression" dxfId="10407" priority="1395" stopIfTrue="1">
      <formula>AM21=CléMaladie</formula>
    </cfRule>
    <cfRule type="expression" dxfId="10406" priority="1396" stopIfTrue="1">
      <formula>AM21=CléPersonnelle</formula>
    </cfRule>
    <cfRule type="expression" dxfId="10405" priority="1397" stopIfTrue="1">
      <formula>AM21=CléCongés</formula>
    </cfRule>
  </conditionalFormatting>
  <conditionalFormatting sqref="AQ21:AR22">
    <cfRule type="expression" priority="1386" stopIfTrue="1">
      <formula>AQ21=""</formula>
    </cfRule>
    <cfRule type="expression" dxfId="10404" priority="1387" stopIfTrue="1">
      <formula>AQ21=CléPersonnalisée2</formula>
    </cfRule>
    <cfRule type="expression" dxfId="10403" priority="1388" stopIfTrue="1">
      <formula>AQ21=CléPersonnalisée1</formula>
    </cfRule>
    <cfRule type="expression" dxfId="10402" priority="1389" stopIfTrue="1">
      <formula>AQ21=CléMaladie</formula>
    </cfRule>
    <cfRule type="expression" dxfId="10401" priority="1390" stopIfTrue="1">
      <formula>AQ21=CléPersonnelle</formula>
    </cfRule>
    <cfRule type="expression" dxfId="10400" priority="1391" stopIfTrue="1">
      <formula>AQ21=CléCongés</formula>
    </cfRule>
  </conditionalFormatting>
  <conditionalFormatting sqref="AM23 AP23">
    <cfRule type="expression" priority="1380" stopIfTrue="1">
      <formula>AM23=""</formula>
    </cfRule>
    <cfRule type="expression" dxfId="10399" priority="1381" stopIfTrue="1">
      <formula>AM23=CléPersonnalisée2</formula>
    </cfRule>
    <cfRule type="expression" dxfId="10398" priority="1382" stopIfTrue="1">
      <formula>AM23=CléPersonnalisée1</formula>
    </cfRule>
    <cfRule type="expression" dxfId="10397" priority="1383" stopIfTrue="1">
      <formula>AM23=CléMaladie</formula>
    </cfRule>
    <cfRule type="expression" dxfId="10396" priority="1384" stopIfTrue="1">
      <formula>AM23=CléPersonnelle</formula>
    </cfRule>
    <cfRule type="expression" dxfId="10395" priority="1385" stopIfTrue="1">
      <formula>AM23=CléCongés</formula>
    </cfRule>
  </conditionalFormatting>
  <conditionalFormatting sqref="AH17:AH18">
    <cfRule type="dataBar" priority="1379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{581C9871-4C0A-4DA9-9507-4F5F1E1624B2}</x14:id>
        </ext>
      </extLst>
    </cfRule>
  </conditionalFormatting>
  <conditionalFormatting sqref="AH21:AH22">
    <cfRule type="dataBar" priority="1378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{73DB22B5-D9D7-4196-A400-22902272AE2B}</x14:id>
        </ext>
      </extLst>
    </cfRule>
  </conditionalFormatting>
  <conditionalFormatting sqref="AH25:AH26">
    <cfRule type="dataBar" priority="1377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{0394FD74-53D4-4F92-BEC8-E14FCB933AE5}</x14:id>
        </ext>
      </extLst>
    </cfRule>
  </conditionalFormatting>
  <conditionalFormatting sqref="AH29:AH30">
    <cfRule type="dataBar" priority="1376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{D3112892-538C-46B6-ABBF-5BD69F7C1B07}</x14:id>
        </ext>
      </extLst>
    </cfRule>
  </conditionalFormatting>
  <conditionalFormatting sqref="AH33:AH34">
    <cfRule type="dataBar" priority="1375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{B8AA90D5-C035-4E2F-AFEC-2A35EE7344CE}</x14:id>
        </ext>
      </extLst>
    </cfRule>
  </conditionalFormatting>
  <conditionalFormatting sqref="AH37:AH38">
    <cfRule type="dataBar" priority="1374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{C631B4AC-81B3-43A3-BF65-4722181CFAA6}</x14:id>
        </ext>
      </extLst>
    </cfRule>
  </conditionalFormatting>
  <conditionalFormatting sqref="AH41:AH42">
    <cfRule type="dataBar" priority="1373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{7634DCF1-E959-4B22-A5F8-3FAE289AD8B2}</x14:id>
        </ext>
      </extLst>
    </cfRule>
  </conditionalFormatting>
  <conditionalFormatting sqref="AH45:AH46">
    <cfRule type="dataBar" priority="1372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{B2D8F6E1-7A6D-4CA2-AE15-DAEEFE2BDCD1}</x14:id>
        </ext>
      </extLst>
    </cfRule>
  </conditionalFormatting>
  <conditionalFormatting sqref="AH49:AH50">
    <cfRule type="dataBar" priority="1371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{6C446593-43C9-4269-B945-3C43D84597BA}</x14:id>
        </ext>
      </extLst>
    </cfRule>
  </conditionalFormatting>
  <conditionalFormatting sqref="AH53:AH54">
    <cfRule type="dataBar" priority="1370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{1F8DBD3F-1A97-46B1-8350-016C2CAC3591}</x14:id>
        </ext>
      </extLst>
    </cfRule>
  </conditionalFormatting>
  <conditionalFormatting sqref="AH61:AH62">
    <cfRule type="dataBar" priority="1369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{6B85F2E4-17E7-412A-A135-9345F1FD27CB}</x14:id>
        </ext>
      </extLst>
    </cfRule>
  </conditionalFormatting>
  <conditionalFormatting sqref="AH69:AH70">
    <cfRule type="dataBar" priority="1368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{BFE471BD-B517-4A4D-93BB-72CEBA4EB862}</x14:id>
        </ext>
      </extLst>
    </cfRule>
  </conditionalFormatting>
  <conditionalFormatting sqref="AO11">
    <cfRule type="expression" priority="1362" stopIfTrue="1">
      <formula>AO11=""</formula>
    </cfRule>
    <cfRule type="expression" dxfId="10394" priority="1363" stopIfTrue="1">
      <formula>AO11=CléPersonnalisée2</formula>
    </cfRule>
    <cfRule type="expression" dxfId="10393" priority="1364" stopIfTrue="1">
      <formula>AO11=CléPersonnalisée1</formula>
    </cfRule>
    <cfRule type="expression" dxfId="10392" priority="1365" stopIfTrue="1">
      <formula>AO11=CléMaladie</formula>
    </cfRule>
    <cfRule type="expression" dxfId="10391" priority="1366" stopIfTrue="1">
      <formula>AO11=CléPersonnelle</formula>
    </cfRule>
    <cfRule type="expression" dxfId="10390" priority="1367" stopIfTrue="1">
      <formula>AO11=CléCongés</formula>
    </cfRule>
  </conditionalFormatting>
  <conditionalFormatting sqref="AO19">
    <cfRule type="expression" priority="1356" stopIfTrue="1">
      <formula>AO19=""</formula>
    </cfRule>
    <cfRule type="expression" dxfId="10389" priority="1357" stopIfTrue="1">
      <formula>AO19=CléPersonnalisée2</formula>
    </cfRule>
    <cfRule type="expression" dxfId="10388" priority="1358" stopIfTrue="1">
      <formula>AO19=CléPersonnalisée1</formula>
    </cfRule>
    <cfRule type="expression" dxfId="10387" priority="1359" stopIfTrue="1">
      <formula>AO19=CléMaladie</formula>
    </cfRule>
    <cfRule type="expression" dxfId="10386" priority="1360" stopIfTrue="1">
      <formula>AO19=CléPersonnelle</formula>
    </cfRule>
    <cfRule type="expression" dxfId="10385" priority="1361" stopIfTrue="1">
      <formula>AO19=CléCongés</formula>
    </cfRule>
  </conditionalFormatting>
  <conditionalFormatting sqref="AO23">
    <cfRule type="expression" priority="1350" stopIfTrue="1">
      <formula>AO23=""</formula>
    </cfRule>
    <cfRule type="expression" dxfId="10384" priority="1351" stopIfTrue="1">
      <formula>AO23=CléPersonnalisée2</formula>
    </cfRule>
    <cfRule type="expression" dxfId="10383" priority="1352" stopIfTrue="1">
      <formula>AO23=CléPersonnalisée1</formula>
    </cfRule>
    <cfRule type="expression" dxfId="10382" priority="1353" stopIfTrue="1">
      <formula>AO23=CléMaladie</formula>
    </cfRule>
    <cfRule type="expression" dxfId="10381" priority="1354" stopIfTrue="1">
      <formula>AO23=CléPersonnelle</formula>
    </cfRule>
    <cfRule type="expression" dxfId="10380" priority="1355" stopIfTrue="1">
      <formula>AO23=CléCongés</formula>
    </cfRule>
  </conditionalFormatting>
  <conditionalFormatting sqref="AO27">
    <cfRule type="expression" priority="1344" stopIfTrue="1">
      <formula>AO27=""</formula>
    </cfRule>
    <cfRule type="expression" dxfId="10379" priority="1345" stopIfTrue="1">
      <formula>AO27=CléPersonnalisée2</formula>
    </cfRule>
    <cfRule type="expression" dxfId="10378" priority="1346" stopIfTrue="1">
      <formula>AO27=CléPersonnalisée1</formula>
    </cfRule>
    <cfRule type="expression" dxfId="10377" priority="1347" stopIfTrue="1">
      <formula>AO27=CléMaladie</formula>
    </cfRule>
    <cfRule type="expression" dxfId="10376" priority="1348" stopIfTrue="1">
      <formula>AO27=CléPersonnelle</formula>
    </cfRule>
    <cfRule type="expression" dxfId="10375" priority="1349" stopIfTrue="1">
      <formula>AO27=CléCongés</formula>
    </cfRule>
  </conditionalFormatting>
  <conditionalFormatting sqref="AM65:AP66">
    <cfRule type="expression" priority="1090" stopIfTrue="1">
      <formula>AM65=""</formula>
    </cfRule>
    <cfRule type="expression" dxfId="10374" priority="1091" stopIfTrue="1">
      <formula>AM65=CléPersonnalisée2</formula>
    </cfRule>
    <cfRule type="expression" dxfId="10373" priority="1092" stopIfTrue="1">
      <formula>AM65=CléPersonnalisée1</formula>
    </cfRule>
    <cfRule type="expression" dxfId="10372" priority="1093" stopIfTrue="1">
      <formula>AM65=CléMaladie</formula>
    </cfRule>
    <cfRule type="expression" dxfId="10371" priority="1094" stopIfTrue="1">
      <formula>AM65=CléPersonnelle</formula>
    </cfRule>
    <cfRule type="expression" dxfId="10370" priority="1095" stopIfTrue="1">
      <formula>AM65=CléCongés</formula>
    </cfRule>
  </conditionalFormatting>
  <conditionalFormatting sqref="AO35">
    <cfRule type="expression" priority="1332" stopIfTrue="1">
      <formula>AO35=""</formula>
    </cfRule>
    <cfRule type="expression" dxfId="10369" priority="1333" stopIfTrue="1">
      <formula>AO35=CléPersonnalisée2</formula>
    </cfRule>
    <cfRule type="expression" dxfId="10368" priority="1334" stopIfTrue="1">
      <formula>AO35=CléPersonnalisée1</formula>
    </cfRule>
    <cfRule type="expression" dxfId="10367" priority="1335" stopIfTrue="1">
      <formula>AO35=CléMaladie</formula>
    </cfRule>
    <cfRule type="expression" dxfId="10366" priority="1336" stopIfTrue="1">
      <formula>AO35=CléPersonnelle</formula>
    </cfRule>
    <cfRule type="expression" dxfId="10365" priority="1337" stopIfTrue="1">
      <formula>AO35=CléCongés</formula>
    </cfRule>
  </conditionalFormatting>
  <conditionalFormatting sqref="AM67 AP67">
    <cfRule type="expression" priority="1078" stopIfTrue="1">
      <formula>AM67=""</formula>
    </cfRule>
    <cfRule type="expression" dxfId="10364" priority="1079" stopIfTrue="1">
      <formula>AM67=CléPersonnalisée2</formula>
    </cfRule>
    <cfRule type="expression" dxfId="10363" priority="1080" stopIfTrue="1">
      <formula>AM67=CléPersonnalisée1</formula>
    </cfRule>
    <cfRule type="expression" dxfId="10362" priority="1081" stopIfTrue="1">
      <formula>AM67=CléMaladie</formula>
    </cfRule>
    <cfRule type="expression" dxfId="10361" priority="1082" stopIfTrue="1">
      <formula>AM67=CléPersonnelle</formula>
    </cfRule>
    <cfRule type="expression" dxfId="10360" priority="1083" stopIfTrue="1">
      <formula>AM67=CléCongés</formula>
    </cfRule>
  </conditionalFormatting>
  <conditionalFormatting sqref="AO43">
    <cfRule type="expression" priority="1320" stopIfTrue="1">
      <formula>AO43=""</formula>
    </cfRule>
    <cfRule type="expression" dxfId="10359" priority="1321" stopIfTrue="1">
      <formula>AO43=CléPersonnalisée2</formula>
    </cfRule>
    <cfRule type="expression" dxfId="10358" priority="1322" stopIfTrue="1">
      <formula>AO43=CléPersonnalisée1</formula>
    </cfRule>
    <cfRule type="expression" dxfId="10357" priority="1323" stopIfTrue="1">
      <formula>AO43=CléMaladie</formula>
    </cfRule>
    <cfRule type="expression" dxfId="10356" priority="1324" stopIfTrue="1">
      <formula>AO43=CléPersonnelle</formula>
    </cfRule>
    <cfRule type="expression" dxfId="10355" priority="1325" stopIfTrue="1">
      <formula>AO43=CléCongés</formula>
    </cfRule>
  </conditionalFormatting>
  <conditionalFormatting sqref="AO47">
    <cfRule type="expression" priority="1314" stopIfTrue="1">
      <formula>AO47=""</formula>
    </cfRule>
    <cfRule type="expression" dxfId="10354" priority="1315" stopIfTrue="1">
      <formula>AO47=CléPersonnalisée2</formula>
    </cfRule>
    <cfRule type="expression" dxfId="10353" priority="1316" stopIfTrue="1">
      <formula>AO47=CléPersonnalisée1</formula>
    </cfRule>
    <cfRule type="expression" dxfId="10352" priority="1317" stopIfTrue="1">
      <formula>AO47=CléMaladie</formula>
    </cfRule>
    <cfRule type="expression" dxfId="10351" priority="1318" stopIfTrue="1">
      <formula>AO47=CléPersonnelle</formula>
    </cfRule>
    <cfRule type="expression" dxfId="10350" priority="1319" stopIfTrue="1">
      <formula>AO47=CléCongés</formula>
    </cfRule>
  </conditionalFormatting>
  <conditionalFormatting sqref="AO51">
    <cfRule type="expression" priority="1308" stopIfTrue="1">
      <formula>AO51=""</formula>
    </cfRule>
    <cfRule type="expression" dxfId="10349" priority="1309" stopIfTrue="1">
      <formula>AO51=CléPersonnalisée2</formula>
    </cfRule>
    <cfRule type="expression" dxfId="10348" priority="1310" stopIfTrue="1">
      <formula>AO51=CléPersonnalisée1</formula>
    </cfRule>
    <cfRule type="expression" dxfId="10347" priority="1311" stopIfTrue="1">
      <formula>AO51=CléMaladie</formula>
    </cfRule>
    <cfRule type="expression" dxfId="10346" priority="1312" stopIfTrue="1">
      <formula>AO51=CléPersonnelle</formula>
    </cfRule>
    <cfRule type="expression" dxfId="10345" priority="1313" stopIfTrue="1">
      <formula>AO51=CléCongés</formula>
    </cfRule>
  </conditionalFormatting>
  <conditionalFormatting sqref="AO55">
    <cfRule type="expression" priority="1302" stopIfTrue="1">
      <formula>AO55=""</formula>
    </cfRule>
    <cfRule type="expression" dxfId="10344" priority="1303" stopIfTrue="1">
      <formula>AO55=CléPersonnalisée2</formula>
    </cfRule>
    <cfRule type="expression" dxfId="10343" priority="1304" stopIfTrue="1">
      <formula>AO55=CléPersonnalisée1</formula>
    </cfRule>
    <cfRule type="expression" dxfId="10342" priority="1305" stopIfTrue="1">
      <formula>AO55=CléMaladie</formula>
    </cfRule>
    <cfRule type="expression" dxfId="10341" priority="1306" stopIfTrue="1">
      <formula>AO55=CléPersonnelle</formula>
    </cfRule>
    <cfRule type="expression" dxfId="10340" priority="1307" stopIfTrue="1">
      <formula>AO55=CléCongés</formula>
    </cfRule>
  </conditionalFormatting>
  <conditionalFormatting sqref="AO63">
    <cfRule type="expression" priority="1296" stopIfTrue="1">
      <formula>AO63=""</formula>
    </cfRule>
    <cfRule type="expression" dxfId="10339" priority="1297" stopIfTrue="1">
      <formula>AO63=CléPersonnalisée2</formula>
    </cfRule>
    <cfRule type="expression" dxfId="10338" priority="1298" stopIfTrue="1">
      <formula>AO63=CléPersonnalisée1</formula>
    </cfRule>
    <cfRule type="expression" dxfId="10337" priority="1299" stopIfTrue="1">
      <formula>AO63=CléMaladie</formula>
    </cfRule>
    <cfRule type="expression" dxfId="10336" priority="1300" stopIfTrue="1">
      <formula>AO63=CléPersonnelle</formula>
    </cfRule>
    <cfRule type="expression" dxfId="10335" priority="1301" stopIfTrue="1">
      <formula>AO63=CléCongés</formula>
    </cfRule>
  </conditionalFormatting>
  <conditionalFormatting sqref="AO71">
    <cfRule type="expression" priority="1290" stopIfTrue="1">
      <formula>AO71=""</formula>
    </cfRule>
    <cfRule type="expression" dxfId="10334" priority="1291" stopIfTrue="1">
      <formula>AO71=CléPersonnalisée2</formula>
    </cfRule>
    <cfRule type="expression" dxfId="10333" priority="1292" stopIfTrue="1">
      <formula>AO71=CléPersonnalisée1</formula>
    </cfRule>
    <cfRule type="expression" dxfId="10332" priority="1293" stopIfTrue="1">
      <formula>AO71=CléMaladie</formula>
    </cfRule>
    <cfRule type="expression" dxfId="10331" priority="1294" stopIfTrue="1">
      <formula>AO71=CléPersonnelle</formula>
    </cfRule>
    <cfRule type="expression" dxfId="10330" priority="1295" stopIfTrue="1">
      <formula>AO71=CléCongés</formula>
    </cfRule>
  </conditionalFormatting>
  <conditionalFormatting sqref="AI17:AI18">
    <cfRule type="expression" priority="1284" stopIfTrue="1">
      <formula>AI17=""</formula>
    </cfRule>
    <cfRule type="expression" dxfId="10329" priority="1285" stopIfTrue="1">
      <formula>AI17=CléPersonnalisée2</formula>
    </cfRule>
    <cfRule type="expression" dxfId="10328" priority="1286" stopIfTrue="1">
      <formula>AI17=CléPersonnalisée1</formula>
    </cfRule>
    <cfRule type="expression" dxfId="10327" priority="1287" stopIfTrue="1">
      <formula>AI17=CléMaladie</formula>
    </cfRule>
    <cfRule type="expression" dxfId="10326" priority="1288" stopIfTrue="1">
      <formula>AI17=CléPersonnelle</formula>
    </cfRule>
    <cfRule type="expression" dxfId="10325" priority="1289" stopIfTrue="1">
      <formula>AI17=CléCongés</formula>
    </cfRule>
  </conditionalFormatting>
  <conditionalFormatting sqref="AI21:AI22">
    <cfRule type="expression" priority="1278" stopIfTrue="1">
      <formula>AI21=""</formula>
    </cfRule>
    <cfRule type="expression" dxfId="10324" priority="1279" stopIfTrue="1">
      <formula>AI21=CléPersonnalisée2</formula>
    </cfRule>
    <cfRule type="expression" dxfId="10323" priority="1280" stopIfTrue="1">
      <formula>AI21=CléPersonnalisée1</formula>
    </cfRule>
    <cfRule type="expression" dxfId="10322" priority="1281" stopIfTrue="1">
      <formula>AI21=CléMaladie</formula>
    </cfRule>
    <cfRule type="expression" dxfId="10321" priority="1282" stopIfTrue="1">
      <formula>AI21=CléPersonnelle</formula>
    </cfRule>
    <cfRule type="expression" dxfId="10320" priority="1283" stopIfTrue="1">
      <formula>AI21=CléCongés</formula>
    </cfRule>
  </conditionalFormatting>
  <conditionalFormatting sqref="AI29:AI30">
    <cfRule type="expression" priority="1266" stopIfTrue="1">
      <formula>AI29=""</formula>
    </cfRule>
    <cfRule type="expression" dxfId="10319" priority="1267" stopIfTrue="1">
      <formula>AI29=CléPersonnalisée2</formula>
    </cfRule>
    <cfRule type="expression" dxfId="10318" priority="1268" stopIfTrue="1">
      <formula>AI29=CléPersonnalisée1</formula>
    </cfRule>
    <cfRule type="expression" dxfId="10317" priority="1269" stopIfTrue="1">
      <formula>AI29=CléMaladie</formula>
    </cfRule>
    <cfRule type="expression" dxfId="10316" priority="1270" stopIfTrue="1">
      <formula>AI29=CléPersonnelle</formula>
    </cfRule>
    <cfRule type="expression" dxfId="10315" priority="1271" stopIfTrue="1">
      <formula>AI29=CléCongés</formula>
    </cfRule>
  </conditionalFormatting>
  <conditionalFormatting sqref="AI33:AI34">
    <cfRule type="expression" priority="1260" stopIfTrue="1">
      <formula>AI33=""</formula>
    </cfRule>
    <cfRule type="expression" dxfId="10314" priority="1261" stopIfTrue="1">
      <formula>AI33=CléPersonnalisée2</formula>
    </cfRule>
    <cfRule type="expression" dxfId="10313" priority="1262" stopIfTrue="1">
      <formula>AI33=CléPersonnalisée1</formula>
    </cfRule>
    <cfRule type="expression" dxfId="10312" priority="1263" stopIfTrue="1">
      <formula>AI33=CléMaladie</formula>
    </cfRule>
    <cfRule type="expression" dxfId="10311" priority="1264" stopIfTrue="1">
      <formula>AI33=CléPersonnelle</formula>
    </cfRule>
    <cfRule type="expression" dxfId="10310" priority="1265" stopIfTrue="1">
      <formula>AI33=CléCongés</formula>
    </cfRule>
  </conditionalFormatting>
  <conditionalFormatting sqref="AI37:AI38">
    <cfRule type="expression" priority="1254" stopIfTrue="1">
      <formula>AI37=""</formula>
    </cfRule>
    <cfRule type="expression" dxfId="10309" priority="1255" stopIfTrue="1">
      <formula>AI37=CléPersonnalisée2</formula>
    </cfRule>
    <cfRule type="expression" dxfId="10308" priority="1256" stopIfTrue="1">
      <formula>AI37=CléPersonnalisée1</formula>
    </cfRule>
    <cfRule type="expression" dxfId="10307" priority="1257" stopIfTrue="1">
      <formula>AI37=CléMaladie</formula>
    </cfRule>
    <cfRule type="expression" dxfId="10306" priority="1258" stopIfTrue="1">
      <formula>AI37=CléPersonnelle</formula>
    </cfRule>
    <cfRule type="expression" dxfId="10305" priority="1259" stopIfTrue="1">
      <formula>AI37=CléCongés</formula>
    </cfRule>
  </conditionalFormatting>
  <conditionalFormatting sqref="AI41:AI42">
    <cfRule type="expression" priority="1248" stopIfTrue="1">
      <formula>AI41=""</formula>
    </cfRule>
    <cfRule type="expression" dxfId="10304" priority="1249" stopIfTrue="1">
      <formula>AI41=CléPersonnalisée2</formula>
    </cfRule>
    <cfRule type="expression" dxfId="10303" priority="1250" stopIfTrue="1">
      <formula>AI41=CléPersonnalisée1</formula>
    </cfRule>
    <cfRule type="expression" dxfId="10302" priority="1251" stopIfTrue="1">
      <formula>AI41=CléMaladie</formula>
    </cfRule>
    <cfRule type="expression" dxfId="10301" priority="1252" stopIfTrue="1">
      <formula>AI41=CléPersonnelle</formula>
    </cfRule>
    <cfRule type="expression" dxfId="10300" priority="1253" stopIfTrue="1">
      <formula>AI41=CléCongés</formula>
    </cfRule>
  </conditionalFormatting>
  <conditionalFormatting sqref="AI45:AI46">
    <cfRule type="expression" priority="1242" stopIfTrue="1">
      <formula>AI45=""</formula>
    </cfRule>
    <cfRule type="expression" dxfId="10299" priority="1243" stopIfTrue="1">
      <formula>AI45=CléPersonnalisée2</formula>
    </cfRule>
    <cfRule type="expression" dxfId="10298" priority="1244" stopIfTrue="1">
      <formula>AI45=CléPersonnalisée1</formula>
    </cfRule>
    <cfRule type="expression" dxfId="10297" priority="1245" stopIfTrue="1">
      <formula>AI45=CléMaladie</formula>
    </cfRule>
    <cfRule type="expression" dxfId="10296" priority="1246" stopIfTrue="1">
      <formula>AI45=CléPersonnelle</formula>
    </cfRule>
    <cfRule type="expression" dxfId="10295" priority="1247" stopIfTrue="1">
      <formula>AI45=CléCongés</formula>
    </cfRule>
  </conditionalFormatting>
  <conditionalFormatting sqref="AI49:AI50">
    <cfRule type="expression" priority="1236" stopIfTrue="1">
      <formula>AI49=""</formula>
    </cfRule>
    <cfRule type="expression" dxfId="10294" priority="1237" stopIfTrue="1">
      <formula>AI49=CléPersonnalisée2</formula>
    </cfRule>
    <cfRule type="expression" dxfId="10293" priority="1238" stopIfTrue="1">
      <formula>AI49=CléPersonnalisée1</formula>
    </cfRule>
    <cfRule type="expression" dxfId="10292" priority="1239" stopIfTrue="1">
      <formula>AI49=CléMaladie</formula>
    </cfRule>
    <cfRule type="expression" dxfId="10291" priority="1240" stopIfTrue="1">
      <formula>AI49=CléPersonnelle</formula>
    </cfRule>
    <cfRule type="expression" dxfId="10290" priority="1241" stopIfTrue="1">
      <formula>AI49=CléCongés</formula>
    </cfRule>
  </conditionalFormatting>
  <conditionalFormatting sqref="AI53:AI54">
    <cfRule type="expression" priority="1230" stopIfTrue="1">
      <formula>AI53=""</formula>
    </cfRule>
    <cfRule type="expression" dxfId="10289" priority="1231" stopIfTrue="1">
      <formula>AI53=CléPersonnalisée2</formula>
    </cfRule>
    <cfRule type="expression" dxfId="10288" priority="1232" stopIfTrue="1">
      <formula>AI53=CléPersonnalisée1</formula>
    </cfRule>
    <cfRule type="expression" dxfId="10287" priority="1233" stopIfTrue="1">
      <formula>AI53=CléMaladie</formula>
    </cfRule>
    <cfRule type="expression" dxfId="10286" priority="1234" stopIfTrue="1">
      <formula>AI53=CléPersonnelle</formula>
    </cfRule>
    <cfRule type="expression" dxfId="10285" priority="1235" stopIfTrue="1">
      <formula>AI53=CléCongés</formula>
    </cfRule>
  </conditionalFormatting>
  <conditionalFormatting sqref="AI61:AI62">
    <cfRule type="expression" priority="1224" stopIfTrue="1">
      <formula>AI61=""</formula>
    </cfRule>
    <cfRule type="expression" dxfId="10284" priority="1225" stopIfTrue="1">
      <formula>AI61=CléPersonnalisée2</formula>
    </cfRule>
    <cfRule type="expression" dxfId="10283" priority="1226" stopIfTrue="1">
      <formula>AI61=CléPersonnalisée1</formula>
    </cfRule>
    <cfRule type="expression" dxfId="10282" priority="1227" stopIfTrue="1">
      <formula>AI61=CléMaladie</formula>
    </cfRule>
    <cfRule type="expression" dxfId="10281" priority="1228" stopIfTrue="1">
      <formula>AI61=CléPersonnelle</formula>
    </cfRule>
    <cfRule type="expression" dxfId="10280" priority="1229" stopIfTrue="1">
      <formula>AI61=CléCongés</formula>
    </cfRule>
  </conditionalFormatting>
  <conditionalFormatting sqref="AI69:AI70">
    <cfRule type="expression" priority="1218" stopIfTrue="1">
      <formula>AI69=""</formula>
    </cfRule>
    <cfRule type="expression" dxfId="10279" priority="1219" stopIfTrue="1">
      <formula>AI69=CléPersonnalisée2</formula>
    </cfRule>
    <cfRule type="expression" dxfId="10278" priority="1220" stopIfTrue="1">
      <formula>AI69=CléPersonnalisée1</formula>
    </cfRule>
    <cfRule type="expression" dxfId="10277" priority="1221" stopIfTrue="1">
      <formula>AI69=CléMaladie</formula>
    </cfRule>
    <cfRule type="expression" dxfId="10276" priority="1222" stopIfTrue="1">
      <formula>AI69=CléPersonnelle</formula>
    </cfRule>
    <cfRule type="expression" dxfId="10275" priority="1223" stopIfTrue="1">
      <formula>AI69=CléCongés</formula>
    </cfRule>
  </conditionalFormatting>
  <conditionalFormatting sqref="AN11">
    <cfRule type="expression" priority="1212" stopIfTrue="1">
      <formula>AN11=""</formula>
    </cfRule>
    <cfRule type="expression" dxfId="10274" priority="1213" stopIfTrue="1">
      <formula>AN11=CléPersonnalisée2</formula>
    </cfRule>
    <cfRule type="expression" dxfId="10273" priority="1214" stopIfTrue="1">
      <formula>AN11=CléPersonnalisée1</formula>
    </cfRule>
    <cfRule type="expression" dxfId="10272" priority="1215" stopIfTrue="1">
      <formula>AN11=CléMaladie</formula>
    </cfRule>
    <cfRule type="expression" dxfId="10271" priority="1216" stopIfTrue="1">
      <formula>AN11=CléPersonnelle</formula>
    </cfRule>
    <cfRule type="expression" dxfId="10270" priority="1217" stopIfTrue="1">
      <formula>AN11=CléCongés</formula>
    </cfRule>
  </conditionalFormatting>
  <conditionalFormatting sqref="AN19">
    <cfRule type="expression" priority="1206" stopIfTrue="1">
      <formula>AN19=""</formula>
    </cfRule>
    <cfRule type="expression" dxfId="10269" priority="1207" stopIfTrue="1">
      <formula>AN19=CléPersonnalisée2</formula>
    </cfRule>
    <cfRule type="expression" dxfId="10268" priority="1208" stopIfTrue="1">
      <formula>AN19=CléPersonnalisée1</formula>
    </cfRule>
    <cfRule type="expression" dxfId="10267" priority="1209" stopIfTrue="1">
      <formula>AN19=CléMaladie</formula>
    </cfRule>
    <cfRule type="expression" dxfId="10266" priority="1210" stopIfTrue="1">
      <formula>AN19=CléPersonnelle</formula>
    </cfRule>
    <cfRule type="expression" dxfId="10265" priority="1211" stopIfTrue="1">
      <formula>AN19=CléCongés</formula>
    </cfRule>
  </conditionalFormatting>
  <conditionalFormatting sqref="AN23">
    <cfRule type="expression" priority="1200" stopIfTrue="1">
      <formula>AN23=""</formula>
    </cfRule>
    <cfRule type="expression" dxfId="10264" priority="1201" stopIfTrue="1">
      <formula>AN23=CléPersonnalisée2</formula>
    </cfRule>
    <cfRule type="expression" dxfId="10263" priority="1202" stopIfTrue="1">
      <formula>AN23=CléPersonnalisée1</formula>
    </cfRule>
    <cfRule type="expression" dxfId="10262" priority="1203" stopIfTrue="1">
      <formula>AN23=CléMaladie</formula>
    </cfRule>
    <cfRule type="expression" dxfId="10261" priority="1204" stopIfTrue="1">
      <formula>AN23=CléPersonnelle</formula>
    </cfRule>
    <cfRule type="expression" dxfId="10260" priority="1205" stopIfTrue="1">
      <formula>AN23=CléCongés</formula>
    </cfRule>
  </conditionalFormatting>
  <conditionalFormatting sqref="AN27">
    <cfRule type="expression" priority="1194" stopIfTrue="1">
      <formula>AN27=""</formula>
    </cfRule>
    <cfRule type="expression" dxfId="10259" priority="1195" stopIfTrue="1">
      <formula>AN27=CléPersonnalisée2</formula>
    </cfRule>
    <cfRule type="expression" dxfId="10258" priority="1196" stopIfTrue="1">
      <formula>AN27=CléPersonnalisée1</formula>
    </cfRule>
    <cfRule type="expression" dxfId="10257" priority="1197" stopIfTrue="1">
      <formula>AN27=CléMaladie</formula>
    </cfRule>
    <cfRule type="expression" dxfId="10256" priority="1198" stopIfTrue="1">
      <formula>AN27=CléPersonnelle</formula>
    </cfRule>
    <cfRule type="expression" dxfId="10255" priority="1199" stopIfTrue="1">
      <formula>AN27=CléCongés</formula>
    </cfRule>
  </conditionalFormatting>
  <conditionalFormatting sqref="AN31">
    <cfRule type="expression" priority="1188" stopIfTrue="1">
      <formula>AN31=""</formula>
    </cfRule>
    <cfRule type="expression" dxfId="10254" priority="1189" stopIfTrue="1">
      <formula>AN31=CléPersonnalisée2</formula>
    </cfRule>
    <cfRule type="expression" dxfId="10253" priority="1190" stopIfTrue="1">
      <formula>AN31=CléPersonnalisée1</formula>
    </cfRule>
    <cfRule type="expression" dxfId="10252" priority="1191" stopIfTrue="1">
      <formula>AN31=CléMaladie</formula>
    </cfRule>
    <cfRule type="expression" dxfId="10251" priority="1192" stopIfTrue="1">
      <formula>AN31=CléPersonnelle</formula>
    </cfRule>
    <cfRule type="expression" dxfId="10250" priority="1193" stopIfTrue="1">
      <formula>AN31=CléCongés</formula>
    </cfRule>
  </conditionalFormatting>
  <conditionalFormatting sqref="AN35">
    <cfRule type="expression" priority="1182" stopIfTrue="1">
      <formula>AN35=""</formula>
    </cfRule>
    <cfRule type="expression" dxfId="10249" priority="1183" stopIfTrue="1">
      <formula>AN35=CléPersonnalisée2</formula>
    </cfRule>
    <cfRule type="expression" dxfId="10248" priority="1184" stopIfTrue="1">
      <formula>AN35=CléPersonnalisée1</formula>
    </cfRule>
    <cfRule type="expression" dxfId="10247" priority="1185" stopIfTrue="1">
      <formula>AN35=CléMaladie</formula>
    </cfRule>
    <cfRule type="expression" dxfId="10246" priority="1186" stopIfTrue="1">
      <formula>AN35=CléPersonnelle</formula>
    </cfRule>
    <cfRule type="expression" dxfId="10245" priority="1187" stopIfTrue="1">
      <formula>AN35=CléCongés</formula>
    </cfRule>
  </conditionalFormatting>
  <conditionalFormatting sqref="AN39">
    <cfRule type="expression" priority="1176" stopIfTrue="1">
      <formula>AN39=""</formula>
    </cfRule>
    <cfRule type="expression" dxfId="10244" priority="1177" stopIfTrue="1">
      <formula>AN39=CléPersonnalisée2</formula>
    </cfRule>
    <cfRule type="expression" dxfId="10243" priority="1178" stopIfTrue="1">
      <formula>AN39=CléPersonnalisée1</formula>
    </cfRule>
    <cfRule type="expression" dxfId="10242" priority="1179" stopIfTrue="1">
      <formula>AN39=CléMaladie</formula>
    </cfRule>
    <cfRule type="expression" dxfId="10241" priority="1180" stopIfTrue="1">
      <formula>AN39=CléPersonnelle</formula>
    </cfRule>
    <cfRule type="expression" dxfId="10240" priority="1181" stopIfTrue="1">
      <formula>AN39=CléCongés</formula>
    </cfRule>
  </conditionalFormatting>
  <conditionalFormatting sqref="AN43">
    <cfRule type="expression" priority="1170" stopIfTrue="1">
      <formula>AN43=""</formula>
    </cfRule>
    <cfRule type="expression" dxfId="10239" priority="1171" stopIfTrue="1">
      <formula>AN43=CléPersonnalisée2</formula>
    </cfRule>
    <cfRule type="expression" dxfId="10238" priority="1172" stopIfTrue="1">
      <formula>AN43=CléPersonnalisée1</formula>
    </cfRule>
    <cfRule type="expression" dxfId="10237" priority="1173" stopIfTrue="1">
      <formula>AN43=CléMaladie</formula>
    </cfRule>
    <cfRule type="expression" dxfId="10236" priority="1174" stopIfTrue="1">
      <formula>AN43=CléPersonnelle</formula>
    </cfRule>
    <cfRule type="expression" dxfId="10235" priority="1175" stopIfTrue="1">
      <formula>AN43=CléCongés</formula>
    </cfRule>
  </conditionalFormatting>
  <conditionalFormatting sqref="AN47">
    <cfRule type="expression" priority="1164" stopIfTrue="1">
      <formula>AN47=""</formula>
    </cfRule>
    <cfRule type="expression" dxfId="10234" priority="1165" stopIfTrue="1">
      <formula>AN47=CléPersonnalisée2</formula>
    </cfRule>
    <cfRule type="expression" dxfId="10233" priority="1166" stopIfTrue="1">
      <formula>AN47=CléPersonnalisée1</formula>
    </cfRule>
    <cfRule type="expression" dxfId="10232" priority="1167" stopIfTrue="1">
      <formula>AN47=CléMaladie</formula>
    </cfRule>
    <cfRule type="expression" dxfId="10231" priority="1168" stopIfTrue="1">
      <formula>AN47=CléPersonnelle</formula>
    </cfRule>
    <cfRule type="expression" dxfId="10230" priority="1169" stopIfTrue="1">
      <formula>AN47=CléCongés</formula>
    </cfRule>
  </conditionalFormatting>
  <conditionalFormatting sqref="AN51">
    <cfRule type="expression" priority="1158" stopIfTrue="1">
      <formula>AN51=""</formula>
    </cfRule>
    <cfRule type="expression" dxfId="10229" priority="1159" stopIfTrue="1">
      <formula>AN51=CléPersonnalisée2</formula>
    </cfRule>
    <cfRule type="expression" dxfId="10228" priority="1160" stopIfTrue="1">
      <formula>AN51=CléPersonnalisée1</formula>
    </cfRule>
    <cfRule type="expression" dxfId="10227" priority="1161" stopIfTrue="1">
      <formula>AN51=CléMaladie</formula>
    </cfRule>
    <cfRule type="expression" dxfId="10226" priority="1162" stopIfTrue="1">
      <formula>AN51=CléPersonnelle</formula>
    </cfRule>
    <cfRule type="expression" dxfId="10225" priority="1163" stopIfTrue="1">
      <formula>AN51=CléCongés</formula>
    </cfRule>
  </conditionalFormatting>
  <conditionalFormatting sqref="AN55">
    <cfRule type="expression" priority="1152" stopIfTrue="1">
      <formula>AN55=""</formula>
    </cfRule>
    <cfRule type="expression" dxfId="10224" priority="1153" stopIfTrue="1">
      <formula>AN55=CléPersonnalisée2</formula>
    </cfRule>
    <cfRule type="expression" dxfId="10223" priority="1154" stopIfTrue="1">
      <formula>AN55=CléPersonnalisée1</formula>
    </cfRule>
    <cfRule type="expression" dxfId="10222" priority="1155" stopIfTrue="1">
      <formula>AN55=CléMaladie</formula>
    </cfRule>
    <cfRule type="expression" dxfId="10221" priority="1156" stopIfTrue="1">
      <formula>AN55=CléPersonnelle</formula>
    </cfRule>
    <cfRule type="expression" dxfId="10220" priority="1157" stopIfTrue="1">
      <formula>AN55=CléCongés</formula>
    </cfRule>
  </conditionalFormatting>
  <conditionalFormatting sqref="AN63">
    <cfRule type="expression" priority="1146" stopIfTrue="1">
      <formula>AN63=""</formula>
    </cfRule>
    <cfRule type="expression" dxfId="10219" priority="1147" stopIfTrue="1">
      <formula>AN63=CléPersonnalisée2</formula>
    </cfRule>
    <cfRule type="expression" dxfId="10218" priority="1148" stopIfTrue="1">
      <formula>AN63=CléPersonnalisée1</formula>
    </cfRule>
    <cfRule type="expression" dxfId="10217" priority="1149" stopIfTrue="1">
      <formula>AN63=CléMaladie</formula>
    </cfRule>
    <cfRule type="expression" dxfId="10216" priority="1150" stopIfTrue="1">
      <formula>AN63=CléPersonnelle</formula>
    </cfRule>
    <cfRule type="expression" dxfId="10215" priority="1151" stopIfTrue="1">
      <formula>AN63=CléCongés</formula>
    </cfRule>
  </conditionalFormatting>
  <conditionalFormatting sqref="AN71">
    <cfRule type="expression" priority="1140" stopIfTrue="1">
      <formula>AN71=""</formula>
    </cfRule>
    <cfRule type="expression" dxfId="10214" priority="1141" stopIfTrue="1">
      <formula>AN71=CléPersonnalisée2</formula>
    </cfRule>
    <cfRule type="expression" dxfId="10213" priority="1142" stopIfTrue="1">
      <formula>AN71=CléPersonnalisée1</formula>
    </cfRule>
    <cfRule type="expression" dxfId="10212" priority="1143" stopIfTrue="1">
      <formula>AN71=CléMaladie</formula>
    </cfRule>
    <cfRule type="expression" dxfId="10211" priority="1144" stopIfTrue="1">
      <formula>AN71=CléPersonnelle</formula>
    </cfRule>
    <cfRule type="expression" dxfId="10210" priority="1145" stopIfTrue="1">
      <formula>AN71=CléCongés</formula>
    </cfRule>
  </conditionalFormatting>
  <conditionalFormatting sqref="AH7">
    <cfRule type="dataBar" priority="1139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{C550AA0E-ED33-40DB-9C80-F328C3AC392E}</x14:id>
        </ext>
      </extLst>
    </cfRule>
  </conditionalFormatting>
  <conditionalFormatting sqref="AI7:AL7">
    <cfRule type="expression" priority="1133" stopIfTrue="1">
      <formula>AI7=""</formula>
    </cfRule>
    <cfRule type="expression" dxfId="10209" priority="1134" stopIfTrue="1">
      <formula>AI7=CléPersonnalisée2</formula>
    </cfRule>
    <cfRule type="expression" dxfId="10208" priority="1135" stopIfTrue="1">
      <formula>AI7=CléPersonnalisée1</formula>
    </cfRule>
    <cfRule type="expression" dxfId="10207" priority="1136" stopIfTrue="1">
      <formula>AI7=CléMaladie</formula>
    </cfRule>
    <cfRule type="expression" dxfId="10206" priority="1137" stopIfTrue="1">
      <formula>AI7=CléPersonnelle</formula>
    </cfRule>
    <cfRule type="expression" dxfId="10205" priority="1138" stopIfTrue="1">
      <formula>AI7=CléCongés</formula>
    </cfRule>
  </conditionalFormatting>
  <conditionalFormatting sqref="AM7">
    <cfRule type="expression" priority="1127" stopIfTrue="1">
      <formula>AM7=""</formula>
    </cfRule>
    <cfRule type="expression" dxfId="10204" priority="1128" stopIfTrue="1">
      <formula>AM7=CléPersonnalisée2</formula>
    </cfRule>
    <cfRule type="expression" dxfId="10203" priority="1129" stopIfTrue="1">
      <formula>AM7=CléPersonnalisée1</formula>
    </cfRule>
    <cfRule type="expression" dxfId="10202" priority="1130" stopIfTrue="1">
      <formula>AM7=CléMaladie</formula>
    </cfRule>
    <cfRule type="expression" dxfId="10201" priority="1131" stopIfTrue="1">
      <formula>AM7=CléPersonnelle</formula>
    </cfRule>
    <cfRule type="expression" dxfId="10200" priority="1132" stopIfTrue="1">
      <formula>AM7=CléCongés</formula>
    </cfRule>
  </conditionalFormatting>
  <conditionalFormatting sqref="AO7">
    <cfRule type="expression" priority="1121" stopIfTrue="1">
      <formula>AO7=""</formula>
    </cfRule>
    <cfRule type="expression" dxfId="10199" priority="1122" stopIfTrue="1">
      <formula>AO7=CléPersonnalisée2</formula>
    </cfRule>
    <cfRule type="expression" dxfId="10198" priority="1123" stopIfTrue="1">
      <formula>AO7=CléPersonnalisée1</formula>
    </cfRule>
    <cfRule type="expression" dxfId="10197" priority="1124" stopIfTrue="1">
      <formula>AO7=CléMaladie</formula>
    </cfRule>
    <cfRule type="expression" dxfId="10196" priority="1125" stopIfTrue="1">
      <formula>AO7=CléPersonnelle</formula>
    </cfRule>
    <cfRule type="expression" dxfId="10195" priority="1126" stopIfTrue="1">
      <formula>AO7=CléCongés</formula>
    </cfRule>
  </conditionalFormatting>
  <conditionalFormatting sqref="AN7">
    <cfRule type="expression" priority="1115" stopIfTrue="1">
      <formula>AN7=""</formula>
    </cfRule>
    <cfRule type="expression" dxfId="10194" priority="1116" stopIfTrue="1">
      <formula>AN7=CléPersonnalisée2</formula>
    </cfRule>
    <cfRule type="expression" dxfId="10193" priority="1117" stopIfTrue="1">
      <formula>AN7=CléPersonnalisée1</formula>
    </cfRule>
    <cfRule type="expression" dxfId="10192" priority="1118" stopIfTrue="1">
      <formula>AN7=CléMaladie</formula>
    </cfRule>
    <cfRule type="expression" dxfId="10191" priority="1119" stopIfTrue="1">
      <formula>AN7=CléPersonnelle</formula>
    </cfRule>
    <cfRule type="expression" dxfId="10190" priority="1120" stopIfTrue="1">
      <formula>AN7=CléCongés</formula>
    </cfRule>
  </conditionalFormatting>
  <conditionalFormatting sqref="AQ7">
    <cfRule type="expression" priority="1109" stopIfTrue="1">
      <formula>AQ7=""</formula>
    </cfRule>
    <cfRule type="expression" dxfId="10189" priority="1110" stopIfTrue="1">
      <formula>AQ7=CléPersonnalisée2</formula>
    </cfRule>
    <cfRule type="expression" dxfId="10188" priority="1111" stopIfTrue="1">
      <formula>AQ7=CléPersonnalisée1</formula>
    </cfRule>
    <cfRule type="expression" dxfId="10187" priority="1112" stopIfTrue="1">
      <formula>AQ7=CléMaladie</formula>
    </cfRule>
    <cfRule type="expression" dxfId="10186" priority="1113" stopIfTrue="1">
      <formula>AQ7=CléPersonnelle</formula>
    </cfRule>
    <cfRule type="expression" dxfId="10185" priority="1114" stopIfTrue="1">
      <formula>AQ7=CléCongés</formula>
    </cfRule>
  </conditionalFormatting>
  <conditionalFormatting sqref="AQ71">
    <cfRule type="expression" priority="891" stopIfTrue="1">
      <formula>AQ71=""</formula>
    </cfRule>
    <cfRule type="expression" dxfId="10184" priority="892" stopIfTrue="1">
      <formula>AQ71=CléPersonnalisée2</formula>
    </cfRule>
    <cfRule type="expression" dxfId="10183" priority="893" stopIfTrue="1">
      <formula>AQ71=CléPersonnalisée1</formula>
    </cfRule>
    <cfRule type="expression" dxfId="10182" priority="894" stopIfTrue="1">
      <formula>AQ71=CléMaladie</formula>
    </cfRule>
    <cfRule type="expression" dxfId="10181" priority="895" stopIfTrue="1">
      <formula>AQ71=CléPersonnelle</formula>
    </cfRule>
    <cfRule type="expression" dxfId="10180" priority="896" stopIfTrue="1">
      <formula>AQ71=CléCongés</formula>
    </cfRule>
  </conditionalFormatting>
  <conditionalFormatting sqref="AQ75">
    <cfRule type="expression" priority="841" stopIfTrue="1">
      <formula>AQ75=""</formula>
    </cfRule>
    <cfRule type="expression" dxfId="10179" priority="842" stopIfTrue="1">
      <formula>AQ75=CléPersonnalisée2</formula>
    </cfRule>
    <cfRule type="expression" dxfId="10178" priority="843" stopIfTrue="1">
      <formula>AQ75=CléPersonnalisée1</formula>
    </cfRule>
    <cfRule type="expression" dxfId="10177" priority="844" stopIfTrue="1">
      <formula>AQ75=CléMaladie</formula>
    </cfRule>
    <cfRule type="expression" dxfId="10176" priority="845" stopIfTrue="1">
      <formula>AQ75=CléPersonnelle</formula>
    </cfRule>
    <cfRule type="expression" dxfId="10175" priority="846" stopIfTrue="1">
      <formula>AQ75=CléCongés</formula>
    </cfRule>
  </conditionalFormatting>
  <conditionalFormatting sqref="AQ83">
    <cfRule type="expression" priority="779" stopIfTrue="1">
      <formula>AQ83=""</formula>
    </cfRule>
    <cfRule type="expression" dxfId="10174" priority="780" stopIfTrue="1">
      <formula>AQ83=CléPersonnalisée2</formula>
    </cfRule>
    <cfRule type="expression" dxfId="10173" priority="781" stopIfTrue="1">
      <formula>AQ83=CléPersonnalisée1</formula>
    </cfRule>
    <cfRule type="expression" dxfId="10172" priority="782" stopIfTrue="1">
      <formula>AQ83=CléMaladie</formula>
    </cfRule>
    <cfRule type="expression" dxfId="10171" priority="783" stopIfTrue="1">
      <formula>AQ83=CléPersonnelle</formula>
    </cfRule>
    <cfRule type="expression" dxfId="10170" priority="784" stopIfTrue="1">
      <formula>AQ83=CléCongés</formula>
    </cfRule>
  </conditionalFormatting>
  <conditionalFormatting sqref="AQ91">
    <cfRule type="expression" priority="655" stopIfTrue="1">
      <formula>AQ91=""</formula>
    </cfRule>
    <cfRule type="expression" dxfId="10169" priority="656" stopIfTrue="1">
      <formula>AQ91=CléPersonnalisée2</formula>
    </cfRule>
    <cfRule type="expression" dxfId="10168" priority="657" stopIfTrue="1">
      <formula>AQ91=CléPersonnalisée1</formula>
    </cfRule>
    <cfRule type="expression" dxfId="10167" priority="658" stopIfTrue="1">
      <formula>AQ91=CléMaladie</formula>
    </cfRule>
    <cfRule type="expression" dxfId="10166" priority="659" stopIfTrue="1">
      <formula>AQ91=CléPersonnelle</formula>
    </cfRule>
    <cfRule type="expression" dxfId="10165" priority="660" stopIfTrue="1">
      <formula>AQ91=CléCongés</formula>
    </cfRule>
  </conditionalFormatting>
  <conditionalFormatting sqref="C65:AG67">
    <cfRule type="expression" priority="1102" stopIfTrue="1">
      <formula>C65=""</formula>
    </cfRule>
    <cfRule type="expression" dxfId="10164" priority="1103" stopIfTrue="1">
      <formula>C65=CléPersonnalisée2</formula>
    </cfRule>
    <cfRule type="expression" dxfId="10163" priority="1104" stopIfTrue="1">
      <formula>C65=CléPersonnalisée1</formula>
    </cfRule>
    <cfRule type="expression" dxfId="10162" priority="1105" stopIfTrue="1">
      <formula>C65=CléMaladie</formula>
    </cfRule>
    <cfRule type="expression" dxfId="10161" priority="1106" stopIfTrue="1">
      <formula>C65=CléPersonnelle</formula>
    </cfRule>
    <cfRule type="expression" dxfId="10160" priority="1107" stopIfTrue="1">
      <formula>C65=CléCongés</formula>
    </cfRule>
  </conditionalFormatting>
  <conditionalFormatting sqref="AH67">
    <cfRule type="dataBar" priority="1108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{F9D21C0A-66B6-41B5-A4A7-43FE103D0D3E}</x14:id>
        </ext>
      </extLst>
    </cfRule>
  </conditionalFormatting>
  <conditionalFormatting sqref="AI67:AL67 AJ65:AL66">
    <cfRule type="expression" priority="1096" stopIfTrue="1">
      <formula>AI65=""</formula>
    </cfRule>
    <cfRule type="expression" dxfId="10159" priority="1097" stopIfTrue="1">
      <formula>AI65=CléPersonnalisée2</formula>
    </cfRule>
    <cfRule type="expression" dxfId="10158" priority="1098" stopIfTrue="1">
      <formula>AI65=CléPersonnalisée1</formula>
    </cfRule>
    <cfRule type="expression" dxfId="10157" priority="1099" stopIfTrue="1">
      <formula>AI65=CléMaladie</formula>
    </cfRule>
    <cfRule type="expression" dxfId="10156" priority="1100" stopIfTrue="1">
      <formula>AI65=CléPersonnelle</formula>
    </cfRule>
    <cfRule type="expression" dxfId="10155" priority="1101" stopIfTrue="1">
      <formula>AI65=CléCongés</formula>
    </cfRule>
  </conditionalFormatting>
  <conditionalFormatting sqref="AQ65:AR66">
    <cfRule type="expression" priority="1084" stopIfTrue="1">
      <formula>AQ65=""</formula>
    </cfRule>
    <cfRule type="expression" dxfId="10154" priority="1085" stopIfTrue="1">
      <formula>AQ65=CléPersonnalisée2</formula>
    </cfRule>
    <cfRule type="expression" dxfId="10153" priority="1086" stopIfTrue="1">
      <formula>AQ65=CléPersonnalisée1</formula>
    </cfRule>
    <cfRule type="expression" dxfId="10152" priority="1087" stopIfTrue="1">
      <formula>AQ65=CléMaladie</formula>
    </cfRule>
    <cfRule type="expression" dxfId="10151" priority="1088" stopIfTrue="1">
      <formula>AQ65=CléPersonnelle</formula>
    </cfRule>
    <cfRule type="expression" dxfId="10150" priority="1089" stopIfTrue="1">
      <formula>AQ65=CléCongés</formula>
    </cfRule>
  </conditionalFormatting>
  <conditionalFormatting sqref="AH65:AH66">
    <cfRule type="dataBar" priority="1077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{25C170ED-F009-4FD1-B3E7-8488E238D15E}</x14:id>
        </ext>
      </extLst>
    </cfRule>
  </conditionalFormatting>
  <conditionalFormatting sqref="AO67">
    <cfRule type="expression" priority="1071" stopIfTrue="1">
      <formula>AO67=""</formula>
    </cfRule>
    <cfRule type="expression" dxfId="10149" priority="1072" stopIfTrue="1">
      <formula>AO67=CléPersonnalisée2</formula>
    </cfRule>
    <cfRule type="expression" dxfId="10148" priority="1073" stopIfTrue="1">
      <formula>AO67=CléPersonnalisée1</formula>
    </cfRule>
    <cfRule type="expression" dxfId="10147" priority="1074" stopIfTrue="1">
      <formula>AO67=CléMaladie</formula>
    </cfRule>
    <cfRule type="expression" dxfId="10146" priority="1075" stopIfTrue="1">
      <formula>AO67=CléPersonnelle</formula>
    </cfRule>
    <cfRule type="expression" dxfId="10145" priority="1076" stopIfTrue="1">
      <formula>AO67=CléCongés</formula>
    </cfRule>
  </conditionalFormatting>
  <conditionalFormatting sqref="AI65:AI66">
    <cfRule type="expression" priority="1065" stopIfTrue="1">
      <formula>AI65=""</formula>
    </cfRule>
    <cfRule type="expression" dxfId="10144" priority="1066" stopIfTrue="1">
      <formula>AI65=CléPersonnalisée2</formula>
    </cfRule>
    <cfRule type="expression" dxfId="10143" priority="1067" stopIfTrue="1">
      <formula>AI65=CléPersonnalisée1</formula>
    </cfRule>
    <cfRule type="expression" dxfId="10142" priority="1068" stopIfTrue="1">
      <formula>AI65=CléMaladie</formula>
    </cfRule>
    <cfRule type="expression" dxfId="10141" priority="1069" stopIfTrue="1">
      <formula>AI65=CléPersonnelle</formula>
    </cfRule>
    <cfRule type="expression" dxfId="10140" priority="1070" stopIfTrue="1">
      <formula>AI65=CléCongés</formula>
    </cfRule>
  </conditionalFormatting>
  <conditionalFormatting sqref="AN67">
    <cfRule type="expression" priority="1059" stopIfTrue="1">
      <formula>AN67=""</formula>
    </cfRule>
    <cfRule type="expression" dxfId="10139" priority="1060" stopIfTrue="1">
      <formula>AN67=CléPersonnalisée2</formula>
    </cfRule>
    <cfRule type="expression" dxfId="10138" priority="1061" stopIfTrue="1">
      <formula>AN67=CléPersonnalisée1</formula>
    </cfRule>
    <cfRule type="expression" dxfId="10137" priority="1062" stopIfTrue="1">
      <formula>AN67=CléMaladie</formula>
    </cfRule>
    <cfRule type="expression" dxfId="10136" priority="1063" stopIfTrue="1">
      <formula>AN67=CléPersonnelle</formula>
    </cfRule>
    <cfRule type="expression" dxfId="10135" priority="1064" stopIfTrue="1">
      <formula>AN67=CléCongés</formula>
    </cfRule>
  </conditionalFormatting>
  <conditionalFormatting sqref="AR11">
    <cfRule type="expression" priority="1053" stopIfTrue="1">
      <formula>AR11=""</formula>
    </cfRule>
    <cfRule type="expression" dxfId="10134" priority="1054" stopIfTrue="1">
      <formula>AR11=CléPersonnalisée2</formula>
    </cfRule>
    <cfRule type="expression" dxfId="10133" priority="1055" stopIfTrue="1">
      <formula>AR11=CléPersonnalisée1</formula>
    </cfRule>
    <cfRule type="expression" dxfId="10132" priority="1056" stopIfTrue="1">
      <formula>AR11=CléMaladie</formula>
    </cfRule>
    <cfRule type="expression" dxfId="10131" priority="1057" stopIfTrue="1">
      <formula>AR11=CléPersonnelle</formula>
    </cfRule>
    <cfRule type="expression" dxfId="10130" priority="1058" stopIfTrue="1">
      <formula>AR11=CléCongés</formula>
    </cfRule>
  </conditionalFormatting>
  <conditionalFormatting sqref="AQ11">
    <cfRule type="expression" priority="1047" stopIfTrue="1">
      <formula>AQ11=""</formula>
    </cfRule>
    <cfRule type="expression" dxfId="10129" priority="1048" stopIfTrue="1">
      <formula>AQ11=CléPersonnalisée2</formula>
    </cfRule>
    <cfRule type="expression" dxfId="10128" priority="1049" stopIfTrue="1">
      <formula>AQ11=CléPersonnalisée1</formula>
    </cfRule>
    <cfRule type="expression" dxfId="10127" priority="1050" stopIfTrue="1">
      <formula>AQ11=CléMaladie</formula>
    </cfRule>
    <cfRule type="expression" dxfId="10126" priority="1051" stopIfTrue="1">
      <formula>AQ11=CléPersonnelle</formula>
    </cfRule>
    <cfRule type="expression" dxfId="10125" priority="1052" stopIfTrue="1">
      <formula>AQ11=CléCongés</formula>
    </cfRule>
  </conditionalFormatting>
  <conditionalFormatting sqref="AR19">
    <cfRule type="expression" priority="1041" stopIfTrue="1">
      <formula>AR19=""</formula>
    </cfRule>
    <cfRule type="expression" dxfId="10124" priority="1042" stopIfTrue="1">
      <formula>AR19=CléPersonnalisée2</formula>
    </cfRule>
    <cfRule type="expression" dxfId="10123" priority="1043" stopIfTrue="1">
      <formula>AR19=CléPersonnalisée1</formula>
    </cfRule>
    <cfRule type="expression" dxfId="10122" priority="1044" stopIfTrue="1">
      <formula>AR19=CléMaladie</formula>
    </cfRule>
    <cfRule type="expression" dxfId="10121" priority="1045" stopIfTrue="1">
      <formula>AR19=CléPersonnelle</formula>
    </cfRule>
    <cfRule type="expression" dxfId="10120" priority="1046" stopIfTrue="1">
      <formula>AR19=CléCongés</formula>
    </cfRule>
  </conditionalFormatting>
  <conditionalFormatting sqref="AQ19">
    <cfRule type="expression" priority="1035" stopIfTrue="1">
      <formula>AQ19=""</formula>
    </cfRule>
    <cfRule type="expression" dxfId="10119" priority="1036" stopIfTrue="1">
      <formula>AQ19=CléPersonnalisée2</formula>
    </cfRule>
    <cfRule type="expression" dxfId="10118" priority="1037" stopIfTrue="1">
      <formula>AQ19=CléPersonnalisée1</formula>
    </cfRule>
    <cfRule type="expression" dxfId="10117" priority="1038" stopIfTrue="1">
      <formula>AQ19=CléMaladie</formula>
    </cfRule>
    <cfRule type="expression" dxfId="10116" priority="1039" stopIfTrue="1">
      <formula>AQ19=CléPersonnelle</formula>
    </cfRule>
    <cfRule type="expression" dxfId="10115" priority="1040" stopIfTrue="1">
      <formula>AQ19=CléCongés</formula>
    </cfRule>
  </conditionalFormatting>
  <conditionalFormatting sqref="AR23">
    <cfRule type="expression" priority="1029" stopIfTrue="1">
      <formula>AR23=""</formula>
    </cfRule>
    <cfRule type="expression" dxfId="10114" priority="1030" stopIfTrue="1">
      <formula>AR23=CléPersonnalisée2</formula>
    </cfRule>
    <cfRule type="expression" dxfId="10113" priority="1031" stopIfTrue="1">
      <formula>AR23=CléPersonnalisée1</formula>
    </cfRule>
    <cfRule type="expression" dxfId="10112" priority="1032" stopIfTrue="1">
      <formula>AR23=CléMaladie</formula>
    </cfRule>
    <cfRule type="expression" dxfId="10111" priority="1033" stopIfTrue="1">
      <formula>AR23=CléPersonnelle</formula>
    </cfRule>
    <cfRule type="expression" dxfId="10110" priority="1034" stopIfTrue="1">
      <formula>AR23=CléCongés</formula>
    </cfRule>
  </conditionalFormatting>
  <conditionalFormatting sqref="AQ23">
    <cfRule type="expression" priority="1023" stopIfTrue="1">
      <formula>AQ23=""</formula>
    </cfRule>
    <cfRule type="expression" dxfId="10109" priority="1024" stopIfTrue="1">
      <formula>AQ23=CléPersonnalisée2</formula>
    </cfRule>
    <cfRule type="expression" dxfId="10108" priority="1025" stopIfTrue="1">
      <formula>AQ23=CléPersonnalisée1</formula>
    </cfRule>
    <cfRule type="expression" dxfId="10107" priority="1026" stopIfTrue="1">
      <formula>AQ23=CléMaladie</formula>
    </cfRule>
    <cfRule type="expression" dxfId="10106" priority="1027" stopIfTrue="1">
      <formula>AQ23=CléPersonnelle</formula>
    </cfRule>
    <cfRule type="expression" dxfId="10105" priority="1028" stopIfTrue="1">
      <formula>AQ23=CléCongés</formula>
    </cfRule>
  </conditionalFormatting>
  <conditionalFormatting sqref="AR27">
    <cfRule type="expression" priority="1017" stopIfTrue="1">
      <formula>AR27=""</formula>
    </cfRule>
    <cfRule type="expression" dxfId="10104" priority="1018" stopIfTrue="1">
      <formula>AR27=CléPersonnalisée2</formula>
    </cfRule>
    <cfRule type="expression" dxfId="10103" priority="1019" stopIfTrue="1">
      <formula>AR27=CléPersonnalisée1</formula>
    </cfRule>
    <cfRule type="expression" dxfId="10102" priority="1020" stopIfTrue="1">
      <formula>AR27=CléMaladie</formula>
    </cfRule>
    <cfRule type="expression" dxfId="10101" priority="1021" stopIfTrue="1">
      <formula>AR27=CléPersonnelle</formula>
    </cfRule>
    <cfRule type="expression" dxfId="10100" priority="1022" stopIfTrue="1">
      <formula>AR27=CléCongés</formula>
    </cfRule>
  </conditionalFormatting>
  <conditionalFormatting sqref="AQ27">
    <cfRule type="expression" priority="1011" stopIfTrue="1">
      <formula>AQ27=""</formula>
    </cfRule>
    <cfRule type="expression" dxfId="10099" priority="1012" stopIfTrue="1">
      <formula>AQ27=CléPersonnalisée2</formula>
    </cfRule>
    <cfRule type="expression" dxfId="10098" priority="1013" stopIfTrue="1">
      <formula>AQ27=CléPersonnalisée1</formula>
    </cfRule>
    <cfRule type="expression" dxfId="10097" priority="1014" stopIfTrue="1">
      <formula>AQ27=CléMaladie</formula>
    </cfRule>
    <cfRule type="expression" dxfId="10096" priority="1015" stopIfTrue="1">
      <formula>AQ27=CléPersonnelle</formula>
    </cfRule>
    <cfRule type="expression" dxfId="10095" priority="1016" stopIfTrue="1">
      <formula>AQ27=CléCongés</formula>
    </cfRule>
  </conditionalFormatting>
  <conditionalFormatting sqref="AR31">
    <cfRule type="expression" priority="1005" stopIfTrue="1">
      <formula>AR31=""</formula>
    </cfRule>
    <cfRule type="expression" dxfId="10094" priority="1006" stopIfTrue="1">
      <formula>AR31=CléPersonnalisée2</formula>
    </cfRule>
    <cfRule type="expression" dxfId="10093" priority="1007" stopIfTrue="1">
      <formula>AR31=CléPersonnalisée1</formula>
    </cfRule>
    <cfRule type="expression" dxfId="10092" priority="1008" stopIfTrue="1">
      <formula>AR31=CléMaladie</formula>
    </cfRule>
    <cfRule type="expression" dxfId="10091" priority="1009" stopIfTrue="1">
      <formula>AR31=CléPersonnelle</formula>
    </cfRule>
    <cfRule type="expression" dxfId="10090" priority="1010" stopIfTrue="1">
      <formula>AR31=CléCongés</formula>
    </cfRule>
  </conditionalFormatting>
  <conditionalFormatting sqref="AQ31">
    <cfRule type="expression" priority="999" stopIfTrue="1">
      <formula>AQ31=""</formula>
    </cfRule>
    <cfRule type="expression" dxfId="10089" priority="1000" stopIfTrue="1">
      <formula>AQ31=CléPersonnalisée2</formula>
    </cfRule>
    <cfRule type="expression" dxfId="10088" priority="1001" stopIfTrue="1">
      <formula>AQ31=CléPersonnalisée1</formula>
    </cfRule>
    <cfRule type="expression" dxfId="10087" priority="1002" stopIfTrue="1">
      <formula>AQ31=CléMaladie</formula>
    </cfRule>
    <cfRule type="expression" dxfId="10086" priority="1003" stopIfTrue="1">
      <formula>AQ31=CléPersonnelle</formula>
    </cfRule>
    <cfRule type="expression" dxfId="10085" priority="1004" stopIfTrue="1">
      <formula>AQ31=CléCongés</formula>
    </cfRule>
  </conditionalFormatting>
  <conditionalFormatting sqref="AR35">
    <cfRule type="expression" priority="993" stopIfTrue="1">
      <formula>AR35=""</formula>
    </cfRule>
    <cfRule type="expression" dxfId="10084" priority="994" stopIfTrue="1">
      <formula>AR35=CléPersonnalisée2</formula>
    </cfRule>
    <cfRule type="expression" dxfId="10083" priority="995" stopIfTrue="1">
      <formula>AR35=CléPersonnalisée1</formula>
    </cfRule>
    <cfRule type="expression" dxfId="10082" priority="996" stopIfTrue="1">
      <formula>AR35=CléMaladie</formula>
    </cfRule>
    <cfRule type="expression" dxfId="10081" priority="997" stopIfTrue="1">
      <formula>AR35=CléPersonnelle</formula>
    </cfRule>
    <cfRule type="expression" dxfId="10080" priority="998" stopIfTrue="1">
      <formula>AR35=CléCongés</formula>
    </cfRule>
  </conditionalFormatting>
  <conditionalFormatting sqref="AQ35">
    <cfRule type="expression" priority="987" stopIfTrue="1">
      <formula>AQ35=""</formula>
    </cfRule>
    <cfRule type="expression" dxfId="10079" priority="988" stopIfTrue="1">
      <formula>AQ35=CléPersonnalisée2</formula>
    </cfRule>
    <cfRule type="expression" dxfId="10078" priority="989" stopIfTrue="1">
      <formula>AQ35=CléPersonnalisée1</formula>
    </cfRule>
    <cfRule type="expression" dxfId="10077" priority="990" stopIfTrue="1">
      <formula>AQ35=CléMaladie</formula>
    </cfRule>
    <cfRule type="expression" dxfId="10076" priority="991" stopIfTrue="1">
      <formula>AQ35=CléPersonnelle</formula>
    </cfRule>
    <cfRule type="expression" dxfId="10075" priority="992" stopIfTrue="1">
      <formula>AQ35=CléCongés</formula>
    </cfRule>
  </conditionalFormatting>
  <conditionalFormatting sqref="AR39">
    <cfRule type="expression" priority="981" stopIfTrue="1">
      <formula>AR39=""</formula>
    </cfRule>
    <cfRule type="expression" dxfId="10074" priority="982" stopIfTrue="1">
      <formula>AR39=CléPersonnalisée2</formula>
    </cfRule>
    <cfRule type="expression" dxfId="10073" priority="983" stopIfTrue="1">
      <formula>AR39=CléPersonnalisée1</formula>
    </cfRule>
    <cfRule type="expression" dxfId="10072" priority="984" stopIfTrue="1">
      <formula>AR39=CléMaladie</formula>
    </cfRule>
    <cfRule type="expression" dxfId="10071" priority="985" stopIfTrue="1">
      <formula>AR39=CléPersonnelle</formula>
    </cfRule>
    <cfRule type="expression" dxfId="10070" priority="986" stopIfTrue="1">
      <formula>AR39=CléCongés</formula>
    </cfRule>
  </conditionalFormatting>
  <conditionalFormatting sqref="AQ39">
    <cfRule type="expression" priority="975" stopIfTrue="1">
      <formula>AQ39=""</formula>
    </cfRule>
    <cfRule type="expression" dxfId="10069" priority="976" stopIfTrue="1">
      <formula>AQ39=CléPersonnalisée2</formula>
    </cfRule>
    <cfRule type="expression" dxfId="10068" priority="977" stopIfTrue="1">
      <formula>AQ39=CléPersonnalisée1</formula>
    </cfRule>
    <cfRule type="expression" dxfId="10067" priority="978" stopIfTrue="1">
      <formula>AQ39=CléMaladie</formula>
    </cfRule>
    <cfRule type="expression" dxfId="10066" priority="979" stopIfTrue="1">
      <formula>AQ39=CléPersonnelle</formula>
    </cfRule>
    <cfRule type="expression" dxfId="10065" priority="980" stopIfTrue="1">
      <formula>AQ39=CléCongés</formula>
    </cfRule>
  </conditionalFormatting>
  <conditionalFormatting sqref="AR43">
    <cfRule type="expression" priority="969" stopIfTrue="1">
      <formula>AR43=""</formula>
    </cfRule>
    <cfRule type="expression" dxfId="10064" priority="970" stopIfTrue="1">
      <formula>AR43=CléPersonnalisée2</formula>
    </cfRule>
    <cfRule type="expression" dxfId="10063" priority="971" stopIfTrue="1">
      <formula>AR43=CléPersonnalisée1</formula>
    </cfRule>
    <cfRule type="expression" dxfId="10062" priority="972" stopIfTrue="1">
      <formula>AR43=CléMaladie</formula>
    </cfRule>
    <cfRule type="expression" dxfId="10061" priority="973" stopIfTrue="1">
      <formula>AR43=CléPersonnelle</formula>
    </cfRule>
    <cfRule type="expression" dxfId="10060" priority="974" stopIfTrue="1">
      <formula>AR43=CléCongés</formula>
    </cfRule>
  </conditionalFormatting>
  <conditionalFormatting sqref="AQ43">
    <cfRule type="expression" priority="963" stopIfTrue="1">
      <formula>AQ43=""</formula>
    </cfRule>
    <cfRule type="expression" dxfId="10059" priority="964" stopIfTrue="1">
      <formula>AQ43=CléPersonnalisée2</formula>
    </cfRule>
    <cfRule type="expression" dxfId="10058" priority="965" stopIfTrue="1">
      <formula>AQ43=CléPersonnalisée1</formula>
    </cfRule>
    <cfRule type="expression" dxfId="10057" priority="966" stopIfTrue="1">
      <formula>AQ43=CléMaladie</formula>
    </cfRule>
    <cfRule type="expression" dxfId="10056" priority="967" stopIfTrue="1">
      <formula>AQ43=CléPersonnelle</formula>
    </cfRule>
    <cfRule type="expression" dxfId="10055" priority="968" stopIfTrue="1">
      <formula>AQ43=CléCongés</formula>
    </cfRule>
  </conditionalFormatting>
  <conditionalFormatting sqref="AR47">
    <cfRule type="expression" priority="957" stopIfTrue="1">
      <formula>AR47=""</formula>
    </cfRule>
    <cfRule type="expression" dxfId="10054" priority="958" stopIfTrue="1">
      <formula>AR47=CléPersonnalisée2</formula>
    </cfRule>
    <cfRule type="expression" dxfId="10053" priority="959" stopIfTrue="1">
      <formula>AR47=CléPersonnalisée1</formula>
    </cfRule>
    <cfRule type="expression" dxfId="10052" priority="960" stopIfTrue="1">
      <formula>AR47=CléMaladie</formula>
    </cfRule>
    <cfRule type="expression" dxfId="10051" priority="961" stopIfTrue="1">
      <formula>AR47=CléPersonnelle</formula>
    </cfRule>
    <cfRule type="expression" dxfId="10050" priority="962" stopIfTrue="1">
      <formula>AR47=CléCongés</formula>
    </cfRule>
  </conditionalFormatting>
  <conditionalFormatting sqref="AQ47">
    <cfRule type="expression" priority="951" stopIfTrue="1">
      <formula>AQ47=""</formula>
    </cfRule>
    <cfRule type="expression" dxfId="10049" priority="952" stopIfTrue="1">
      <formula>AQ47=CléPersonnalisée2</formula>
    </cfRule>
    <cfRule type="expression" dxfId="10048" priority="953" stopIfTrue="1">
      <formula>AQ47=CléPersonnalisée1</formula>
    </cfRule>
    <cfRule type="expression" dxfId="10047" priority="954" stopIfTrue="1">
      <formula>AQ47=CléMaladie</formula>
    </cfRule>
    <cfRule type="expression" dxfId="10046" priority="955" stopIfTrue="1">
      <formula>AQ47=CléPersonnelle</formula>
    </cfRule>
    <cfRule type="expression" dxfId="10045" priority="956" stopIfTrue="1">
      <formula>AQ47=CléCongés</formula>
    </cfRule>
  </conditionalFormatting>
  <conditionalFormatting sqref="AR51">
    <cfRule type="expression" priority="945" stopIfTrue="1">
      <formula>AR51=""</formula>
    </cfRule>
    <cfRule type="expression" dxfId="10044" priority="946" stopIfTrue="1">
      <formula>AR51=CléPersonnalisée2</formula>
    </cfRule>
    <cfRule type="expression" dxfId="10043" priority="947" stopIfTrue="1">
      <formula>AR51=CléPersonnalisée1</formula>
    </cfRule>
    <cfRule type="expression" dxfId="10042" priority="948" stopIfTrue="1">
      <formula>AR51=CléMaladie</formula>
    </cfRule>
    <cfRule type="expression" dxfId="10041" priority="949" stopIfTrue="1">
      <formula>AR51=CléPersonnelle</formula>
    </cfRule>
    <cfRule type="expression" dxfId="10040" priority="950" stopIfTrue="1">
      <formula>AR51=CléCongés</formula>
    </cfRule>
  </conditionalFormatting>
  <conditionalFormatting sqref="AQ51">
    <cfRule type="expression" priority="939" stopIfTrue="1">
      <formula>AQ51=""</formula>
    </cfRule>
    <cfRule type="expression" dxfId="10039" priority="940" stopIfTrue="1">
      <formula>AQ51=CléPersonnalisée2</formula>
    </cfRule>
    <cfRule type="expression" dxfId="10038" priority="941" stopIfTrue="1">
      <formula>AQ51=CléPersonnalisée1</formula>
    </cfRule>
    <cfRule type="expression" dxfId="10037" priority="942" stopIfTrue="1">
      <formula>AQ51=CléMaladie</formula>
    </cfRule>
    <cfRule type="expression" dxfId="10036" priority="943" stopIfTrue="1">
      <formula>AQ51=CléPersonnelle</formula>
    </cfRule>
    <cfRule type="expression" dxfId="10035" priority="944" stopIfTrue="1">
      <formula>AQ51=CléCongés</formula>
    </cfRule>
  </conditionalFormatting>
  <conditionalFormatting sqref="AR55">
    <cfRule type="expression" priority="933" stopIfTrue="1">
      <formula>AR55=""</formula>
    </cfRule>
    <cfRule type="expression" dxfId="10034" priority="934" stopIfTrue="1">
      <formula>AR55=CléPersonnalisée2</formula>
    </cfRule>
    <cfRule type="expression" dxfId="10033" priority="935" stopIfTrue="1">
      <formula>AR55=CléPersonnalisée1</formula>
    </cfRule>
    <cfRule type="expression" dxfId="10032" priority="936" stopIfTrue="1">
      <formula>AR55=CléMaladie</formula>
    </cfRule>
    <cfRule type="expression" dxfId="10031" priority="937" stopIfTrue="1">
      <formula>AR55=CléPersonnelle</formula>
    </cfRule>
    <cfRule type="expression" dxfId="10030" priority="938" stopIfTrue="1">
      <formula>AR55=CléCongés</formula>
    </cfRule>
  </conditionalFormatting>
  <conditionalFormatting sqref="AQ55">
    <cfRule type="expression" priority="927" stopIfTrue="1">
      <formula>AQ55=""</formula>
    </cfRule>
    <cfRule type="expression" dxfId="10029" priority="928" stopIfTrue="1">
      <formula>AQ55=CléPersonnalisée2</formula>
    </cfRule>
    <cfRule type="expression" dxfId="10028" priority="929" stopIfTrue="1">
      <formula>AQ55=CléPersonnalisée1</formula>
    </cfRule>
    <cfRule type="expression" dxfId="10027" priority="930" stopIfTrue="1">
      <formula>AQ55=CléMaladie</formula>
    </cfRule>
    <cfRule type="expression" dxfId="10026" priority="931" stopIfTrue="1">
      <formula>AQ55=CléPersonnelle</formula>
    </cfRule>
    <cfRule type="expression" dxfId="10025" priority="932" stopIfTrue="1">
      <formula>AQ55=CléCongés</formula>
    </cfRule>
  </conditionalFormatting>
  <conditionalFormatting sqref="AR63">
    <cfRule type="expression" priority="921" stopIfTrue="1">
      <formula>AR63=""</formula>
    </cfRule>
    <cfRule type="expression" dxfId="10024" priority="922" stopIfTrue="1">
      <formula>AR63=CléPersonnalisée2</formula>
    </cfRule>
    <cfRule type="expression" dxfId="10023" priority="923" stopIfTrue="1">
      <formula>AR63=CléPersonnalisée1</formula>
    </cfRule>
    <cfRule type="expression" dxfId="10022" priority="924" stopIfTrue="1">
      <formula>AR63=CléMaladie</formula>
    </cfRule>
    <cfRule type="expression" dxfId="10021" priority="925" stopIfTrue="1">
      <formula>AR63=CléPersonnelle</formula>
    </cfRule>
    <cfRule type="expression" dxfId="10020" priority="926" stopIfTrue="1">
      <formula>AR63=CléCongés</formula>
    </cfRule>
  </conditionalFormatting>
  <conditionalFormatting sqref="AQ63">
    <cfRule type="expression" priority="915" stopIfTrue="1">
      <formula>AQ63=""</formula>
    </cfRule>
    <cfRule type="expression" dxfId="10019" priority="916" stopIfTrue="1">
      <formula>AQ63=CléPersonnalisée2</formula>
    </cfRule>
    <cfRule type="expression" dxfId="10018" priority="917" stopIfTrue="1">
      <formula>AQ63=CléPersonnalisée1</formula>
    </cfRule>
    <cfRule type="expression" dxfId="10017" priority="918" stopIfTrue="1">
      <formula>AQ63=CléMaladie</formula>
    </cfRule>
    <cfRule type="expression" dxfId="10016" priority="919" stopIfTrue="1">
      <formula>AQ63=CléPersonnelle</formula>
    </cfRule>
    <cfRule type="expression" dxfId="10015" priority="920" stopIfTrue="1">
      <formula>AQ63=CléCongés</formula>
    </cfRule>
  </conditionalFormatting>
  <conditionalFormatting sqref="AR67">
    <cfRule type="expression" priority="909" stopIfTrue="1">
      <formula>AR67=""</formula>
    </cfRule>
    <cfRule type="expression" dxfId="10014" priority="910" stopIfTrue="1">
      <formula>AR67=CléPersonnalisée2</formula>
    </cfRule>
    <cfRule type="expression" dxfId="10013" priority="911" stopIfTrue="1">
      <formula>AR67=CléPersonnalisée1</formula>
    </cfRule>
    <cfRule type="expression" dxfId="10012" priority="912" stopIfTrue="1">
      <formula>AR67=CléMaladie</formula>
    </cfRule>
    <cfRule type="expression" dxfId="10011" priority="913" stopIfTrue="1">
      <formula>AR67=CléPersonnelle</formula>
    </cfRule>
    <cfRule type="expression" dxfId="10010" priority="914" stopIfTrue="1">
      <formula>AR67=CléCongés</formula>
    </cfRule>
  </conditionalFormatting>
  <conditionalFormatting sqref="AQ67">
    <cfRule type="expression" priority="903" stopIfTrue="1">
      <formula>AQ67=""</formula>
    </cfRule>
    <cfRule type="expression" dxfId="10009" priority="904" stopIfTrue="1">
      <formula>AQ67=CléPersonnalisée2</formula>
    </cfRule>
    <cfRule type="expression" dxfId="10008" priority="905" stopIfTrue="1">
      <formula>AQ67=CléPersonnalisée1</formula>
    </cfRule>
    <cfRule type="expression" dxfId="10007" priority="906" stopIfTrue="1">
      <formula>AQ67=CléMaladie</formula>
    </cfRule>
    <cfRule type="expression" dxfId="10006" priority="907" stopIfTrue="1">
      <formula>AQ67=CléPersonnelle</formula>
    </cfRule>
    <cfRule type="expression" dxfId="10005" priority="908" stopIfTrue="1">
      <formula>AQ67=CléCongés</formula>
    </cfRule>
  </conditionalFormatting>
  <conditionalFormatting sqref="AR71">
    <cfRule type="expression" priority="897" stopIfTrue="1">
      <formula>AR71=""</formula>
    </cfRule>
    <cfRule type="expression" dxfId="10004" priority="898" stopIfTrue="1">
      <formula>AR71=CléPersonnalisée2</formula>
    </cfRule>
    <cfRule type="expression" dxfId="10003" priority="899" stopIfTrue="1">
      <formula>AR71=CléPersonnalisée1</formula>
    </cfRule>
    <cfRule type="expression" dxfId="10002" priority="900" stopIfTrue="1">
      <formula>AR71=CléMaladie</formula>
    </cfRule>
    <cfRule type="expression" dxfId="10001" priority="901" stopIfTrue="1">
      <formula>AR71=CléPersonnelle</formula>
    </cfRule>
    <cfRule type="expression" dxfId="10000" priority="902" stopIfTrue="1">
      <formula>AR71=CléCongés</formula>
    </cfRule>
  </conditionalFormatting>
  <conditionalFormatting sqref="C73:AG75">
    <cfRule type="expression" priority="884" stopIfTrue="1">
      <formula>C73=""</formula>
    </cfRule>
    <cfRule type="expression" dxfId="9999" priority="885" stopIfTrue="1">
      <formula>C73=CléPersonnalisée2</formula>
    </cfRule>
    <cfRule type="expression" dxfId="9998" priority="886" stopIfTrue="1">
      <formula>C73=CléPersonnalisée1</formula>
    </cfRule>
    <cfRule type="expression" dxfId="9997" priority="887" stopIfTrue="1">
      <formula>C73=CléMaladie</formula>
    </cfRule>
    <cfRule type="expression" dxfId="9996" priority="888" stopIfTrue="1">
      <formula>C73=CléPersonnelle</formula>
    </cfRule>
    <cfRule type="expression" dxfId="9995" priority="889" stopIfTrue="1">
      <formula>C73=CléCongés</formula>
    </cfRule>
  </conditionalFormatting>
  <conditionalFormatting sqref="AH75">
    <cfRule type="dataBar" priority="890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{878DE442-8749-4947-B6FB-849AC80E7DA5}</x14:id>
        </ext>
      </extLst>
    </cfRule>
  </conditionalFormatting>
  <conditionalFormatting sqref="AI75:AL75 AJ73:AL74">
    <cfRule type="expression" priority="878" stopIfTrue="1">
      <formula>AI73=""</formula>
    </cfRule>
    <cfRule type="expression" dxfId="9994" priority="879" stopIfTrue="1">
      <formula>AI73=CléPersonnalisée2</formula>
    </cfRule>
    <cfRule type="expression" dxfId="9993" priority="880" stopIfTrue="1">
      <formula>AI73=CléPersonnalisée1</formula>
    </cfRule>
    <cfRule type="expression" dxfId="9992" priority="881" stopIfTrue="1">
      <formula>AI73=CléMaladie</formula>
    </cfRule>
    <cfRule type="expression" dxfId="9991" priority="882" stopIfTrue="1">
      <formula>AI73=CléPersonnelle</formula>
    </cfRule>
    <cfRule type="expression" dxfId="9990" priority="883" stopIfTrue="1">
      <formula>AI73=CléCongés</formula>
    </cfRule>
  </conditionalFormatting>
  <conditionalFormatting sqref="AM73:AP74">
    <cfRule type="expression" priority="872" stopIfTrue="1">
      <formula>AM73=""</formula>
    </cfRule>
    <cfRule type="expression" dxfId="9989" priority="873" stopIfTrue="1">
      <formula>AM73=CléPersonnalisée2</formula>
    </cfRule>
    <cfRule type="expression" dxfId="9988" priority="874" stopIfTrue="1">
      <formula>AM73=CléPersonnalisée1</formula>
    </cfRule>
    <cfRule type="expression" dxfId="9987" priority="875" stopIfTrue="1">
      <formula>AM73=CléMaladie</formula>
    </cfRule>
    <cfRule type="expression" dxfId="9986" priority="876" stopIfTrue="1">
      <formula>AM73=CléPersonnelle</formula>
    </cfRule>
    <cfRule type="expression" dxfId="9985" priority="877" stopIfTrue="1">
      <formula>AM73=CléCongés</formula>
    </cfRule>
  </conditionalFormatting>
  <conditionalFormatting sqref="AQ73:AR74">
    <cfRule type="expression" priority="866" stopIfTrue="1">
      <formula>AQ73=""</formula>
    </cfRule>
    <cfRule type="expression" dxfId="9984" priority="867" stopIfTrue="1">
      <formula>AQ73=CléPersonnalisée2</formula>
    </cfRule>
    <cfRule type="expression" dxfId="9983" priority="868" stopIfTrue="1">
      <formula>AQ73=CléPersonnalisée1</formula>
    </cfRule>
    <cfRule type="expression" dxfId="9982" priority="869" stopIfTrue="1">
      <formula>AQ73=CléMaladie</formula>
    </cfRule>
    <cfRule type="expression" dxfId="9981" priority="870" stopIfTrue="1">
      <formula>AQ73=CléPersonnelle</formula>
    </cfRule>
    <cfRule type="expression" dxfId="9980" priority="871" stopIfTrue="1">
      <formula>AQ73=CléCongés</formula>
    </cfRule>
  </conditionalFormatting>
  <conditionalFormatting sqref="AM75 AP75">
    <cfRule type="expression" priority="860" stopIfTrue="1">
      <formula>AM75=""</formula>
    </cfRule>
    <cfRule type="expression" dxfId="9979" priority="861" stopIfTrue="1">
      <formula>AM75=CléPersonnalisée2</formula>
    </cfRule>
    <cfRule type="expression" dxfId="9978" priority="862" stopIfTrue="1">
      <formula>AM75=CléPersonnalisée1</formula>
    </cfRule>
    <cfRule type="expression" dxfId="9977" priority="863" stopIfTrue="1">
      <formula>AM75=CléMaladie</formula>
    </cfRule>
    <cfRule type="expression" dxfId="9976" priority="864" stopIfTrue="1">
      <formula>AM75=CléPersonnelle</formula>
    </cfRule>
    <cfRule type="expression" dxfId="9975" priority="865" stopIfTrue="1">
      <formula>AM75=CléCongés</formula>
    </cfRule>
  </conditionalFormatting>
  <conditionalFormatting sqref="AH73:AH74">
    <cfRule type="dataBar" priority="859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{A1792600-EBCF-47DB-8799-A86DD225B717}</x14:id>
        </ext>
      </extLst>
    </cfRule>
  </conditionalFormatting>
  <conditionalFormatting sqref="AI73:AI74">
    <cfRule type="expression" priority="853" stopIfTrue="1">
      <formula>AI73=""</formula>
    </cfRule>
    <cfRule type="expression" dxfId="9974" priority="854" stopIfTrue="1">
      <formula>AI73=CléPersonnalisée2</formula>
    </cfRule>
    <cfRule type="expression" dxfId="9973" priority="855" stopIfTrue="1">
      <formula>AI73=CléPersonnalisée1</formula>
    </cfRule>
    <cfRule type="expression" dxfId="9972" priority="856" stopIfTrue="1">
      <formula>AI73=CléMaladie</formula>
    </cfRule>
    <cfRule type="expression" dxfId="9971" priority="857" stopIfTrue="1">
      <formula>AI73=CléPersonnelle</formula>
    </cfRule>
    <cfRule type="expression" dxfId="9970" priority="858" stopIfTrue="1">
      <formula>AI73=CléCongés</formula>
    </cfRule>
  </conditionalFormatting>
  <conditionalFormatting sqref="AR75">
    <cfRule type="expression" priority="847" stopIfTrue="1">
      <formula>AR75=""</formula>
    </cfRule>
    <cfRule type="expression" dxfId="9969" priority="848" stopIfTrue="1">
      <formula>AR75=CléPersonnalisée2</formula>
    </cfRule>
    <cfRule type="expression" dxfId="9968" priority="849" stopIfTrue="1">
      <formula>AR75=CléPersonnalisée1</formula>
    </cfRule>
    <cfRule type="expression" dxfId="9967" priority="850" stopIfTrue="1">
      <formula>AR75=CléMaladie</formula>
    </cfRule>
    <cfRule type="expression" dxfId="9966" priority="851" stopIfTrue="1">
      <formula>AR75=CléPersonnelle</formula>
    </cfRule>
    <cfRule type="expression" dxfId="9965" priority="852" stopIfTrue="1">
      <formula>AR75=CléCongés</formula>
    </cfRule>
  </conditionalFormatting>
  <conditionalFormatting sqref="C81:AG83">
    <cfRule type="expression" priority="834" stopIfTrue="1">
      <formula>C81=""</formula>
    </cfRule>
    <cfRule type="expression" dxfId="9964" priority="835" stopIfTrue="1">
      <formula>C81=CléPersonnalisée2</formula>
    </cfRule>
    <cfRule type="expression" dxfId="9963" priority="836" stopIfTrue="1">
      <formula>C81=CléPersonnalisée1</formula>
    </cfRule>
    <cfRule type="expression" dxfId="9962" priority="837" stopIfTrue="1">
      <formula>C81=CléMaladie</formula>
    </cfRule>
    <cfRule type="expression" dxfId="9961" priority="838" stopIfTrue="1">
      <formula>C81=CléPersonnelle</formula>
    </cfRule>
    <cfRule type="expression" dxfId="9960" priority="839" stopIfTrue="1">
      <formula>C81=CléCongés</formula>
    </cfRule>
  </conditionalFormatting>
  <conditionalFormatting sqref="AH83">
    <cfRule type="dataBar" priority="840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{FB29617C-DABC-4740-B64C-A9874679B158}</x14:id>
        </ext>
      </extLst>
    </cfRule>
  </conditionalFormatting>
  <conditionalFormatting sqref="AI83:AL83 AJ81:AL82">
    <cfRule type="expression" priority="828" stopIfTrue="1">
      <formula>AI81=""</formula>
    </cfRule>
    <cfRule type="expression" dxfId="9959" priority="829" stopIfTrue="1">
      <formula>AI81=CléPersonnalisée2</formula>
    </cfRule>
    <cfRule type="expression" dxfId="9958" priority="830" stopIfTrue="1">
      <formula>AI81=CléPersonnalisée1</formula>
    </cfRule>
    <cfRule type="expression" dxfId="9957" priority="831" stopIfTrue="1">
      <formula>AI81=CléMaladie</formula>
    </cfRule>
    <cfRule type="expression" dxfId="9956" priority="832" stopIfTrue="1">
      <formula>AI81=CléPersonnelle</formula>
    </cfRule>
    <cfRule type="expression" dxfId="9955" priority="833" stopIfTrue="1">
      <formula>AI81=CléCongés</formula>
    </cfRule>
  </conditionalFormatting>
  <conditionalFormatting sqref="AM81:AP82">
    <cfRule type="expression" priority="822" stopIfTrue="1">
      <formula>AM81=""</formula>
    </cfRule>
    <cfRule type="expression" dxfId="9954" priority="823" stopIfTrue="1">
      <formula>AM81=CléPersonnalisée2</formula>
    </cfRule>
    <cfRule type="expression" dxfId="9953" priority="824" stopIfTrue="1">
      <formula>AM81=CléPersonnalisée1</formula>
    </cfRule>
    <cfRule type="expression" dxfId="9952" priority="825" stopIfTrue="1">
      <formula>AM81=CléMaladie</formula>
    </cfRule>
    <cfRule type="expression" dxfId="9951" priority="826" stopIfTrue="1">
      <formula>AM81=CléPersonnelle</formula>
    </cfRule>
    <cfRule type="expression" dxfId="9950" priority="827" stopIfTrue="1">
      <formula>AM81=CléCongés</formula>
    </cfRule>
  </conditionalFormatting>
  <conditionalFormatting sqref="AQ81:AR82">
    <cfRule type="expression" priority="816" stopIfTrue="1">
      <formula>AQ81=""</formula>
    </cfRule>
    <cfRule type="expression" dxfId="9949" priority="817" stopIfTrue="1">
      <formula>AQ81=CléPersonnalisée2</formula>
    </cfRule>
    <cfRule type="expression" dxfId="9948" priority="818" stopIfTrue="1">
      <formula>AQ81=CléPersonnalisée1</formula>
    </cfRule>
    <cfRule type="expression" dxfId="9947" priority="819" stopIfTrue="1">
      <formula>AQ81=CléMaladie</formula>
    </cfRule>
    <cfRule type="expression" dxfId="9946" priority="820" stopIfTrue="1">
      <formula>AQ81=CléPersonnelle</formula>
    </cfRule>
    <cfRule type="expression" dxfId="9945" priority="821" stopIfTrue="1">
      <formula>AQ81=CléCongés</formula>
    </cfRule>
  </conditionalFormatting>
  <conditionalFormatting sqref="AM83 AP83">
    <cfRule type="expression" priority="810" stopIfTrue="1">
      <formula>AM83=""</formula>
    </cfRule>
    <cfRule type="expression" dxfId="9944" priority="811" stopIfTrue="1">
      <formula>AM83=CléPersonnalisée2</formula>
    </cfRule>
    <cfRule type="expression" dxfId="9943" priority="812" stopIfTrue="1">
      <formula>AM83=CléPersonnalisée1</formula>
    </cfRule>
    <cfRule type="expression" dxfId="9942" priority="813" stopIfTrue="1">
      <formula>AM83=CléMaladie</formula>
    </cfRule>
    <cfRule type="expression" dxfId="9941" priority="814" stopIfTrue="1">
      <formula>AM83=CléPersonnelle</formula>
    </cfRule>
    <cfRule type="expression" dxfId="9940" priority="815" stopIfTrue="1">
      <formula>AM83=CléCongés</formula>
    </cfRule>
  </conditionalFormatting>
  <conditionalFormatting sqref="AH81:AH82">
    <cfRule type="dataBar" priority="809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{9378D779-8611-4FC9-A18E-3090415EA2F9}</x14:id>
        </ext>
      </extLst>
    </cfRule>
  </conditionalFormatting>
  <conditionalFormatting sqref="AO83">
    <cfRule type="expression" priority="803" stopIfTrue="1">
      <formula>AO83=""</formula>
    </cfRule>
    <cfRule type="expression" dxfId="9939" priority="804" stopIfTrue="1">
      <formula>AO83=CléPersonnalisée2</formula>
    </cfRule>
    <cfRule type="expression" dxfId="9938" priority="805" stopIfTrue="1">
      <formula>AO83=CléPersonnalisée1</formula>
    </cfRule>
    <cfRule type="expression" dxfId="9937" priority="806" stopIfTrue="1">
      <formula>AO83=CléMaladie</formula>
    </cfRule>
    <cfRule type="expression" dxfId="9936" priority="807" stopIfTrue="1">
      <formula>AO83=CléPersonnelle</formula>
    </cfRule>
    <cfRule type="expression" dxfId="9935" priority="808" stopIfTrue="1">
      <formula>AO83=CléCongés</formula>
    </cfRule>
  </conditionalFormatting>
  <conditionalFormatting sqref="AI81:AI82">
    <cfRule type="expression" priority="797" stopIfTrue="1">
      <formula>AI81=""</formula>
    </cfRule>
    <cfRule type="expression" dxfId="9934" priority="798" stopIfTrue="1">
      <formula>AI81=CléPersonnalisée2</formula>
    </cfRule>
    <cfRule type="expression" dxfId="9933" priority="799" stopIfTrue="1">
      <formula>AI81=CléPersonnalisée1</formula>
    </cfRule>
    <cfRule type="expression" dxfId="9932" priority="800" stopIfTrue="1">
      <formula>AI81=CléMaladie</formula>
    </cfRule>
    <cfRule type="expression" dxfId="9931" priority="801" stopIfTrue="1">
      <formula>AI81=CléPersonnelle</formula>
    </cfRule>
    <cfRule type="expression" dxfId="9930" priority="802" stopIfTrue="1">
      <formula>AI81=CléCongés</formula>
    </cfRule>
  </conditionalFormatting>
  <conditionalFormatting sqref="AN83">
    <cfRule type="expression" priority="791" stopIfTrue="1">
      <formula>AN83=""</formula>
    </cfRule>
    <cfRule type="expression" dxfId="9929" priority="792" stopIfTrue="1">
      <formula>AN83=CléPersonnalisée2</formula>
    </cfRule>
    <cfRule type="expression" dxfId="9928" priority="793" stopIfTrue="1">
      <formula>AN83=CléPersonnalisée1</formula>
    </cfRule>
    <cfRule type="expression" dxfId="9927" priority="794" stopIfTrue="1">
      <formula>AN83=CléMaladie</formula>
    </cfRule>
    <cfRule type="expression" dxfId="9926" priority="795" stopIfTrue="1">
      <formula>AN83=CléPersonnelle</formula>
    </cfRule>
    <cfRule type="expression" dxfId="9925" priority="796" stopIfTrue="1">
      <formula>AN83=CléCongés</formula>
    </cfRule>
  </conditionalFormatting>
  <conditionalFormatting sqref="AR83">
    <cfRule type="expression" priority="785" stopIfTrue="1">
      <formula>AR83=""</formula>
    </cfRule>
    <cfRule type="expression" dxfId="9924" priority="786" stopIfTrue="1">
      <formula>AR83=CléPersonnalisée2</formula>
    </cfRule>
    <cfRule type="expression" dxfId="9923" priority="787" stopIfTrue="1">
      <formula>AR83=CléPersonnalisée1</formula>
    </cfRule>
    <cfRule type="expression" dxfId="9922" priority="788" stopIfTrue="1">
      <formula>AR83=CléMaladie</formula>
    </cfRule>
    <cfRule type="expression" dxfId="9921" priority="789" stopIfTrue="1">
      <formula>AR83=CléPersonnelle</formula>
    </cfRule>
    <cfRule type="expression" dxfId="9920" priority="790" stopIfTrue="1">
      <formula>AR83=CléCongés</formula>
    </cfRule>
  </conditionalFormatting>
  <conditionalFormatting sqref="AQ87">
    <cfRule type="expression" priority="717" stopIfTrue="1">
      <formula>AQ87=""</formula>
    </cfRule>
    <cfRule type="expression" dxfId="9919" priority="718" stopIfTrue="1">
      <formula>AQ87=CléPersonnalisée2</formula>
    </cfRule>
    <cfRule type="expression" dxfId="9918" priority="719" stopIfTrue="1">
      <formula>AQ87=CléPersonnalisée1</formula>
    </cfRule>
    <cfRule type="expression" dxfId="9917" priority="720" stopIfTrue="1">
      <formula>AQ87=CléMaladie</formula>
    </cfRule>
    <cfRule type="expression" dxfId="9916" priority="721" stopIfTrue="1">
      <formula>AQ87=CléPersonnelle</formula>
    </cfRule>
    <cfRule type="expression" dxfId="9915" priority="722" stopIfTrue="1">
      <formula>AQ87=CléCongés</formula>
    </cfRule>
  </conditionalFormatting>
  <conditionalFormatting sqref="C85:AG87">
    <cfRule type="expression" priority="772" stopIfTrue="1">
      <formula>C85=""</formula>
    </cfRule>
    <cfRule type="expression" dxfId="9914" priority="773" stopIfTrue="1">
      <formula>C85=CléPersonnalisée2</formula>
    </cfRule>
    <cfRule type="expression" dxfId="9913" priority="774" stopIfTrue="1">
      <formula>C85=CléPersonnalisée1</formula>
    </cfRule>
    <cfRule type="expression" dxfId="9912" priority="775" stopIfTrue="1">
      <formula>C85=CléMaladie</formula>
    </cfRule>
    <cfRule type="expression" dxfId="9911" priority="776" stopIfTrue="1">
      <formula>C85=CléPersonnelle</formula>
    </cfRule>
    <cfRule type="expression" dxfId="9910" priority="777" stopIfTrue="1">
      <formula>C85=CléCongés</formula>
    </cfRule>
  </conditionalFormatting>
  <conditionalFormatting sqref="AH87">
    <cfRule type="dataBar" priority="778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{0537DDA0-9A33-4864-A8CA-86DAFB4164C2}</x14:id>
        </ext>
      </extLst>
    </cfRule>
  </conditionalFormatting>
  <conditionalFormatting sqref="AI87:AL87 AJ85:AL86">
    <cfRule type="expression" priority="766" stopIfTrue="1">
      <formula>AI85=""</formula>
    </cfRule>
    <cfRule type="expression" dxfId="9909" priority="767" stopIfTrue="1">
      <formula>AI85=CléPersonnalisée2</formula>
    </cfRule>
    <cfRule type="expression" dxfId="9908" priority="768" stopIfTrue="1">
      <formula>AI85=CléPersonnalisée1</formula>
    </cfRule>
    <cfRule type="expression" dxfId="9907" priority="769" stopIfTrue="1">
      <formula>AI85=CléMaladie</formula>
    </cfRule>
    <cfRule type="expression" dxfId="9906" priority="770" stopIfTrue="1">
      <formula>AI85=CléPersonnelle</formula>
    </cfRule>
    <cfRule type="expression" dxfId="9905" priority="771" stopIfTrue="1">
      <formula>AI85=CléCongés</formula>
    </cfRule>
  </conditionalFormatting>
  <conditionalFormatting sqref="AM85:AP86">
    <cfRule type="expression" priority="760" stopIfTrue="1">
      <formula>AM85=""</formula>
    </cfRule>
    <cfRule type="expression" dxfId="9904" priority="761" stopIfTrue="1">
      <formula>AM85=CléPersonnalisée2</formula>
    </cfRule>
    <cfRule type="expression" dxfId="9903" priority="762" stopIfTrue="1">
      <formula>AM85=CléPersonnalisée1</formula>
    </cfRule>
    <cfRule type="expression" dxfId="9902" priority="763" stopIfTrue="1">
      <formula>AM85=CléMaladie</formula>
    </cfRule>
    <cfRule type="expression" dxfId="9901" priority="764" stopIfTrue="1">
      <formula>AM85=CléPersonnelle</formula>
    </cfRule>
    <cfRule type="expression" dxfId="9900" priority="765" stopIfTrue="1">
      <formula>AM85=CléCongés</formula>
    </cfRule>
  </conditionalFormatting>
  <conditionalFormatting sqref="AQ85:AR86">
    <cfRule type="expression" priority="754" stopIfTrue="1">
      <formula>AQ85=""</formula>
    </cfRule>
    <cfRule type="expression" dxfId="9899" priority="755" stopIfTrue="1">
      <formula>AQ85=CléPersonnalisée2</formula>
    </cfRule>
    <cfRule type="expression" dxfId="9898" priority="756" stopIfTrue="1">
      <formula>AQ85=CléPersonnalisée1</formula>
    </cfRule>
    <cfRule type="expression" dxfId="9897" priority="757" stopIfTrue="1">
      <formula>AQ85=CléMaladie</formula>
    </cfRule>
    <cfRule type="expression" dxfId="9896" priority="758" stopIfTrue="1">
      <formula>AQ85=CléPersonnelle</formula>
    </cfRule>
    <cfRule type="expression" dxfId="9895" priority="759" stopIfTrue="1">
      <formula>AQ85=CléCongés</formula>
    </cfRule>
  </conditionalFormatting>
  <conditionalFormatting sqref="AM87 AP87">
    <cfRule type="expression" priority="748" stopIfTrue="1">
      <formula>AM87=""</formula>
    </cfRule>
    <cfRule type="expression" dxfId="9894" priority="749" stopIfTrue="1">
      <formula>AM87=CléPersonnalisée2</formula>
    </cfRule>
    <cfRule type="expression" dxfId="9893" priority="750" stopIfTrue="1">
      <formula>AM87=CléPersonnalisée1</formula>
    </cfRule>
    <cfRule type="expression" dxfId="9892" priority="751" stopIfTrue="1">
      <formula>AM87=CléMaladie</formula>
    </cfRule>
    <cfRule type="expression" dxfId="9891" priority="752" stopIfTrue="1">
      <formula>AM87=CléPersonnelle</formula>
    </cfRule>
    <cfRule type="expression" dxfId="9890" priority="753" stopIfTrue="1">
      <formula>AM87=CléCongés</formula>
    </cfRule>
  </conditionalFormatting>
  <conditionalFormatting sqref="AH85:AH86">
    <cfRule type="dataBar" priority="747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{235127CA-9933-4BDC-BDCD-4CB39371E91A}</x14:id>
        </ext>
      </extLst>
    </cfRule>
  </conditionalFormatting>
  <conditionalFormatting sqref="AO87">
    <cfRule type="expression" priority="741" stopIfTrue="1">
      <formula>AO87=""</formula>
    </cfRule>
    <cfRule type="expression" dxfId="9889" priority="742" stopIfTrue="1">
      <formula>AO87=CléPersonnalisée2</formula>
    </cfRule>
    <cfRule type="expression" dxfId="9888" priority="743" stopIfTrue="1">
      <formula>AO87=CléPersonnalisée1</formula>
    </cfRule>
    <cfRule type="expression" dxfId="9887" priority="744" stopIfTrue="1">
      <formula>AO87=CléMaladie</formula>
    </cfRule>
    <cfRule type="expression" dxfId="9886" priority="745" stopIfTrue="1">
      <formula>AO87=CléPersonnelle</formula>
    </cfRule>
    <cfRule type="expression" dxfId="9885" priority="746" stopIfTrue="1">
      <formula>AO87=CléCongés</formula>
    </cfRule>
  </conditionalFormatting>
  <conditionalFormatting sqref="AI85:AI86">
    <cfRule type="expression" priority="735" stopIfTrue="1">
      <formula>AI85=""</formula>
    </cfRule>
    <cfRule type="expression" dxfId="9884" priority="736" stopIfTrue="1">
      <formula>AI85=CléPersonnalisée2</formula>
    </cfRule>
    <cfRule type="expression" dxfId="9883" priority="737" stopIfTrue="1">
      <formula>AI85=CléPersonnalisée1</formula>
    </cfRule>
    <cfRule type="expression" dxfId="9882" priority="738" stopIfTrue="1">
      <formula>AI85=CléMaladie</formula>
    </cfRule>
    <cfRule type="expression" dxfId="9881" priority="739" stopIfTrue="1">
      <formula>AI85=CléPersonnelle</formula>
    </cfRule>
    <cfRule type="expression" dxfId="9880" priority="740" stopIfTrue="1">
      <formula>AI85=CléCongés</formula>
    </cfRule>
  </conditionalFormatting>
  <conditionalFormatting sqref="AN87">
    <cfRule type="expression" priority="729" stopIfTrue="1">
      <formula>AN87=""</formula>
    </cfRule>
    <cfRule type="expression" dxfId="9879" priority="730" stopIfTrue="1">
      <formula>AN87=CléPersonnalisée2</formula>
    </cfRule>
    <cfRule type="expression" dxfId="9878" priority="731" stopIfTrue="1">
      <formula>AN87=CléPersonnalisée1</formula>
    </cfRule>
    <cfRule type="expression" dxfId="9877" priority="732" stopIfTrue="1">
      <formula>AN87=CléMaladie</formula>
    </cfRule>
    <cfRule type="expression" dxfId="9876" priority="733" stopIfTrue="1">
      <formula>AN87=CléPersonnelle</formula>
    </cfRule>
    <cfRule type="expression" dxfId="9875" priority="734" stopIfTrue="1">
      <formula>AN87=CléCongés</formula>
    </cfRule>
  </conditionalFormatting>
  <conditionalFormatting sqref="AR87">
    <cfRule type="expression" priority="723" stopIfTrue="1">
      <formula>AR87=""</formula>
    </cfRule>
    <cfRule type="expression" dxfId="9874" priority="724" stopIfTrue="1">
      <formula>AR87=CléPersonnalisée2</formula>
    </cfRule>
    <cfRule type="expression" dxfId="9873" priority="725" stopIfTrue="1">
      <formula>AR87=CléPersonnalisée1</formula>
    </cfRule>
    <cfRule type="expression" dxfId="9872" priority="726" stopIfTrue="1">
      <formula>AR87=CléMaladie</formula>
    </cfRule>
    <cfRule type="expression" dxfId="9871" priority="727" stopIfTrue="1">
      <formula>AR87=CléPersonnelle</formula>
    </cfRule>
    <cfRule type="expression" dxfId="9870" priority="728" stopIfTrue="1">
      <formula>AR87=CléCongés</formula>
    </cfRule>
  </conditionalFormatting>
  <conditionalFormatting sqref="C89:AG91">
    <cfRule type="expression" priority="710" stopIfTrue="1">
      <formula>C89=""</formula>
    </cfRule>
    <cfRule type="expression" dxfId="9869" priority="711" stopIfTrue="1">
      <formula>C89=CléPersonnalisée2</formula>
    </cfRule>
    <cfRule type="expression" dxfId="9868" priority="712" stopIfTrue="1">
      <formula>C89=CléPersonnalisée1</formula>
    </cfRule>
    <cfRule type="expression" dxfId="9867" priority="713" stopIfTrue="1">
      <formula>C89=CléMaladie</formula>
    </cfRule>
    <cfRule type="expression" dxfId="9866" priority="714" stopIfTrue="1">
      <formula>C89=CléPersonnelle</formula>
    </cfRule>
    <cfRule type="expression" dxfId="9865" priority="715" stopIfTrue="1">
      <formula>C89=CléCongés</formula>
    </cfRule>
  </conditionalFormatting>
  <conditionalFormatting sqref="AH91">
    <cfRule type="dataBar" priority="716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{9E40394D-DB3D-4D75-81B4-C19EE07D5808}</x14:id>
        </ext>
      </extLst>
    </cfRule>
  </conditionalFormatting>
  <conditionalFormatting sqref="AI91:AL91 AJ89:AL90">
    <cfRule type="expression" priority="704" stopIfTrue="1">
      <formula>AI89=""</formula>
    </cfRule>
    <cfRule type="expression" dxfId="9864" priority="705" stopIfTrue="1">
      <formula>AI89=CléPersonnalisée2</formula>
    </cfRule>
    <cfRule type="expression" dxfId="9863" priority="706" stopIfTrue="1">
      <formula>AI89=CléPersonnalisée1</formula>
    </cfRule>
    <cfRule type="expression" dxfId="9862" priority="707" stopIfTrue="1">
      <formula>AI89=CléMaladie</formula>
    </cfRule>
    <cfRule type="expression" dxfId="9861" priority="708" stopIfTrue="1">
      <formula>AI89=CléPersonnelle</formula>
    </cfRule>
    <cfRule type="expression" dxfId="9860" priority="709" stopIfTrue="1">
      <formula>AI89=CléCongés</formula>
    </cfRule>
  </conditionalFormatting>
  <conditionalFormatting sqref="AM89:AP90">
    <cfRule type="expression" priority="698" stopIfTrue="1">
      <formula>AM89=""</formula>
    </cfRule>
    <cfRule type="expression" dxfId="9859" priority="699" stopIfTrue="1">
      <formula>AM89=CléPersonnalisée2</formula>
    </cfRule>
    <cfRule type="expression" dxfId="9858" priority="700" stopIfTrue="1">
      <formula>AM89=CléPersonnalisée1</formula>
    </cfRule>
    <cfRule type="expression" dxfId="9857" priority="701" stopIfTrue="1">
      <formula>AM89=CléMaladie</formula>
    </cfRule>
    <cfRule type="expression" dxfId="9856" priority="702" stopIfTrue="1">
      <formula>AM89=CléPersonnelle</formula>
    </cfRule>
    <cfRule type="expression" dxfId="9855" priority="703" stopIfTrue="1">
      <formula>AM89=CléCongés</formula>
    </cfRule>
  </conditionalFormatting>
  <conditionalFormatting sqref="AQ89:AR90">
    <cfRule type="expression" priority="692" stopIfTrue="1">
      <formula>AQ89=""</formula>
    </cfRule>
    <cfRule type="expression" dxfId="9854" priority="693" stopIfTrue="1">
      <formula>AQ89=CléPersonnalisée2</formula>
    </cfRule>
    <cfRule type="expression" dxfId="9853" priority="694" stopIfTrue="1">
      <formula>AQ89=CléPersonnalisée1</formula>
    </cfRule>
    <cfRule type="expression" dxfId="9852" priority="695" stopIfTrue="1">
      <formula>AQ89=CléMaladie</formula>
    </cfRule>
    <cfRule type="expression" dxfId="9851" priority="696" stopIfTrue="1">
      <formula>AQ89=CléPersonnelle</formula>
    </cfRule>
    <cfRule type="expression" dxfId="9850" priority="697" stopIfTrue="1">
      <formula>AQ89=CléCongés</formula>
    </cfRule>
  </conditionalFormatting>
  <conditionalFormatting sqref="AM91 AP91">
    <cfRule type="expression" priority="686" stopIfTrue="1">
      <formula>AM91=""</formula>
    </cfRule>
    <cfRule type="expression" dxfId="9849" priority="687" stopIfTrue="1">
      <formula>AM91=CléPersonnalisée2</formula>
    </cfRule>
    <cfRule type="expression" dxfId="9848" priority="688" stopIfTrue="1">
      <formula>AM91=CléPersonnalisée1</formula>
    </cfRule>
    <cfRule type="expression" dxfId="9847" priority="689" stopIfTrue="1">
      <formula>AM91=CléMaladie</formula>
    </cfRule>
    <cfRule type="expression" dxfId="9846" priority="690" stopIfTrue="1">
      <formula>AM91=CléPersonnelle</formula>
    </cfRule>
    <cfRule type="expression" dxfId="9845" priority="691" stopIfTrue="1">
      <formula>AM91=CléCongés</formula>
    </cfRule>
  </conditionalFormatting>
  <conditionalFormatting sqref="AH89:AH90">
    <cfRule type="dataBar" priority="685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{BDE45F46-38D3-49CB-B03A-E839CF054BF4}</x14:id>
        </ext>
      </extLst>
    </cfRule>
  </conditionalFormatting>
  <conditionalFormatting sqref="AO91">
    <cfRule type="expression" priority="679" stopIfTrue="1">
      <formula>AO91=""</formula>
    </cfRule>
    <cfRule type="expression" dxfId="9844" priority="680" stopIfTrue="1">
      <formula>AO91=CléPersonnalisée2</formula>
    </cfRule>
    <cfRule type="expression" dxfId="9843" priority="681" stopIfTrue="1">
      <formula>AO91=CléPersonnalisée1</formula>
    </cfRule>
    <cfRule type="expression" dxfId="9842" priority="682" stopIfTrue="1">
      <formula>AO91=CléMaladie</formula>
    </cfRule>
    <cfRule type="expression" dxfId="9841" priority="683" stopIfTrue="1">
      <formula>AO91=CléPersonnelle</formula>
    </cfRule>
    <cfRule type="expression" dxfId="9840" priority="684" stopIfTrue="1">
      <formula>AO91=CléCongés</formula>
    </cfRule>
  </conditionalFormatting>
  <conditionalFormatting sqref="AI89:AI90">
    <cfRule type="expression" priority="673" stopIfTrue="1">
      <formula>AI89=""</formula>
    </cfRule>
    <cfRule type="expression" dxfId="9839" priority="674" stopIfTrue="1">
      <formula>AI89=CléPersonnalisée2</formula>
    </cfRule>
    <cfRule type="expression" dxfId="9838" priority="675" stopIfTrue="1">
      <formula>AI89=CléPersonnalisée1</formula>
    </cfRule>
    <cfRule type="expression" dxfId="9837" priority="676" stopIfTrue="1">
      <formula>AI89=CléMaladie</formula>
    </cfRule>
    <cfRule type="expression" dxfId="9836" priority="677" stopIfTrue="1">
      <formula>AI89=CléPersonnelle</formula>
    </cfRule>
    <cfRule type="expression" dxfId="9835" priority="678" stopIfTrue="1">
      <formula>AI89=CléCongés</formula>
    </cfRule>
  </conditionalFormatting>
  <conditionalFormatting sqref="AN91">
    <cfRule type="expression" priority="667" stopIfTrue="1">
      <formula>AN91=""</formula>
    </cfRule>
    <cfRule type="expression" dxfId="9834" priority="668" stopIfTrue="1">
      <formula>AN91=CléPersonnalisée2</formula>
    </cfRule>
    <cfRule type="expression" dxfId="9833" priority="669" stopIfTrue="1">
      <formula>AN91=CléPersonnalisée1</formula>
    </cfRule>
    <cfRule type="expression" dxfId="9832" priority="670" stopIfTrue="1">
      <formula>AN91=CléMaladie</formula>
    </cfRule>
    <cfRule type="expression" dxfId="9831" priority="671" stopIfTrue="1">
      <formula>AN91=CléPersonnelle</formula>
    </cfRule>
    <cfRule type="expression" dxfId="9830" priority="672" stopIfTrue="1">
      <formula>AN91=CléCongés</formula>
    </cfRule>
  </conditionalFormatting>
  <conditionalFormatting sqref="AR91">
    <cfRule type="expression" priority="661" stopIfTrue="1">
      <formula>AR91=""</formula>
    </cfRule>
    <cfRule type="expression" dxfId="9829" priority="662" stopIfTrue="1">
      <formula>AR91=CléPersonnalisée2</formula>
    </cfRule>
    <cfRule type="expression" dxfId="9828" priority="663" stopIfTrue="1">
      <formula>AR91=CléPersonnalisée1</formula>
    </cfRule>
    <cfRule type="expression" dxfId="9827" priority="664" stopIfTrue="1">
      <formula>AR91=CléMaladie</formula>
    </cfRule>
    <cfRule type="expression" dxfId="9826" priority="665" stopIfTrue="1">
      <formula>AR91=CléPersonnelle</formula>
    </cfRule>
    <cfRule type="expression" dxfId="9825" priority="666" stopIfTrue="1">
      <formula>AR91=CléCongés</formula>
    </cfRule>
  </conditionalFormatting>
  <conditionalFormatting sqref="AO75">
    <cfRule type="expression" priority="649" stopIfTrue="1">
      <formula>AO75=""</formula>
    </cfRule>
    <cfRule type="expression" dxfId="9824" priority="650" stopIfTrue="1">
      <formula>AO75=CléPersonnalisée2</formula>
    </cfRule>
    <cfRule type="expression" dxfId="9823" priority="651" stopIfTrue="1">
      <formula>AO75=CléPersonnalisée1</formula>
    </cfRule>
    <cfRule type="expression" dxfId="9822" priority="652" stopIfTrue="1">
      <formula>AO75=CléMaladie</formula>
    </cfRule>
    <cfRule type="expression" dxfId="9821" priority="653" stopIfTrue="1">
      <formula>AO75=CléPersonnelle</formula>
    </cfRule>
    <cfRule type="expression" dxfId="9820" priority="654" stopIfTrue="1">
      <formula>AO75=CléCongés</formula>
    </cfRule>
  </conditionalFormatting>
  <conditionalFormatting sqref="AN75">
    <cfRule type="expression" priority="643" stopIfTrue="1">
      <formula>AN75=""</formula>
    </cfRule>
    <cfRule type="expression" dxfId="9819" priority="644" stopIfTrue="1">
      <formula>AN75=CléPersonnalisée2</formula>
    </cfRule>
    <cfRule type="expression" dxfId="9818" priority="645" stopIfTrue="1">
      <formula>AN75=CléPersonnalisée1</formula>
    </cfRule>
    <cfRule type="expression" dxfId="9817" priority="646" stopIfTrue="1">
      <formula>AN75=CléMaladie</formula>
    </cfRule>
    <cfRule type="expression" dxfId="9816" priority="647" stopIfTrue="1">
      <formula>AN75=CléPersonnelle</formula>
    </cfRule>
    <cfRule type="expression" dxfId="9815" priority="648" stopIfTrue="1">
      <formula>AN75=CléCongés</formula>
    </cfRule>
  </conditionalFormatting>
  <conditionalFormatting sqref="AQ124:AR124">
    <cfRule type="expression" priority="637" stopIfTrue="1">
      <formula>AQ124=""</formula>
    </cfRule>
    <cfRule type="expression" dxfId="9814" priority="638" stopIfTrue="1">
      <formula>AQ124=CléPersonnalisée2</formula>
    </cfRule>
    <cfRule type="expression" dxfId="9813" priority="639" stopIfTrue="1">
      <formula>AQ124=CléPersonnalisée1</formula>
    </cfRule>
    <cfRule type="expression" dxfId="9812" priority="640" stopIfTrue="1">
      <formula>AQ124=CléMaladie</formula>
    </cfRule>
    <cfRule type="expression" dxfId="9811" priority="641" stopIfTrue="1">
      <formula>AQ124=CléPersonnelle</formula>
    </cfRule>
    <cfRule type="expression" dxfId="9810" priority="642" stopIfTrue="1">
      <formula>AQ124=CléCongés</formula>
    </cfRule>
  </conditionalFormatting>
  <conditionalFormatting sqref="AQ123">
    <cfRule type="expression" priority="451" stopIfTrue="1">
      <formula>AQ123=""</formula>
    </cfRule>
    <cfRule type="expression" dxfId="9809" priority="452" stopIfTrue="1">
      <formula>AQ123=CléPersonnalisée2</formula>
    </cfRule>
    <cfRule type="expression" dxfId="9808" priority="453" stopIfTrue="1">
      <formula>AQ123=CléPersonnalisée1</formula>
    </cfRule>
    <cfRule type="expression" dxfId="9807" priority="454" stopIfTrue="1">
      <formula>AQ123=CléMaladie</formula>
    </cfRule>
    <cfRule type="expression" dxfId="9806" priority="455" stopIfTrue="1">
      <formula>AQ123=CléPersonnelle</formula>
    </cfRule>
    <cfRule type="expression" dxfId="9805" priority="456" stopIfTrue="1">
      <formula>AQ123=CléCongés</formula>
    </cfRule>
  </conditionalFormatting>
  <conditionalFormatting sqref="AQ104:AR104 AQ112:AR112 AQ116:AR116">
    <cfRule type="expression" priority="631" stopIfTrue="1">
      <formula>AQ104=""</formula>
    </cfRule>
    <cfRule type="expression" dxfId="9804" priority="632" stopIfTrue="1">
      <formula>AQ104=CléPersonnalisée2</formula>
    </cfRule>
    <cfRule type="expression" dxfId="9803" priority="633" stopIfTrue="1">
      <formula>AQ104=CléPersonnalisée1</formula>
    </cfRule>
    <cfRule type="expression" dxfId="9802" priority="634" stopIfTrue="1">
      <formula>AQ104=CléMaladie</formula>
    </cfRule>
    <cfRule type="expression" dxfId="9801" priority="635" stopIfTrue="1">
      <formula>AQ104=CléPersonnelle</formula>
    </cfRule>
    <cfRule type="expression" dxfId="9800" priority="636" stopIfTrue="1">
      <formula>AQ104=CléCongés</formula>
    </cfRule>
  </conditionalFormatting>
  <conditionalFormatting sqref="AQ95 AQ103 AQ99">
    <cfRule type="expression" priority="569" stopIfTrue="1">
      <formula>AQ95=""</formula>
    </cfRule>
    <cfRule type="expression" dxfId="9799" priority="570" stopIfTrue="1">
      <formula>AQ95=CléPersonnalisée2</formula>
    </cfRule>
    <cfRule type="expression" dxfId="9798" priority="571" stopIfTrue="1">
      <formula>AQ95=CléPersonnalisée1</formula>
    </cfRule>
    <cfRule type="expression" dxfId="9797" priority="572" stopIfTrue="1">
      <formula>AQ95=CléMaladie</formula>
    </cfRule>
    <cfRule type="expression" dxfId="9796" priority="573" stopIfTrue="1">
      <formula>AQ95=CléPersonnelle</formula>
    </cfRule>
    <cfRule type="expression" dxfId="9795" priority="574" stopIfTrue="1">
      <formula>AQ95=CléCongés</formula>
    </cfRule>
  </conditionalFormatting>
  <conditionalFormatting sqref="C93:AG95 C101:AG103 C97:AG99">
    <cfRule type="expression" priority="624" stopIfTrue="1">
      <formula>C93=""</formula>
    </cfRule>
    <cfRule type="expression" dxfId="9794" priority="625" stopIfTrue="1">
      <formula>C93=CléPersonnalisée2</formula>
    </cfRule>
    <cfRule type="expression" dxfId="9793" priority="626" stopIfTrue="1">
      <formula>C93=CléPersonnalisée1</formula>
    </cfRule>
    <cfRule type="expression" dxfId="9792" priority="627" stopIfTrue="1">
      <formula>C93=CléMaladie</formula>
    </cfRule>
    <cfRule type="expression" dxfId="9791" priority="628" stopIfTrue="1">
      <formula>C93=CléPersonnelle</formula>
    </cfRule>
    <cfRule type="expression" dxfId="9790" priority="629" stopIfTrue="1">
      <formula>C93=CléCongés</formula>
    </cfRule>
  </conditionalFormatting>
  <conditionalFormatting sqref="AH101:AH103 AH95 AH97:AH99">
    <cfRule type="dataBar" priority="630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{4E6C84A7-DA74-41BC-B33C-897F35B50E12}</x14:id>
        </ext>
      </extLst>
    </cfRule>
  </conditionalFormatting>
  <conditionalFormatting sqref="AI95:AL95 AJ93:AL94 AI101:AL103 AI97:AL99">
    <cfRule type="expression" priority="618" stopIfTrue="1">
      <formula>AI93=""</formula>
    </cfRule>
    <cfRule type="expression" dxfId="9789" priority="619" stopIfTrue="1">
      <formula>AI93=CléPersonnalisée2</formula>
    </cfRule>
    <cfRule type="expression" dxfId="9788" priority="620" stopIfTrue="1">
      <formula>AI93=CléPersonnalisée1</formula>
    </cfRule>
    <cfRule type="expression" dxfId="9787" priority="621" stopIfTrue="1">
      <formula>AI93=CléMaladie</formula>
    </cfRule>
    <cfRule type="expression" dxfId="9786" priority="622" stopIfTrue="1">
      <formula>AI93=CléPersonnelle</formula>
    </cfRule>
    <cfRule type="expression" dxfId="9785" priority="623" stopIfTrue="1">
      <formula>AI93=CléCongés</formula>
    </cfRule>
  </conditionalFormatting>
  <conditionalFormatting sqref="AM93:AP94">
    <cfRule type="expression" priority="612" stopIfTrue="1">
      <formula>AM93=""</formula>
    </cfRule>
    <cfRule type="expression" dxfId="9784" priority="613" stopIfTrue="1">
      <formula>AM93=CléPersonnalisée2</formula>
    </cfRule>
    <cfRule type="expression" dxfId="9783" priority="614" stopIfTrue="1">
      <formula>AM93=CléPersonnalisée1</formula>
    </cfRule>
    <cfRule type="expression" dxfId="9782" priority="615" stopIfTrue="1">
      <formula>AM93=CléMaladie</formula>
    </cfRule>
    <cfRule type="expression" dxfId="9781" priority="616" stopIfTrue="1">
      <formula>AM93=CléPersonnelle</formula>
    </cfRule>
    <cfRule type="expression" dxfId="9780" priority="617" stopIfTrue="1">
      <formula>AM93=CléCongés</formula>
    </cfRule>
  </conditionalFormatting>
  <conditionalFormatting sqref="AQ93:AR94">
    <cfRule type="expression" priority="606" stopIfTrue="1">
      <formula>AQ93=""</formula>
    </cfRule>
    <cfRule type="expression" dxfId="9779" priority="607" stopIfTrue="1">
      <formula>AQ93=CléPersonnalisée2</formula>
    </cfRule>
    <cfRule type="expression" dxfId="9778" priority="608" stopIfTrue="1">
      <formula>AQ93=CléPersonnalisée1</formula>
    </cfRule>
    <cfRule type="expression" dxfId="9777" priority="609" stopIfTrue="1">
      <formula>AQ93=CléMaladie</formula>
    </cfRule>
    <cfRule type="expression" dxfId="9776" priority="610" stopIfTrue="1">
      <formula>AQ93=CléPersonnelle</formula>
    </cfRule>
    <cfRule type="expression" dxfId="9775" priority="611" stopIfTrue="1">
      <formula>AQ93=CléCongés</formula>
    </cfRule>
  </conditionalFormatting>
  <conditionalFormatting sqref="AP95 AP103 AM103 AP99 AM99">
    <cfRule type="expression" priority="600" stopIfTrue="1">
      <formula>AM95=""</formula>
    </cfRule>
    <cfRule type="expression" dxfId="9774" priority="601" stopIfTrue="1">
      <formula>AM95=CléPersonnalisée2</formula>
    </cfRule>
    <cfRule type="expression" dxfId="9773" priority="602" stopIfTrue="1">
      <formula>AM95=CléPersonnalisée1</formula>
    </cfRule>
    <cfRule type="expression" dxfId="9772" priority="603" stopIfTrue="1">
      <formula>AM95=CléMaladie</formula>
    </cfRule>
    <cfRule type="expression" dxfId="9771" priority="604" stopIfTrue="1">
      <formula>AM95=CléPersonnelle</formula>
    </cfRule>
    <cfRule type="expression" dxfId="9770" priority="605" stopIfTrue="1">
      <formula>AM95=CléCongés</formula>
    </cfRule>
  </conditionalFormatting>
  <conditionalFormatting sqref="AH93:AH94">
    <cfRule type="dataBar" priority="599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{9C3A64F4-2C95-4A2A-AE9F-119A1905903E}</x14:id>
        </ext>
      </extLst>
    </cfRule>
  </conditionalFormatting>
  <conditionalFormatting sqref="AO95 AO103 AO99">
    <cfRule type="expression" priority="593" stopIfTrue="1">
      <formula>AO95=""</formula>
    </cfRule>
    <cfRule type="expression" dxfId="9769" priority="594" stopIfTrue="1">
      <formula>AO95=CléPersonnalisée2</formula>
    </cfRule>
    <cfRule type="expression" dxfId="9768" priority="595" stopIfTrue="1">
      <formula>AO95=CléPersonnalisée1</formula>
    </cfRule>
    <cfRule type="expression" dxfId="9767" priority="596" stopIfTrue="1">
      <formula>AO95=CléMaladie</formula>
    </cfRule>
    <cfRule type="expression" dxfId="9766" priority="597" stopIfTrue="1">
      <formula>AO95=CléPersonnelle</formula>
    </cfRule>
    <cfRule type="expression" dxfId="9765" priority="598" stopIfTrue="1">
      <formula>AO95=CléCongés</formula>
    </cfRule>
  </conditionalFormatting>
  <conditionalFormatting sqref="AI93:AI94">
    <cfRule type="expression" priority="587" stopIfTrue="1">
      <formula>AI93=""</formula>
    </cfRule>
    <cfRule type="expression" dxfId="9764" priority="588" stopIfTrue="1">
      <formula>AI93=CléPersonnalisée2</formula>
    </cfRule>
    <cfRule type="expression" dxfId="9763" priority="589" stopIfTrue="1">
      <formula>AI93=CléPersonnalisée1</formula>
    </cfRule>
    <cfRule type="expression" dxfId="9762" priority="590" stopIfTrue="1">
      <formula>AI93=CléMaladie</formula>
    </cfRule>
    <cfRule type="expression" dxfId="9761" priority="591" stopIfTrue="1">
      <formula>AI93=CléPersonnelle</formula>
    </cfRule>
    <cfRule type="expression" dxfId="9760" priority="592" stopIfTrue="1">
      <formula>AI93=CléCongés</formula>
    </cfRule>
  </conditionalFormatting>
  <conditionalFormatting sqref="AN95 AN103 AN99">
    <cfRule type="expression" priority="581" stopIfTrue="1">
      <formula>AN95=""</formula>
    </cfRule>
    <cfRule type="expression" dxfId="9759" priority="582" stopIfTrue="1">
      <formula>AN95=CléPersonnalisée2</formula>
    </cfRule>
    <cfRule type="expression" dxfId="9758" priority="583" stopIfTrue="1">
      <formula>AN95=CléPersonnalisée1</formula>
    </cfRule>
    <cfRule type="expression" dxfId="9757" priority="584" stopIfTrue="1">
      <formula>AN95=CléMaladie</formula>
    </cfRule>
    <cfRule type="expression" dxfId="9756" priority="585" stopIfTrue="1">
      <formula>AN95=CléPersonnelle</formula>
    </cfRule>
    <cfRule type="expression" dxfId="9755" priority="586" stopIfTrue="1">
      <formula>AN95=CléCongés</formula>
    </cfRule>
  </conditionalFormatting>
  <conditionalFormatting sqref="AR95 AR103 AR99">
    <cfRule type="expression" priority="575" stopIfTrue="1">
      <formula>AR95=""</formula>
    </cfRule>
    <cfRule type="expression" dxfId="9754" priority="576" stopIfTrue="1">
      <formula>AR95=CléPersonnalisée2</formula>
    </cfRule>
    <cfRule type="expression" dxfId="9753" priority="577" stopIfTrue="1">
      <formula>AR95=CléPersonnalisée1</formula>
    </cfRule>
    <cfRule type="expression" dxfId="9752" priority="578" stopIfTrue="1">
      <formula>AR95=CléMaladie</formula>
    </cfRule>
    <cfRule type="expression" dxfId="9751" priority="579" stopIfTrue="1">
      <formula>AR95=CléPersonnelle</formula>
    </cfRule>
    <cfRule type="expression" dxfId="9750" priority="580" stopIfTrue="1">
      <formula>AR95=CléCongés</formula>
    </cfRule>
  </conditionalFormatting>
  <conditionalFormatting sqref="AQ111">
    <cfRule type="expression" priority="513" stopIfTrue="1">
      <formula>AQ111=""</formula>
    </cfRule>
    <cfRule type="expression" dxfId="9749" priority="514" stopIfTrue="1">
      <formula>AQ111=CléPersonnalisée2</formula>
    </cfRule>
    <cfRule type="expression" dxfId="9748" priority="515" stopIfTrue="1">
      <formula>AQ111=CléPersonnalisée1</formula>
    </cfRule>
    <cfRule type="expression" dxfId="9747" priority="516" stopIfTrue="1">
      <formula>AQ111=CléMaladie</formula>
    </cfRule>
    <cfRule type="expression" dxfId="9746" priority="517" stopIfTrue="1">
      <formula>AQ111=CléPersonnelle</formula>
    </cfRule>
    <cfRule type="expression" dxfId="9745" priority="518" stopIfTrue="1">
      <formula>AQ111=CléCongés</formula>
    </cfRule>
  </conditionalFormatting>
  <conditionalFormatting sqref="C109:AG111">
    <cfRule type="expression" priority="562" stopIfTrue="1">
      <formula>C109=""</formula>
    </cfRule>
    <cfRule type="expression" dxfId="9744" priority="563" stopIfTrue="1">
      <formula>C109=CléPersonnalisée2</formula>
    </cfRule>
    <cfRule type="expression" dxfId="9743" priority="564" stopIfTrue="1">
      <formula>C109=CléPersonnalisée1</formula>
    </cfRule>
    <cfRule type="expression" dxfId="9742" priority="565" stopIfTrue="1">
      <formula>C109=CléMaladie</formula>
    </cfRule>
    <cfRule type="expression" dxfId="9741" priority="566" stopIfTrue="1">
      <formula>C109=CléPersonnelle</formula>
    </cfRule>
    <cfRule type="expression" dxfId="9740" priority="567" stopIfTrue="1">
      <formula>C109=CléCongés</formula>
    </cfRule>
  </conditionalFormatting>
  <conditionalFormatting sqref="AH111">
    <cfRule type="dataBar" priority="568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{AF747B22-4378-413A-8976-5DC859B0D143}</x14:id>
        </ext>
      </extLst>
    </cfRule>
  </conditionalFormatting>
  <conditionalFormatting sqref="AI111:AL111 AJ109:AL110">
    <cfRule type="expression" priority="556" stopIfTrue="1">
      <formula>AI109=""</formula>
    </cfRule>
    <cfRule type="expression" dxfId="9739" priority="557" stopIfTrue="1">
      <formula>AI109=CléPersonnalisée2</formula>
    </cfRule>
    <cfRule type="expression" dxfId="9738" priority="558" stopIfTrue="1">
      <formula>AI109=CléPersonnalisée1</formula>
    </cfRule>
    <cfRule type="expression" dxfId="9737" priority="559" stopIfTrue="1">
      <formula>AI109=CléMaladie</formula>
    </cfRule>
    <cfRule type="expression" dxfId="9736" priority="560" stopIfTrue="1">
      <formula>AI109=CléPersonnelle</formula>
    </cfRule>
    <cfRule type="expression" dxfId="9735" priority="561" stopIfTrue="1">
      <formula>AI109=CléCongés</formula>
    </cfRule>
  </conditionalFormatting>
  <conditionalFormatting sqref="AM109:AP110">
    <cfRule type="expression" priority="550" stopIfTrue="1">
      <formula>AM109=""</formula>
    </cfRule>
    <cfRule type="expression" dxfId="9734" priority="551" stopIfTrue="1">
      <formula>AM109=CléPersonnalisée2</formula>
    </cfRule>
    <cfRule type="expression" dxfId="9733" priority="552" stopIfTrue="1">
      <formula>AM109=CléPersonnalisée1</formula>
    </cfRule>
    <cfRule type="expression" dxfId="9732" priority="553" stopIfTrue="1">
      <formula>AM109=CléMaladie</formula>
    </cfRule>
    <cfRule type="expression" dxfId="9731" priority="554" stopIfTrue="1">
      <formula>AM109=CléPersonnelle</formula>
    </cfRule>
    <cfRule type="expression" dxfId="9730" priority="555" stopIfTrue="1">
      <formula>AM109=CléCongés</formula>
    </cfRule>
  </conditionalFormatting>
  <conditionalFormatting sqref="AQ109:AR110">
    <cfRule type="expression" priority="544" stopIfTrue="1">
      <formula>AQ109=""</formula>
    </cfRule>
    <cfRule type="expression" dxfId="9729" priority="545" stopIfTrue="1">
      <formula>AQ109=CléPersonnalisée2</formula>
    </cfRule>
    <cfRule type="expression" dxfId="9728" priority="546" stopIfTrue="1">
      <formula>AQ109=CléPersonnalisée1</formula>
    </cfRule>
    <cfRule type="expression" dxfId="9727" priority="547" stopIfTrue="1">
      <formula>AQ109=CléMaladie</formula>
    </cfRule>
    <cfRule type="expression" dxfId="9726" priority="548" stopIfTrue="1">
      <formula>AQ109=CléPersonnelle</formula>
    </cfRule>
    <cfRule type="expression" dxfId="9725" priority="549" stopIfTrue="1">
      <formula>AQ109=CléCongés</formula>
    </cfRule>
  </conditionalFormatting>
  <conditionalFormatting sqref="AM111 AP111">
    <cfRule type="expression" priority="538" stopIfTrue="1">
      <formula>AM111=""</formula>
    </cfRule>
    <cfRule type="expression" dxfId="9724" priority="539" stopIfTrue="1">
      <formula>AM111=CléPersonnalisée2</formula>
    </cfRule>
    <cfRule type="expression" dxfId="9723" priority="540" stopIfTrue="1">
      <formula>AM111=CléPersonnalisée1</formula>
    </cfRule>
    <cfRule type="expression" dxfId="9722" priority="541" stopIfTrue="1">
      <formula>AM111=CléMaladie</formula>
    </cfRule>
    <cfRule type="expression" dxfId="9721" priority="542" stopIfTrue="1">
      <formula>AM111=CléPersonnelle</formula>
    </cfRule>
    <cfRule type="expression" dxfId="9720" priority="543" stopIfTrue="1">
      <formula>AM111=CléCongés</formula>
    </cfRule>
  </conditionalFormatting>
  <conditionalFormatting sqref="AH109:AH110">
    <cfRule type="dataBar" priority="537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{C9710B9D-A439-4239-ABDB-8786D07EAC73}</x14:id>
        </ext>
      </extLst>
    </cfRule>
  </conditionalFormatting>
  <conditionalFormatting sqref="AI109:AI110">
    <cfRule type="expression" priority="531" stopIfTrue="1">
      <formula>AI109=""</formula>
    </cfRule>
    <cfRule type="expression" dxfId="9719" priority="532" stopIfTrue="1">
      <formula>AI109=CléPersonnalisée2</formula>
    </cfRule>
    <cfRule type="expression" dxfId="9718" priority="533" stopIfTrue="1">
      <formula>AI109=CléPersonnalisée1</formula>
    </cfRule>
    <cfRule type="expression" dxfId="9717" priority="534" stopIfTrue="1">
      <formula>AI109=CléMaladie</formula>
    </cfRule>
    <cfRule type="expression" dxfId="9716" priority="535" stopIfTrue="1">
      <formula>AI109=CléPersonnelle</formula>
    </cfRule>
    <cfRule type="expression" dxfId="9715" priority="536" stopIfTrue="1">
      <formula>AI109=CléCongés</formula>
    </cfRule>
  </conditionalFormatting>
  <conditionalFormatting sqref="AN111">
    <cfRule type="expression" priority="525" stopIfTrue="1">
      <formula>AN111=""</formula>
    </cfRule>
    <cfRule type="expression" dxfId="9714" priority="526" stopIfTrue="1">
      <formula>AN111=CléPersonnalisée2</formula>
    </cfRule>
    <cfRule type="expression" dxfId="9713" priority="527" stopIfTrue="1">
      <formula>AN111=CléPersonnalisée1</formula>
    </cfRule>
    <cfRule type="expression" dxfId="9712" priority="528" stopIfTrue="1">
      <formula>AN111=CléMaladie</formula>
    </cfRule>
    <cfRule type="expression" dxfId="9711" priority="529" stopIfTrue="1">
      <formula>AN111=CléPersonnelle</formula>
    </cfRule>
    <cfRule type="expression" dxfId="9710" priority="530" stopIfTrue="1">
      <formula>AN111=CléCongés</formula>
    </cfRule>
  </conditionalFormatting>
  <conditionalFormatting sqref="AR111">
    <cfRule type="expression" priority="519" stopIfTrue="1">
      <formula>AR111=""</formula>
    </cfRule>
    <cfRule type="expression" dxfId="9709" priority="520" stopIfTrue="1">
      <formula>AR111=CléPersonnalisée2</formula>
    </cfRule>
    <cfRule type="expression" dxfId="9708" priority="521" stopIfTrue="1">
      <formula>AR111=CléPersonnalisée1</formula>
    </cfRule>
    <cfRule type="expression" dxfId="9707" priority="522" stopIfTrue="1">
      <formula>AR111=CléMaladie</formula>
    </cfRule>
    <cfRule type="expression" dxfId="9706" priority="523" stopIfTrue="1">
      <formula>AR111=CléPersonnelle</formula>
    </cfRule>
    <cfRule type="expression" dxfId="9705" priority="524" stopIfTrue="1">
      <formula>AR111=CléCongés</formula>
    </cfRule>
  </conditionalFormatting>
  <conditionalFormatting sqref="C121:AG123">
    <cfRule type="expression" priority="506" stopIfTrue="1">
      <formula>C121=""</formula>
    </cfRule>
    <cfRule type="expression" dxfId="9704" priority="507" stopIfTrue="1">
      <formula>C121=CléPersonnalisée2</formula>
    </cfRule>
    <cfRule type="expression" dxfId="9703" priority="508" stopIfTrue="1">
      <formula>C121=CléPersonnalisée1</formula>
    </cfRule>
    <cfRule type="expression" dxfId="9702" priority="509" stopIfTrue="1">
      <formula>C121=CléMaladie</formula>
    </cfRule>
    <cfRule type="expression" dxfId="9701" priority="510" stopIfTrue="1">
      <formula>C121=CléPersonnelle</formula>
    </cfRule>
    <cfRule type="expression" dxfId="9700" priority="511" stopIfTrue="1">
      <formula>C121=CléCongés</formula>
    </cfRule>
  </conditionalFormatting>
  <conditionalFormatting sqref="AH123">
    <cfRule type="dataBar" priority="512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{5C78B468-C31C-4471-8961-58B11BF806B9}</x14:id>
        </ext>
      </extLst>
    </cfRule>
  </conditionalFormatting>
  <conditionalFormatting sqref="AI123:AL123 AJ121:AL122">
    <cfRule type="expression" priority="500" stopIfTrue="1">
      <formula>AI121=""</formula>
    </cfRule>
    <cfRule type="expression" dxfId="9699" priority="501" stopIfTrue="1">
      <formula>AI121=CléPersonnalisée2</formula>
    </cfRule>
    <cfRule type="expression" dxfId="9698" priority="502" stopIfTrue="1">
      <formula>AI121=CléPersonnalisée1</formula>
    </cfRule>
    <cfRule type="expression" dxfId="9697" priority="503" stopIfTrue="1">
      <formula>AI121=CléMaladie</formula>
    </cfRule>
    <cfRule type="expression" dxfId="9696" priority="504" stopIfTrue="1">
      <formula>AI121=CléPersonnelle</formula>
    </cfRule>
    <cfRule type="expression" dxfId="9695" priority="505" stopIfTrue="1">
      <formula>AI121=CléCongés</formula>
    </cfRule>
  </conditionalFormatting>
  <conditionalFormatting sqref="AM121:AP122">
    <cfRule type="expression" priority="494" stopIfTrue="1">
      <formula>AM121=""</formula>
    </cfRule>
    <cfRule type="expression" dxfId="9694" priority="495" stopIfTrue="1">
      <formula>AM121=CléPersonnalisée2</formula>
    </cfRule>
    <cfRule type="expression" dxfId="9693" priority="496" stopIfTrue="1">
      <formula>AM121=CléPersonnalisée1</formula>
    </cfRule>
    <cfRule type="expression" dxfId="9692" priority="497" stopIfTrue="1">
      <formula>AM121=CléMaladie</formula>
    </cfRule>
    <cfRule type="expression" dxfId="9691" priority="498" stopIfTrue="1">
      <formula>AM121=CléPersonnelle</formula>
    </cfRule>
    <cfRule type="expression" dxfId="9690" priority="499" stopIfTrue="1">
      <formula>AM121=CléCongés</formula>
    </cfRule>
  </conditionalFormatting>
  <conditionalFormatting sqref="AQ121:AR122">
    <cfRule type="expression" priority="488" stopIfTrue="1">
      <formula>AQ121=""</formula>
    </cfRule>
    <cfRule type="expression" dxfId="9689" priority="489" stopIfTrue="1">
      <formula>AQ121=CléPersonnalisée2</formula>
    </cfRule>
    <cfRule type="expression" dxfId="9688" priority="490" stopIfTrue="1">
      <formula>AQ121=CléPersonnalisée1</formula>
    </cfRule>
    <cfRule type="expression" dxfId="9687" priority="491" stopIfTrue="1">
      <formula>AQ121=CléMaladie</formula>
    </cfRule>
    <cfRule type="expression" dxfId="9686" priority="492" stopIfTrue="1">
      <formula>AQ121=CléPersonnelle</formula>
    </cfRule>
    <cfRule type="expression" dxfId="9685" priority="493" stopIfTrue="1">
      <formula>AQ121=CléCongés</formula>
    </cfRule>
  </conditionalFormatting>
  <conditionalFormatting sqref="AM123 AP123">
    <cfRule type="expression" priority="482" stopIfTrue="1">
      <formula>AM123=""</formula>
    </cfRule>
    <cfRule type="expression" dxfId="9684" priority="483" stopIfTrue="1">
      <formula>AM123=CléPersonnalisée2</formula>
    </cfRule>
    <cfRule type="expression" dxfId="9683" priority="484" stopIfTrue="1">
      <formula>AM123=CléPersonnalisée1</formula>
    </cfRule>
    <cfRule type="expression" dxfId="9682" priority="485" stopIfTrue="1">
      <formula>AM123=CléMaladie</formula>
    </cfRule>
    <cfRule type="expression" dxfId="9681" priority="486" stopIfTrue="1">
      <formula>AM123=CléPersonnelle</formula>
    </cfRule>
    <cfRule type="expression" dxfId="9680" priority="487" stopIfTrue="1">
      <formula>AM123=CléCongés</formula>
    </cfRule>
  </conditionalFormatting>
  <conditionalFormatting sqref="AH121:AH122">
    <cfRule type="dataBar" priority="481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{C7E11836-689A-4FEE-B782-824C07A252E2}</x14:id>
        </ext>
      </extLst>
    </cfRule>
  </conditionalFormatting>
  <conditionalFormatting sqref="AO123">
    <cfRule type="expression" priority="475" stopIfTrue="1">
      <formula>AO123=""</formula>
    </cfRule>
    <cfRule type="expression" dxfId="9679" priority="476" stopIfTrue="1">
      <formula>AO123=CléPersonnalisée2</formula>
    </cfRule>
    <cfRule type="expression" dxfId="9678" priority="477" stopIfTrue="1">
      <formula>AO123=CléPersonnalisée1</formula>
    </cfRule>
    <cfRule type="expression" dxfId="9677" priority="478" stopIfTrue="1">
      <formula>AO123=CléMaladie</formula>
    </cfRule>
    <cfRule type="expression" dxfId="9676" priority="479" stopIfTrue="1">
      <formula>AO123=CléPersonnelle</formula>
    </cfRule>
    <cfRule type="expression" dxfId="9675" priority="480" stopIfTrue="1">
      <formula>AO123=CléCongés</formula>
    </cfRule>
  </conditionalFormatting>
  <conditionalFormatting sqref="AI121:AI122">
    <cfRule type="expression" priority="469" stopIfTrue="1">
      <formula>AI121=""</formula>
    </cfRule>
    <cfRule type="expression" dxfId="9674" priority="470" stopIfTrue="1">
      <formula>AI121=CléPersonnalisée2</formula>
    </cfRule>
    <cfRule type="expression" dxfId="9673" priority="471" stopIfTrue="1">
      <formula>AI121=CléPersonnalisée1</formula>
    </cfRule>
    <cfRule type="expression" dxfId="9672" priority="472" stopIfTrue="1">
      <formula>AI121=CléMaladie</formula>
    </cfRule>
    <cfRule type="expression" dxfId="9671" priority="473" stopIfTrue="1">
      <formula>AI121=CléPersonnelle</formula>
    </cfRule>
    <cfRule type="expression" dxfId="9670" priority="474" stopIfTrue="1">
      <formula>AI121=CléCongés</formula>
    </cfRule>
  </conditionalFormatting>
  <conditionalFormatting sqref="AN123">
    <cfRule type="expression" priority="463" stopIfTrue="1">
      <formula>AN123=""</formula>
    </cfRule>
    <cfRule type="expression" dxfId="9669" priority="464" stopIfTrue="1">
      <formula>AN123=CléPersonnalisée2</formula>
    </cfRule>
    <cfRule type="expression" dxfId="9668" priority="465" stopIfTrue="1">
      <formula>AN123=CléPersonnalisée1</formula>
    </cfRule>
    <cfRule type="expression" dxfId="9667" priority="466" stopIfTrue="1">
      <formula>AN123=CléMaladie</formula>
    </cfRule>
    <cfRule type="expression" dxfId="9666" priority="467" stopIfTrue="1">
      <formula>AN123=CléPersonnelle</formula>
    </cfRule>
    <cfRule type="expression" dxfId="9665" priority="468" stopIfTrue="1">
      <formula>AN123=CléCongés</formula>
    </cfRule>
  </conditionalFormatting>
  <conditionalFormatting sqref="AR123">
    <cfRule type="expression" priority="457" stopIfTrue="1">
      <formula>AR123=""</formula>
    </cfRule>
    <cfRule type="expression" dxfId="9664" priority="458" stopIfTrue="1">
      <formula>AR123=CléPersonnalisée2</formula>
    </cfRule>
    <cfRule type="expression" dxfId="9663" priority="459" stopIfTrue="1">
      <formula>AR123=CléPersonnalisée1</formula>
    </cfRule>
    <cfRule type="expression" dxfId="9662" priority="460" stopIfTrue="1">
      <formula>AR123=CléMaladie</formula>
    </cfRule>
    <cfRule type="expression" dxfId="9661" priority="461" stopIfTrue="1">
      <formula>AR123=CléPersonnelle</formula>
    </cfRule>
    <cfRule type="expression" dxfId="9660" priority="462" stopIfTrue="1">
      <formula>AR123=CléCongés</formula>
    </cfRule>
  </conditionalFormatting>
  <conditionalFormatting sqref="AQ115">
    <cfRule type="expression" priority="389" stopIfTrue="1">
      <formula>AQ115=""</formula>
    </cfRule>
    <cfRule type="expression" dxfId="9659" priority="390" stopIfTrue="1">
      <formula>AQ115=CléPersonnalisée2</formula>
    </cfRule>
    <cfRule type="expression" dxfId="9658" priority="391" stopIfTrue="1">
      <formula>AQ115=CléPersonnalisée1</formula>
    </cfRule>
    <cfRule type="expression" dxfId="9657" priority="392" stopIfTrue="1">
      <formula>AQ115=CléMaladie</formula>
    </cfRule>
    <cfRule type="expression" dxfId="9656" priority="393" stopIfTrue="1">
      <formula>AQ115=CléPersonnelle</formula>
    </cfRule>
    <cfRule type="expression" dxfId="9655" priority="394" stopIfTrue="1">
      <formula>AQ115=CléCongés</formula>
    </cfRule>
  </conditionalFormatting>
  <conditionalFormatting sqref="C113:AG115">
    <cfRule type="expression" priority="444" stopIfTrue="1">
      <formula>C113=""</formula>
    </cfRule>
    <cfRule type="expression" dxfId="9654" priority="445" stopIfTrue="1">
      <formula>C113=CléPersonnalisée2</formula>
    </cfRule>
    <cfRule type="expression" dxfId="9653" priority="446" stopIfTrue="1">
      <formula>C113=CléPersonnalisée1</formula>
    </cfRule>
    <cfRule type="expression" dxfId="9652" priority="447" stopIfTrue="1">
      <formula>C113=CléMaladie</formula>
    </cfRule>
    <cfRule type="expression" dxfId="9651" priority="448" stopIfTrue="1">
      <formula>C113=CléPersonnelle</formula>
    </cfRule>
    <cfRule type="expression" dxfId="9650" priority="449" stopIfTrue="1">
      <formula>C113=CléCongés</formula>
    </cfRule>
  </conditionalFormatting>
  <conditionalFormatting sqref="AH115">
    <cfRule type="dataBar" priority="450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{8CB69F23-6351-4D67-95F2-9648C7BB2A10}</x14:id>
        </ext>
      </extLst>
    </cfRule>
  </conditionalFormatting>
  <conditionalFormatting sqref="AI115:AL115 AJ113:AL114">
    <cfRule type="expression" priority="438" stopIfTrue="1">
      <formula>AI113=""</formula>
    </cfRule>
    <cfRule type="expression" dxfId="9649" priority="439" stopIfTrue="1">
      <formula>AI113=CléPersonnalisée2</formula>
    </cfRule>
    <cfRule type="expression" dxfId="9648" priority="440" stopIfTrue="1">
      <formula>AI113=CléPersonnalisée1</formula>
    </cfRule>
    <cfRule type="expression" dxfId="9647" priority="441" stopIfTrue="1">
      <formula>AI113=CléMaladie</formula>
    </cfRule>
    <cfRule type="expression" dxfId="9646" priority="442" stopIfTrue="1">
      <formula>AI113=CléPersonnelle</formula>
    </cfRule>
    <cfRule type="expression" dxfId="9645" priority="443" stopIfTrue="1">
      <formula>AI113=CléCongés</formula>
    </cfRule>
  </conditionalFormatting>
  <conditionalFormatting sqref="AM113:AP114">
    <cfRule type="expression" priority="432" stopIfTrue="1">
      <formula>AM113=""</formula>
    </cfRule>
    <cfRule type="expression" dxfId="9644" priority="433" stopIfTrue="1">
      <formula>AM113=CléPersonnalisée2</formula>
    </cfRule>
    <cfRule type="expression" dxfId="9643" priority="434" stopIfTrue="1">
      <formula>AM113=CléPersonnalisée1</formula>
    </cfRule>
    <cfRule type="expression" dxfId="9642" priority="435" stopIfTrue="1">
      <formula>AM113=CléMaladie</formula>
    </cfRule>
    <cfRule type="expression" dxfId="9641" priority="436" stopIfTrue="1">
      <formula>AM113=CléPersonnelle</formula>
    </cfRule>
    <cfRule type="expression" dxfId="9640" priority="437" stopIfTrue="1">
      <formula>AM113=CléCongés</formula>
    </cfRule>
  </conditionalFormatting>
  <conditionalFormatting sqref="AQ113:AR114">
    <cfRule type="expression" priority="426" stopIfTrue="1">
      <formula>AQ113=""</formula>
    </cfRule>
    <cfRule type="expression" dxfId="9639" priority="427" stopIfTrue="1">
      <formula>AQ113=CléPersonnalisée2</formula>
    </cfRule>
    <cfRule type="expression" dxfId="9638" priority="428" stopIfTrue="1">
      <formula>AQ113=CléPersonnalisée1</formula>
    </cfRule>
    <cfRule type="expression" dxfId="9637" priority="429" stopIfTrue="1">
      <formula>AQ113=CléMaladie</formula>
    </cfRule>
    <cfRule type="expression" dxfId="9636" priority="430" stopIfTrue="1">
      <formula>AQ113=CléPersonnelle</formula>
    </cfRule>
    <cfRule type="expression" dxfId="9635" priority="431" stopIfTrue="1">
      <formula>AQ113=CléCongés</formula>
    </cfRule>
  </conditionalFormatting>
  <conditionalFormatting sqref="AM115 AP115">
    <cfRule type="expression" priority="420" stopIfTrue="1">
      <formula>AM115=""</formula>
    </cfRule>
    <cfRule type="expression" dxfId="9634" priority="421" stopIfTrue="1">
      <formula>AM115=CléPersonnalisée2</formula>
    </cfRule>
    <cfRule type="expression" dxfId="9633" priority="422" stopIfTrue="1">
      <formula>AM115=CléPersonnalisée1</formula>
    </cfRule>
    <cfRule type="expression" dxfId="9632" priority="423" stopIfTrue="1">
      <formula>AM115=CléMaladie</formula>
    </cfRule>
    <cfRule type="expression" dxfId="9631" priority="424" stopIfTrue="1">
      <formula>AM115=CléPersonnelle</formula>
    </cfRule>
    <cfRule type="expression" dxfId="9630" priority="425" stopIfTrue="1">
      <formula>AM115=CléCongés</formula>
    </cfRule>
  </conditionalFormatting>
  <conditionalFormatting sqref="AH113:AH114">
    <cfRule type="dataBar" priority="419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{84FB380F-5747-4F8A-ABD0-198D11A8394E}</x14:id>
        </ext>
      </extLst>
    </cfRule>
  </conditionalFormatting>
  <conditionalFormatting sqref="AO115">
    <cfRule type="expression" priority="413" stopIfTrue="1">
      <formula>AO115=""</formula>
    </cfRule>
    <cfRule type="expression" dxfId="9629" priority="414" stopIfTrue="1">
      <formula>AO115=CléPersonnalisée2</formula>
    </cfRule>
    <cfRule type="expression" dxfId="9628" priority="415" stopIfTrue="1">
      <formula>AO115=CléPersonnalisée1</formula>
    </cfRule>
    <cfRule type="expression" dxfId="9627" priority="416" stopIfTrue="1">
      <formula>AO115=CléMaladie</formula>
    </cfRule>
    <cfRule type="expression" dxfId="9626" priority="417" stopIfTrue="1">
      <formula>AO115=CléPersonnelle</formula>
    </cfRule>
    <cfRule type="expression" dxfId="9625" priority="418" stopIfTrue="1">
      <formula>AO115=CléCongés</formula>
    </cfRule>
  </conditionalFormatting>
  <conditionalFormatting sqref="AI113:AI114">
    <cfRule type="expression" priority="407" stopIfTrue="1">
      <formula>AI113=""</formula>
    </cfRule>
    <cfRule type="expression" dxfId="9624" priority="408" stopIfTrue="1">
      <formula>AI113=CléPersonnalisée2</formula>
    </cfRule>
    <cfRule type="expression" dxfId="9623" priority="409" stopIfTrue="1">
      <formula>AI113=CléPersonnalisée1</formula>
    </cfRule>
    <cfRule type="expression" dxfId="9622" priority="410" stopIfTrue="1">
      <formula>AI113=CléMaladie</formula>
    </cfRule>
    <cfRule type="expression" dxfId="9621" priority="411" stopIfTrue="1">
      <formula>AI113=CléPersonnelle</formula>
    </cfRule>
    <cfRule type="expression" dxfId="9620" priority="412" stopIfTrue="1">
      <formula>AI113=CléCongés</formula>
    </cfRule>
  </conditionalFormatting>
  <conditionalFormatting sqref="AN115">
    <cfRule type="expression" priority="401" stopIfTrue="1">
      <formula>AN115=""</formula>
    </cfRule>
    <cfRule type="expression" dxfId="9619" priority="402" stopIfTrue="1">
      <formula>AN115=CléPersonnalisée2</formula>
    </cfRule>
    <cfRule type="expression" dxfId="9618" priority="403" stopIfTrue="1">
      <formula>AN115=CléPersonnalisée1</formula>
    </cfRule>
    <cfRule type="expression" dxfId="9617" priority="404" stopIfTrue="1">
      <formula>AN115=CléMaladie</formula>
    </cfRule>
    <cfRule type="expression" dxfId="9616" priority="405" stopIfTrue="1">
      <formula>AN115=CléPersonnelle</formula>
    </cfRule>
    <cfRule type="expression" dxfId="9615" priority="406" stopIfTrue="1">
      <formula>AN115=CléCongés</formula>
    </cfRule>
  </conditionalFormatting>
  <conditionalFormatting sqref="AR115">
    <cfRule type="expression" priority="395" stopIfTrue="1">
      <formula>AR115=""</formula>
    </cfRule>
    <cfRule type="expression" dxfId="9614" priority="396" stopIfTrue="1">
      <formula>AR115=CléPersonnalisée2</formula>
    </cfRule>
    <cfRule type="expression" dxfId="9613" priority="397" stopIfTrue="1">
      <formula>AR115=CléPersonnalisée1</formula>
    </cfRule>
    <cfRule type="expression" dxfId="9612" priority="398" stopIfTrue="1">
      <formula>AR115=CléMaladie</formula>
    </cfRule>
    <cfRule type="expression" dxfId="9611" priority="399" stopIfTrue="1">
      <formula>AR115=CléPersonnelle</formula>
    </cfRule>
    <cfRule type="expression" dxfId="9610" priority="400" stopIfTrue="1">
      <formula>AR115=CléCongés</formula>
    </cfRule>
  </conditionalFormatting>
  <conditionalFormatting sqref="AQ15">
    <cfRule type="expression" priority="327" stopIfTrue="1">
      <formula>AQ15=""</formula>
    </cfRule>
    <cfRule type="expression" dxfId="9609" priority="328" stopIfTrue="1">
      <formula>AQ15=CléPersonnalisée2</formula>
    </cfRule>
    <cfRule type="expression" dxfId="9608" priority="329" stopIfTrue="1">
      <formula>AQ15=CléPersonnalisée1</formula>
    </cfRule>
    <cfRule type="expression" dxfId="9607" priority="330" stopIfTrue="1">
      <formula>AQ15=CléMaladie</formula>
    </cfRule>
    <cfRule type="expression" dxfId="9606" priority="331" stopIfTrue="1">
      <formula>AQ15=CléPersonnelle</formula>
    </cfRule>
    <cfRule type="expression" dxfId="9605" priority="332" stopIfTrue="1">
      <formula>AQ15=CléCongés</formula>
    </cfRule>
  </conditionalFormatting>
  <conditionalFormatting sqref="C13:AG15">
    <cfRule type="expression" priority="382" stopIfTrue="1">
      <formula>C13=""</formula>
    </cfRule>
    <cfRule type="expression" dxfId="9604" priority="383" stopIfTrue="1">
      <formula>C13=CléPersonnalisée2</formula>
    </cfRule>
    <cfRule type="expression" dxfId="9603" priority="384" stopIfTrue="1">
      <formula>C13=CléPersonnalisée1</formula>
    </cfRule>
    <cfRule type="expression" dxfId="9602" priority="385" stopIfTrue="1">
      <formula>C13=CléMaladie</formula>
    </cfRule>
    <cfRule type="expression" dxfId="9601" priority="386" stopIfTrue="1">
      <formula>C13=CléPersonnelle</formula>
    </cfRule>
    <cfRule type="expression" dxfId="9600" priority="387" stopIfTrue="1">
      <formula>C13=CléCongés</formula>
    </cfRule>
  </conditionalFormatting>
  <conditionalFormatting sqref="AH15">
    <cfRule type="dataBar" priority="388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{6309D934-8328-4140-94D8-81DB57A5C78B}</x14:id>
        </ext>
      </extLst>
    </cfRule>
  </conditionalFormatting>
  <conditionalFormatting sqref="AI15:AL15 AJ13:AL14">
    <cfRule type="expression" priority="376" stopIfTrue="1">
      <formula>AI13=""</formula>
    </cfRule>
    <cfRule type="expression" dxfId="9599" priority="377" stopIfTrue="1">
      <formula>AI13=CléPersonnalisée2</formula>
    </cfRule>
    <cfRule type="expression" dxfId="9598" priority="378" stopIfTrue="1">
      <formula>AI13=CléPersonnalisée1</formula>
    </cfRule>
    <cfRule type="expression" dxfId="9597" priority="379" stopIfTrue="1">
      <formula>AI13=CléMaladie</formula>
    </cfRule>
    <cfRule type="expression" dxfId="9596" priority="380" stopIfTrue="1">
      <formula>AI13=CléPersonnelle</formula>
    </cfRule>
    <cfRule type="expression" dxfId="9595" priority="381" stopIfTrue="1">
      <formula>AI13=CléCongés</formula>
    </cfRule>
  </conditionalFormatting>
  <conditionalFormatting sqref="AM13:AP14">
    <cfRule type="expression" priority="370" stopIfTrue="1">
      <formula>AM13=""</formula>
    </cfRule>
    <cfRule type="expression" dxfId="9594" priority="371" stopIfTrue="1">
      <formula>AM13=CléPersonnalisée2</formula>
    </cfRule>
    <cfRule type="expression" dxfId="9593" priority="372" stopIfTrue="1">
      <formula>AM13=CléPersonnalisée1</formula>
    </cfRule>
    <cfRule type="expression" dxfId="9592" priority="373" stopIfTrue="1">
      <formula>AM13=CléMaladie</formula>
    </cfRule>
    <cfRule type="expression" dxfId="9591" priority="374" stopIfTrue="1">
      <formula>AM13=CléPersonnelle</formula>
    </cfRule>
    <cfRule type="expression" dxfId="9590" priority="375" stopIfTrue="1">
      <formula>AM13=CléCongés</formula>
    </cfRule>
  </conditionalFormatting>
  <conditionalFormatting sqref="AQ13:AR14">
    <cfRule type="expression" priority="364" stopIfTrue="1">
      <formula>AQ13=""</formula>
    </cfRule>
    <cfRule type="expression" dxfId="9589" priority="365" stopIfTrue="1">
      <formula>AQ13=CléPersonnalisée2</formula>
    </cfRule>
    <cfRule type="expression" dxfId="9588" priority="366" stopIfTrue="1">
      <formula>AQ13=CléPersonnalisée1</formula>
    </cfRule>
    <cfRule type="expression" dxfId="9587" priority="367" stopIfTrue="1">
      <formula>AQ13=CléMaladie</formula>
    </cfRule>
    <cfRule type="expression" dxfId="9586" priority="368" stopIfTrue="1">
      <formula>AQ13=CléPersonnelle</formula>
    </cfRule>
    <cfRule type="expression" dxfId="9585" priority="369" stopIfTrue="1">
      <formula>AQ13=CléCongés</formula>
    </cfRule>
  </conditionalFormatting>
  <conditionalFormatting sqref="AM15 AP15">
    <cfRule type="expression" priority="358" stopIfTrue="1">
      <formula>AM15=""</formula>
    </cfRule>
    <cfRule type="expression" dxfId="9584" priority="359" stopIfTrue="1">
      <formula>AM15=CléPersonnalisée2</formula>
    </cfRule>
    <cfRule type="expression" dxfId="9583" priority="360" stopIfTrue="1">
      <formula>AM15=CléPersonnalisée1</formula>
    </cfRule>
    <cfRule type="expression" dxfId="9582" priority="361" stopIfTrue="1">
      <formula>AM15=CléMaladie</formula>
    </cfRule>
    <cfRule type="expression" dxfId="9581" priority="362" stopIfTrue="1">
      <formula>AM15=CléPersonnelle</formula>
    </cfRule>
    <cfRule type="expression" dxfId="9580" priority="363" stopIfTrue="1">
      <formula>AM15=CléCongés</formula>
    </cfRule>
  </conditionalFormatting>
  <conditionalFormatting sqref="AH13:AH14">
    <cfRule type="dataBar" priority="357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{8D492049-B258-4F8D-8180-ED37D8E19548}</x14:id>
        </ext>
      </extLst>
    </cfRule>
  </conditionalFormatting>
  <conditionalFormatting sqref="AO15">
    <cfRule type="expression" priority="351" stopIfTrue="1">
      <formula>AO15=""</formula>
    </cfRule>
    <cfRule type="expression" dxfId="9579" priority="352" stopIfTrue="1">
      <formula>AO15=CléPersonnalisée2</formula>
    </cfRule>
    <cfRule type="expression" dxfId="9578" priority="353" stopIfTrue="1">
      <formula>AO15=CléPersonnalisée1</formula>
    </cfRule>
    <cfRule type="expression" dxfId="9577" priority="354" stopIfTrue="1">
      <formula>AO15=CléMaladie</formula>
    </cfRule>
    <cfRule type="expression" dxfId="9576" priority="355" stopIfTrue="1">
      <formula>AO15=CléPersonnelle</formula>
    </cfRule>
    <cfRule type="expression" dxfId="9575" priority="356" stopIfTrue="1">
      <formula>AO15=CléCongés</formula>
    </cfRule>
  </conditionalFormatting>
  <conditionalFormatting sqref="AI13:AI14">
    <cfRule type="expression" priority="345" stopIfTrue="1">
      <formula>AI13=""</formula>
    </cfRule>
    <cfRule type="expression" dxfId="9574" priority="346" stopIfTrue="1">
      <formula>AI13=CléPersonnalisée2</formula>
    </cfRule>
    <cfRule type="expression" dxfId="9573" priority="347" stopIfTrue="1">
      <formula>AI13=CléPersonnalisée1</formula>
    </cfRule>
    <cfRule type="expression" dxfId="9572" priority="348" stopIfTrue="1">
      <formula>AI13=CléMaladie</formula>
    </cfRule>
    <cfRule type="expression" dxfId="9571" priority="349" stopIfTrue="1">
      <formula>AI13=CléPersonnelle</formula>
    </cfRule>
    <cfRule type="expression" dxfId="9570" priority="350" stopIfTrue="1">
      <formula>AI13=CléCongés</formula>
    </cfRule>
  </conditionalFormatting>
  <conditionalFormatting sqref="AN15">
    <cfRule type="expression" priority="339" stopIfTrue="1">
      <formula>AN15=""</formula>
    </cfRule>
    <cfRule type="expression" dxfId="9569" priority="340" stopIfTrue="1">
      <formula>AN15=CléPersonnalisée2</formula>
    </cfRule>
    <cfRule type="expression" dxfId="9568" priority="341" stopIfTrue="1">
      <formula>AN15=CléPersonnalisée1</formula>
    </cfRule>
    <cfRule type="expression" dxfId="9567" priority="342" stopIfTrue="1">
      <formula>AN15=CléMaladie</formula>
    </cfRule>
    <cfRule type="expression" dxfId="9566" priority="343" stopIfTrue="1">
      <formula>AN15=CléPersonnelle</formula>
    </cfRule>
    <cfRule type="expression" dxfId="9565" priority="344" stopIfTrue="1">
      <formula>AN15=CléCongés</formula>
    </cfRule>
  </conditionalFormatting>
  <conditionalFormatting sqref="AR15">
    <cfRule type="expression" priority="333" stopIfTrue="1">
      <formula>AR15=""</formula>
    </cfRule>
    <cfRule type="expression" dxfId="9564" priority="334" stopIfTrue="1">
      <formula>AR15=CléPersonnalisée2</formula>
    </cfRule>
    <cfRule type="expression" dxfId="9563" priority="335" stopIfTrue="1">
      <formula>AR15=CléPersonnalisée1</formula>
    </cfRule>
    <cfRule type="expression" dxfId="9562" priority="336" stopIfTrue="1">
      <formula>AR15=CléMaladie</formula>
    </cfRule>
    <cfRule type="expression" dxfId="9561" priority="337" stopIfTrue="1">
      <formula>AR15=CléPersonnelle</formula>
    </cfRule>
    <cfRule type="expression" dxfId="9560" priority="338" stopIfTrue="1">
      <formula>AR15=CléCongés</formula>
    </cfRule>
  </conditionalFormatting>
  <conditionalFormatting sqref="AO111">
    <cfRule type="expression" priority="321" stopIfTrue="1">
      <formula>AO111=""</formula>
    </cfRule>
    <cfRule type="expression" dxfId="9559" priority="322" stopIfTrue="1">
      <formula>AO111=CléPersonnalisée2</formula>
    </cfRule>
    <cfRule type="expression" dxfId="9558" priority="323" stopIfTrue="1">
      <formula>AO111=CléPersonnalisée1</formula>
    </cfRule>
    <cfRule type="expression" dxfId="9557" priority="324" stopIfTrue="1">
      <formula>AO111=CléMaladie</formula>
    </cfRule>
    <cfRule type="expression" dxfId="9556" priority="325" stopIfTrue="1">
      <formula>AO111=CléPersonnelle</formula>
    </cfRule>
    <cfRule type="expression" dxfId="9555" priority="326" stopIfTrue="1">
      <formula>AO111=CléCongés</formula>
    </cfRule>
  </conditionalFormatting>
  <conditionalFormatting sqref="AQ100:AR100">
    <cfRule type="expression" priority="315" stopIfTrue="1">
      <formula>AQ100=""</formula>
    </cfRule>
    <cfRule type="expression" dxfId="9554" priority="316" stopIfTrue="1">
      <formula>AQ100=CléPersonnalisée2</formula>
    </cfRule>
    <cfRule type="expression" dxfId="9553" priority="317" stopIfTrue="1">
      <formula>AQ100=CléPersonnalisée1</formula>
    </cfRule>
    <cfRule type="expression" dxfId="9552" priority="318" stopIfTrue="1">
      <formula>AQ100=CléMaladie</formula>
    </cfRule>
    <cfRule type="expression" dxfId="9551" priority="319" stopIfTrue="1">
      <formula>AQ100=CléPersonnelle</formula>
    </cfRule>
    <cfRule type="expression" dxfId="9550" priority="320" stopIfTrue="1">
      <formula>AQ100=CléCongés</formula>
    </cfRule>
  </conditionalFormatting>
  <conditionalFormatting sqref="AQ96:AR96">
    <cfRule type="expression" priority="309" stopIfTrue="1">
      <formula>AQ96=""</formula>
    </cfRule>
    <cfRule type="expression" dxfId="9549" priority="310" stopIfTrue="1">
      <formula>AQ96=CléPersonnalisée2</formula>
    </cfRule>
    <cfRule type="expression" dxfId="9548" priority="311" stopIfTrue="1">
      <formula>AQ96=CléPersonnalisée1</formula>
    </cfRule>
    <cfRule type="expression" dxfId="9547" priority="312" stopIfTrue="1">
      <formula>AQ96=CléMaladie</formula>
    </cfRule>
    <cfRule type="expression" dxfId="9546" priority="313" stopIfTrue="1">
      <formula>AQ96=CléPersonnelle</formula>
    </cfRule>
    <cfRule type="expression" dxfId="9545" priority="314" stopIfTrue="1">
      <formula>AQ96=CléCongés</formula>
    </cfRule>
  </conditionalFormatting>
  <conditionalFormatting sqref="AQ120:AR120">
    <cfRule type="expression" priority="303" stopIfTrue="1">
      <formula>AQ120=""</formula>
    </cfRule>
    <cfRule type="expression" dxfId="9544" priority="304" stopIfTrue="1">
      <formula>AQ120=CléPersonnalisée2</formula>
    </cfRule>
    <cfRule type="expression" dxfId="9543" priority="305" stopIfTrue="1">
      <formula>AQ120=CléPersonnalisée1</formula>
    </cfRule>
    <cfRule type="expression" dxfId="9542" priority="306" stopIfTrue="1">
      <formula>AQ120=CléMaladie</formula>
    </cfRule>
    <cfRule type="expression" dxfId="9541" priority="307" stopIfTrue="1">
      <formula>AQ120=CléPersonnelle</formula>
    </cfRule>
    <cfRule type="expression" dxfId="9540" priority="308" stopIfTrue="1">
      <formula>AQ120=CléCongés</formula>
    </cfRule>
  </conditionalFormatting>
  <conditionalFormatting sqref="AQ119">
    <cfRule type="expression" priority="241" stopIfTrue="1">
      <formula>AQ119=""</formula>
    </cfRule>
    <cfRule type="expression" dxfId="9539" priority="242" stopIfTrue="1">
      <formula>AQ119=CléPersonnalisée2</formula>
    </cfRule>
    <cfRule type="expression" dxfId="9538" priority="243" stopIfTrue="1">
      <formula>AQ119=CléPersonnalisée1</formula>
    </cfRule>
    <cfRule type="expression" dxfId="9537" priority="244" stopIfTrue="1">
      <formula>AQ119=CléMaladie</formula>
    </cfRule>
    <cfRule type="expression" dxfId="9536" priority="245" stopIfTrue="1">
      <formula>AQ119=CléPersonnelle</formula>
    </cfRule>
    <cfRule type="expression" dxfId="9535" priority="246" stopIfTrue="1">
      <formula>AQ119=CléCongés</formula>
    </cfRule>
  </conditionalFormatting>
  <conditionalFormatting sqref="C117:AG119">
    <cfRule type="expression" priority="296" stopIfTrue="1">
      <formula>C117=""</formula>
    </cfRule>
    <cfRule type="expression" dxfId="9534" priority="297" stopIfTrue="1">
      <formula>C117=CléPersonnalisée2</formula>
    </cfRule>
    <cfRule type="expression" dxfId="9533" priority="298" stopIfTrue="1">
      <formula>C117=CléPersonnalisée1</formula>
    </cfRule>
    <cfRule type="expression" dxfId="9532" priority="299" stopIfTrue="1">
      <formula>C117=CléMaladie</formula>
    </cfRule>
    <cfRule type="expression" dxfId="9531" priority="300" stopIfTrue="1">
      <formula>C117=CléPersonnelle</formula>
    </cfRule>
    <cfRule type="expression" dxfId="9530" priority="301" stopIfTrue="1">
      <formula>C117=CléCongés</formula>
    </cfRule>
  </conditionalFormatting>
  <conditionalFormatting sqref="AH119">
    <cfRule type="dataBar" priority="302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{683A89DE-511A-41BC-933F-F6C5F99D61B2}</x14:id>
        </ext>
      </extLst>
    </cfRule>
  </conditionalFormatting>
  <conditionalFormatting sqref="AI119:AL119 AJ117:AL118">
    <cfRule type="expression" priority="290" stopIfTrue="1">
      <formula>AI117=""</formula>
    </cfRule>
    <cfRule type="expression" dxfId="9529" priority="291" stopIfTrue="1">
      <formula>AI117=CléPersonnalisée2</formula>
    </cfRule>
    <cfRule type="expression" dxfId="9528" priority="292" stopIfTrue="1">
      <formula>AI117=CléPersonnalisée1</formula>
    </cfRule>
    <cfRule type="expression" dxfId="9527" priority="293" stopIfTrue="1">
      <formula>AI117=CléMaladie</formula>
    </cfRule>
    <cfRule type="expression" dxfId="9526" priority="294" stopIfTrue="1">
      <formula>AI117=CléPersonnelle</formula>
    </cfRule>
    <cfRule type="expression" dxfId="9525" priority="295" stopIfTrue="1">
      <formula>AI117=CléCongés</formula>
    </cfRule>
  </conditionalFormatting>
  <conditionalFormatting sqref="AM117:AP118">
    <cfRule type="expression" priority="284" stopIfTrue="1">
      <formula>AM117=""</formula>
    </cfRule>
    <cfRule type="expression" dxfId="9524" priority="285" stopIfTrue="1">
      <formula>AM117=CléPersonnalisée2</formula>
    </cfRule>
    <cfRule type="expression" dxfId="9523" priority="286" stopIfTrue="1">
      <formula>AM117=CléPersonnalisée1</formula>
    </cfRule>
    <cfRule type="expression" dxfId="9522" priority="287" stopIfTrue="1">
      <formula>AM117=CléMaladie</formula>
    </cfRule>
    <cfRule type="expression" dxfId="9521" priority="288" stopIfTrue="1">
      <formula>AM117=CléPersonnelle</formula>
    </cfRule>
    <cfRule type="expression" dxfId="9520" priority="289" stopIfTrue="1">
      <formula>AM117=CléCongés</formula>
    </cfRule>
  </conditionalFormatting>
  <conditionalFormatting sqref="AQ117:AR118">
    <cfRule type="expression" priority="278" stopIfTrue="1">
      <formula>AQ117=""</formula>
    </cfRule>
    <cfRule type="expression" dxfId="9519" priority="279" stopIfTrue="1">
      <formula>AQ117=CléPersonnalisée2</formula>
    </cfRule>
    <cfRule type="expression" dxfId="9518" priority="280" stopIfTrue="1">
      <formula>AQ117=CléPersonnalisée1</formula>
    </cfRule>
    <cfRule type="expression" dxfId="9517" priority="281" stopIfTrue="1">
      <formula>AQ117=CléMaladie</formula>
    </cfRule>
    <cfRule type="expression" dxfId="9516" priority="282" stopIfTrue="1">
      <formula>AQ117=CléPersonnelle</formula>
    </cfRule>
    <cfRule type="expression" dxfId="9515" priority="283" stopIfTrue="1">
      <formula>AQ117=CléCongés</formula>
    </cfRule>
  </conditionalFormatting>
  <conditionalFormatting sqref="AM119 AP119">
    <cfRule type="expression" priority="272" stopIfTrue="1">
      <formula>AM119=""</formula>
    </cfRule>
    <cfRule type="expression" dxfId="9514" priority="273" stopIfTrue="1">
      <formula>AM119=CléPersonnalisée2</formula>
    </cfRule>
    <cfRule type="expression" dxfId="9513" priority="274" stopIfTrue="1">
      <formula>AM119=CléPersonnalisée1</formula>
    </cfRule>
    <cfRule type="expression" dxfId="9512" priority="275" stopIfTrue="1">
      <formula>AM119=CléMaladie</formula>
    </cfRule>
    <cfRule type="expression" dxfId="9511" priority="276" stopIfTrue="1">
      <formula>AM119=CléPersonnelle</formula>
    </cfRule>
    <cfRule type="expression" dxfId="9510" priority="277" stopIfTrue="1">
      <formula>AM119=CléCongés</formula>
    </cfRule>
  </conditionalFormatting>
  <conditionalFormatting sqref="AH117:AH118">
    <cfRule type="dataBar" priority="271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{2DF68572-555D-4343-8584-E660213C518C}</x14:id>
        </ext>
      </extLst>
    </cfRule>
  </conditionalFormatting>
  <conditionalFormatting sqref="AO119">
    <cfRule type="expression" priority="265" stopIfTrue="1">
      <formula>AO119=""</formula>
    </cfRule>
    <cfRule type="expression" dxfId="9509" priority="266" stopIfTrue="1">
      <formula>AO119=CléPersonnalisée2</formula>
    </cfRule>
    <cfRule type="expression" dxfId="9508" priority="267" stopIfTrue="1">
      <formula>AO119=CléPersonnalisée1</formula>
    </cfRule>
    <cfRule type="expression" dxfId="9507" priority="268" stopIfTrue="1">
      <formula>AO119=CléMaladie</formula>
    </cfRule>
    <cfRule type="expression" dxfId="9506" priority="269" stopIfTrue="1">
      <formula>AO119=CléPersonnelle</formula>
    </cfRule>
    <cfRule type="expression" dxfId="9505" priority="270" stopIfTrue="1">
      <formula>AO119=CléCongés</formula>
    </cfRule>
  </conditionalFormatting>
  <conditionalFormatting sqref="AI117:AI118">
    <cfRule type="expression" priority="259" stopIfTrue="1">
      <formula>AI117=""</formula>
    </cfRule>
    <cfRule type="expression" dxfId="9504" priority="260" stopIfTrue="1">
      <formula>AI117=CléPersonnalisée2</formula>
    </cfRule>
    <cfRule type="expression" dxfId="9503" priority="261" stopIfTrue="1">
      <formula>AI117=CléPersonnalisée1</formula>
    </cfRule>
    <cfRule type="expression" dxfId="9502" priority="262" stopIfTrue="1">
      <formula>AI117=CléMaladie</formula>
    </cfRule>
    <cfRule type="expression" dxfId="9501" priority="263" stopIfTrue="1">
      <formula>AI117=CléPersonnelle</formula>
    </cfRule>
    <cfRule type="expression" dxfId="9500" priority="264" stopIfTrue="1">
      <formula>AI117=CléCongés</formula>
    </cfRule>
  </conditionalFormatting>
  <conditionalFormatting sqref="AN119">
    <cfRule type="expression" priority="253" stopIfTrue="1">
      <formula>AN119=""</formula>
    </cfRule>
    <cfRule type="expression" dxfId="9499" priority="254" stopIfTrue="1">
      <formula>AN119=CléPersonnalisée2</formula>
    </cfRule>
    <cfRule type="expression" dxfId="9498" priority="255" stopIfTrue="1">
      <formula>AN119=CléPersonnalisée1</formula>
    </cfRule>
    <cfRule type="expression" dxfId="9497" priority="256" stopIfTrue="1">
      <formula>AN119=CléMaladie</formula>
    </cfRule>
    <cfRule type="expression" dxfId="9496" priority="257" stopIfTrue="1">
      <formula>AN119=CléPersonnelle</formula>
    </cfRule>
    <cfRule type="expression" dxfId="9495" priority="258" stopIfTrue="1">
      <formula>AN119=CléCongés</formula>
    </cfRule>
  </conditionalFormatting>
  <conditionalFormatting sqref="AR119">
    <cfRule type="expression" priority="247" stopIfTrue="1">
      <formula>AR119=""</formula>
    </cfRule>
    <cfRule type="expression" dxfId="9494" priority="248" stopIfTrue="1">
      <formula>AR119=CléPersonnalisée2</formula>
    </cfRule>
    <cfRule type="expression" dxfId="9493" priority="249" stopIfTrue="1">
      <formula>AR119=CléPersonnalisée1</formula>
    </cfRule>
    <cfRule type="expression" dxfId="9492" priority="250" stopIfTrue="1">
      <formula>AR119=CléMaladie</formula>
    </cfRule>
    <cfRule type="expression" dxfId="9491" priority="251" stopIfTrue="1">
      <formula>AR119=CléPersonnelle</formula>
    </cfRule>
    <cfRule type="expression" dxfId="9490" priority="252" stopIfTrue="1">
      <formula>AR119=CléCongés</formula>
    </cfRule>
  </conditionalFormatting>
  <conditionalFormatting sqref="AQ108:AR108">
    <cfRule type="expression" priority="235" stopIfTrue="1">
      <formula>AQ108=""</formula>
    </cfRule>
    <cfRule type="expression" dxfId="9489" priority="236" stopIfTrue="1">
      <formula>AQ108=CléPersonnalisée2</formula>
    </cfRule>
    <cfRule type="expression" dxfId="9488" priority="237" stopIfTrue="1">
      <formula>AQ108=CléPersonnalisée1</formula>
    </cfRule>
    <cfRule type="expression" dxfId="9487" priority="238" stopIfTrue="1">
      <formula>AQ108=CléMaladie</formula>
    </cfRule>
    <cfRule type="expression" dxfId="9486" priority="239" stopIfTrue="1">
      <formula>AQ108=CléPersonnelle</formula>
    </cfRule>
    <cfRule type="expression" dxfId="9485" priority="240" stopIfTrue="1">
      <formula>AQ108=CléCongés</formula>
    </cfRule>
  </conditionalFormatting>
  <conditionalFormatting sqref="AQ107">
    <cfRule type="expression" priority="179" stopIfTrue="1">
      <formula>AQ107=""</formula>
    </cfRule>
    <cfRule type="expression" dxfId="9484" priority="180" stopIfTrue="1">
      <formula>AQ107=CléPersonnalisée2</formula>
    </cfRule>
    <cfRule type="expression" dxfId="9483" priority="181" stopIfTrue="1">
      <formula>AQ107=CléPersonnalisée1</formula>
    </cfRule>
    <cfRule type="expression" dxfId="9482" priority="182" stopIfTrue="1">
      <formula>AQ107=CléMaladie</formula>
    </cfRule>
    <cfRule type="expression" dxfId="9481" priority="183" stopIfTrue="1">
      <formula>AQ107=CléPersonnelle</formula>
    </cfRule>
    <cfRule type="expression" dxfId="9480" priority="184" stopIfTrue="1">
      <formula>AQ107=CléCongés</formula>
    </cfRule>
  </conditionalFormatting>
  <conditionalFormatting sqref="C105:AG107">
    <cfRule type="expression" priority="228" stopIfTrue="1">
      <formula>C105=""</formula>
    </cfRule>
    <cfRule type="expression" dxfId="9479" priority="229" stopIfTrue="1">
      <formula>C105=CléPersonnalisée2</formula>
    </cfRule>
    <cfRule type="expression" dxfId="9478" priority="230" stopIfTrue="1">
      <formula>C105=CléPersonnalisée1</formula>
    </cfRule>
    <cfRule type="expression" dxfId="9477" priority="231" stopIfTrue="1">
      <formula>C105=CléMaladie</formula>
    </cfRule>
    <cfRule type="expression" dxfId="9476" priority="232" stopIfTrue="1">
      <formula>C105=CléPersonnelle</formula>
    </cfRule>
    <cfRule type="expression" dxfId="9475" priority="233" stopIfTrue="1">
      <formula>C105=CléCongés</formula>
    </cfRule>
  </conditionalFormatting>
  <conditionalFormatting sqref="AH107">
    <cfRule type="dataBar" priority="234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{DDA90C72-5305-44DC-AF0C-76E0EE1B448A}</x14:id>
        </ext>
      </extLst>
    </cfRule>
  </conditionalFormatting>
  <conditionalFormatting sqref="AI107:AL107 AJ105:AL106">
    <cfRule type="expression" priority="222" stopIfTrue="1">
      <formula>AI105=""</formula>
    </cfRule>
    <cfRule type="expression" dxfId="9474" priority="223" stopIfTrue="1">
      <formula>AI105=CléPersonnalisée2</formula>
    </cfRule>
    <cfRule type="expression" dxfId="9473" priority="224" stopIfTrue="1">
      <formula>AI105=CléPersonnalisée1</formula>
    </cfRule>
    <cfRule type="expression" dxfId="9472" priority="225" stopIfTrue="1">
      <formula>AI105=CléMaladie</formula>
    </cfRule>
    <cfRule type="expression" dxfId="9471" priority="226" stopIfTrue="1">
      <formula>AI105=CléPersonnelle</formula>
    </cfRule>
    <cfRule type="expression" dxfId="9470" priority="227" stopIfTrue="1">
      <formula>AI105=CléCongés</formula>
    </cfRule>
  </conditionalFormatting>
  <conditionalFormatting sqref="AM105:AP106">
    <cfRule type="expression" priority="216" stopIfTrue="1">
      <formula>AM105=""</formula>
    </cfRule>
    <cfRule type="expression" dxfId="9469" priority="217" stopIfTrue="1">
      <formula>AM105=CléPersonnalisée2</formula>
    </cfRule>
    <cfRule type="expression" dxfId="9468" priority="218" stopIfTrue="1">
      <formula>AM105=CléPersonnalisée1</formula>
    </cfRule>
    <cfRule type="expression" dxfId="9467" priority="219" stopIfTrue="1">
      <formula>AM105=CléMaladie</formula>
    </cfRule>
    <cfRule type="expression" dxfId="9466" priority="220" stopIfTrue="1">
      <formula>AM105=CléPersonnelle</formula>
    </cfRule>
    <cfRule type="expression" dxfId="9465" priority="221" stopIfTrue="1">
      <formula>AM105=CléCongés</formula>
    </cfRule>
  </conditionalFormatting>
  <conditionalFormatting sqref="AQ105:AR106">
    <cfRule type="expression" priority="210" stopIfTrue="1">
      <formula>AQ105=""</formula>
    </cfRule>
    <cfRule type="expression" dxfId="9464" priority="211" stopIfTrue="1">
      <formula>AQ105=CléPersonnalisée2</formula>
    </cfRule>
    <cfRule type="expression" dxfId="9463" priority="212" stopIfTrue="1">
      <formula>AQ105=CléPersonnalisée1</formula>
    </cfRule>
    <cfRule type="expression" dxfId="9462" priority="213" stopIfTrue="1">
      <formula>AQ105=CléMaladie</formula>
    </cfRule>
    <cfRule type="expression" dxfId="9461" priority="214" stopIfTrue="1">
      <formula>AQ105=CléPersonnelle</formula>
    </cfRule>
    <cfRule type="expression" dxfId="9460" priority="215" stopIfTrue="1">
      <formula>AQ105=CléCongés</formula>
    </cfRule>
  </conditionalFormatting>
  <conditionalFormatting sqref="AM107 AP107">
    <cfRule type="expression" priority="204" stopIfTrue="1">
      <formula>AM107=""</formula>
    </cfRule>
    <cfRule type="expression" dxfId="9459" priority="205" stopIfTrue="1">
      <formula>AM107=CléPersonnalisée2</formula>
    </cfRule>
    <cfRule type="expression" dxfId="9458" priority="206" stopIfTrue="1">
      <formula>AM107=CléPersonnalisée1</formula>
    </cfRule>
    <cfRule type="expression" dxfId="9457" priority="207" stopIfTrue="1">
      <formula>AM107=CléMaladie</formula>
    </cfRule>
    <cfRule type="expression" dxfId="9456" priority="208" stopIfTrue="1">
      <formula>AM107=CléPersonnelle</formula>
    </cfRule>
    <cfRule type="expression" dxfId="9455" priority="209" stopIfTrue="1">
      <formula>AM107=CléCongés</formula>
    </cfRule>
  </conditionalFormatting>
  <conditionalFormatting sqref="AH105:AH106">
    <cfRule type="dataBar" priority="203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{99AD6FBB-6D59-4D3A-B1A3-88D1A28E129C}</x14:id>
        </ext>
      </extLst>
    </cfRule>
  </conditionalFormatting>
  <conditionalFormatting sqref="AI105:AI106">
    <cfRule type="expression" priority="197" stopIfTrue="1">
      <formula>AI105=""</formula>
    </cfRule>
    <cfRule type="expression" dxfId="9454" priority="198" stopIfTrue="1">
      <formula>AI105=CléPersonnalisée2</formula>
    </cfRule>
    <cfRule type="expression" dxfId="9453" priority="199" stopIfTrue="1">
      <formula>AI105=CléPersonnalisée1</formula>
    </cfRule>
    <cfRule type="expression" dxfId="9452" priority="200" stopIfTrue="1">
      <formula>AI105=CléMaladie</formula>
    </cfRule>
    <cfRule type="expression" dxfId="9451" priority="201" stopIfTrue="1">
      <formula>AI105=CléPersonnelle</formula>
    </cfRule>
    <cfRule type="expression" dxfId="9450" priority="202" stopIfTrue="1">
      <formula>AI105=CléCongés</formula>
    </cfRule>
  </conditionalFormatting>
  <conditionalFormatting sqref="AN107">
    <cfRule type="expression" priority="191" stopIfTrue="1">
      <formula>AN107=""</formula>
    </cfRule>
    <cfRule type="expression" dxfId="9449" priority="192" stopIfTrue="1">
      <formula>AN107=CléPersonnalisée2</formula>
    </cfRule>
    <cfRule type="expression" dxfId="9448" priority="193" stopIfTrue="1">
      <formula>AN107=CléPersonnalisée1</formula>
    </cfRule>
    <cfRule type="expression" dxfId="9447" priority="194" stopIfTrue="1">
      <formula>AN107=CléMaladie</formula>
    </cfRule>
    <cfRule type="expression" dxfId="9446" priority="195" stopIfTrue="1">
      <formula>AN107=CléPersonnelle</formula>
    </cfRule>
    <cfRule type="expression" dxfId="9445" priority="196" stopIfTrue="1">
      <formula>AN107=CléCongés</formula>
    </cfRule>
  </conditionalFormatting>
  <conditionalFormatting sqref="AR107">
    <cfRule type="expression" priority="185" stopIfTrue="1">
      <formula>AR107=""</formula>
    </cfRule>
    <cfRule type="expression" dxfId="9444" priority="186" stopIfTrue="1">
      <formula>AR107=CléPersonnalisée2</formula>
    </cfRule>
    <cfRule type="expression" dxfId="9443" priority="187" stopIfTrue="1">
      <formula>AR107=CléPersonnalisée1</formula>
    </cfRule>
    <cfRule type="expression" dxfId="9442" priority="188" stopIfTrue="1">
      <formula>AR107=CléMaladie</formula>
    </cfRule>
    <cfRule type="expression" dxfId="9441" priority="189" stopIfTrue="1">
      <formula>AR107=CléPersonnelle</formula>
    </cfRule>
    <cfRule type="expression" dxfId="9440" priority="190" stopIfTrue="1">
      <formula>AR107=CléCongés</formula>
    </cfRule>
  </conditionalFormatting>
  <conditionalFormatting sqref="AO107">
    <cfRule type="expression" priority="173" stopIfTrue="1">
      <formula>AO107=""</formula>
    </cfRule>
    <cfRule type="expression" dxfId="9439" priority="174" stopIfTrue="1">
      <formula>AO107=CléPersonnalisée2</formula>
    </cfRule>
    <cfRule type="expression" dxfId="9438" priority="175" stopIfTrue="1">
      <formula>AO107=CléPersonnalisée1</formula>
    </cfRule>
    <cfRule type="expression" dxfId="9437" priority="176" stopIfTrue="1">
      <formula>AO107=CléMaladie</formula>
    </cfRule>
    <cfRule type="expression" dxfId="9436" priority="177" stopIfTrue="1">
      <formula>AO107=CléPersonnelle</formula>
    </cfRule>
    <cfRule type="expression" dxfId="9435" priority="178" stopIfTrue="1">
      <formula>AO107=CléCongés</formula>
    </cfRule>
  </conditionalFormatting>
  <conditionalFormatting sqref="C57:AG59">
    <cfRule type="expression" priority="166" stopIfTrue="1">
      <formula>C57=""</formula>
    </cfRule>
    <cfRule type="expression" dxfId="9434" priority="167" stopIfTrue="1">
      <formula>C57=CléPersonnalisée2</formula>
    </cfRule>
    <cfRule type="expression" dxfId="9433" priority="168" stopIfTrue="1">
      <formula>C57=CléPersonnalisée1</formula>
    </cfRule>
    <cfRule type="expression" dxfId="9432" priority="169" stopIfTrue="1">
      <formula>C57=CléMaladie</formula>
    </cfRule>
    <cfRule type="expression" dxfId="9431" priority="170" stopIfTrue="1">
      <formula>C57=CléPersonnelle</formula>
    </cfRule>
    <cfRule type="expression" dxfId="9430" priority="171" stopIfTrue="1">
      <formula>C57=CléCongés</formula>
    </cfRule>
  </conditionalFormatting>
  <conditionalFormatting sqref="AH59">
    <cfRule type="dataBar" priority="172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{7047E71B-B1B6-4F45-A1CC-81BD524B3896}</x14:id>
        </ext>
      </extLst>
    </cfRule>
  </conditionalFormatting>
  <conditionalFormatting sqref="AI59:AL59 AJ57:AL58">
    <cfRule type="expression" priority="160" stopIfTrue="1">
      <formula>AI57=""</formula>
    </cfRule>
    <cfRule type="expression" dxfId="9429" priority="161" stopIfTrue="1">
      <formula>AI57=CléPersonnalisée2</formula>
    </cfRule>
    <cfRule type="expression" dxfId="9428" priority="162" stopIfTrue="1">
      <formula>AI57=CléPersonnalisée1</formula>
    </cfRule>
    <cfRule type="expression" dxfId="9427" priority="163" stopIfTrue="1">
      <formula>AI57=CléMaladie</formula>
    </cfRule>
    <cfRule type="expression" dxfId="9426" priority="164" stopIfTrue="1">
      <formula>AI57=CléPersonnelle</formula>
    </cfRule>
    <cfRule type="expression" dxfId="9425" priority="165" stopIfTrue="1">
      <formula>AI57=CléCongés</formula>
    </cfRule>
  </conditionalFormatting>
  <conditionalFormatting sqref="AM57:AP58">
    <cfRule type="expression" priority="154" stopIfTrue="1">
      <formula>AM57=""</formula>
    </cfRule>
    <cfRule type="expression" dxfId="9424" priority="155" stopIfTrue="1">
      <formula>AM57=CléPersonnalisée2</formula>
    </cfRule>
    <cfRule type="expression" dxfId="9423" priority="156" stopIfTrue="1">
      <formula>AM57=CléPersonnalisée1</formula>
    </cfRule>
    <cfRule type="expression" dxfId="9422" priority="157" stopIfTrue="1">
      <formula>AM57=CléMaladie</formula>
    </cfRule>
    <cfRule type="expression" dxfId="9421" priority="158" stopIfTrue="1">
      <formula>AM57=CléPersonnelle</formula>
    </cfRule>
    <cfRule type="expression" dxfId="9420" priority="159" stopIfTrue="1">
      <formula>AM57=CléCongés</formula>
    </cfRule>
  </conditionalFormatting>
  <conditionalFormatting sqref="AQ57:AR58">
    <cfRule type="expression" priority="148" stopIfTrue="1">
      <formula>AQ57=""</formula>
    </cfRule>
    <cfRule type="expression" dxfId="9419" priority="149" stopIfTrue="1">
      <formula>AQ57=CléPersonnalisée2</formula>
    </cfRule>
    <cfRule type="expression" dxfId="9418" priority="150" stopIfTrue="1">
      <formula>AQ57=CléPersonnalisée1</formula>
    </cfRule>
    <cfRule type="expression" dxfId="9417" priority="151" stopIfTrue="1">
      <formula>AQ57=CléMaladie</formula>
    </cfRule>
    <cfRule type="expression" dxfId="9416" priority="152" stopIfTrue="1">
      <formula>AQ57=CléPersonnelle</formula>
    </cfRule>
    <cfRule type="expression" dxfId="9415" priority="153" stopIfTrue="1">
      <formula>AQ57=CléCongés</formula>
    </cfRule>
  </conditionalFormatting>
  <conditionalFormatting sqref="AM59 AP59">
    <cfRule type="expression" priority="142" stopIfTrue="1">
      <formula>AM59=""</formula>
    </cfRule>
    <cfRule type="expression" dxfId="9414" priority="143" stopIfTrue="1">
      <formula>AM59=CléPersonnalisée2</formula>
    </cfRule>
    <cfRule type="expression" dxfId="9413" priority="144" stopIfTrue="1">
      <formula>AM59=CléPersonnalisée1</formula>
    </cfRule>
    <cfRule type="expression" dxfId="9412" priority="145" stopIfTrue="1">
      <formula>AM59=CléMaladie</formula>
    </cfRule>
    <cfRule type="expression" dxfId="9411" priority="146" stopIfTrue="1">
      <formula>AM59=CléPersonnelle</formula>
    </cfRule>
    <cfRule type="expression" dxfId="9410" priority="147" stopIfTrue="1">
      <formula>AM59=CléCongés</formula>
    </cfRule>
  </conditionalFormatting>
  <conditionalFormatting sqref="AH57:AH58">
    <cfRule type="dataBar" priority="141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{BF07CAF3-477B-46AB-B986-53ABFB839E4B}</x14:id>
        </ext>
      </extLst>
    </cfRule>
  </conditionalFormatting>
  <conditionalFormatting sqref="AO59">
    <cfRule type="expression" priority="135" stopIfTrue="1">
      <formula>AO59=""</formula>
    </cfRule>
    <cfRule type="expression" dxfId="9409" priority="136" stopIfTrue="1">
      <formula>AO59=CléPersonnalisée2</formula>
    </cfRule>
    <cfRule type="expression" dxfId="9408" priority="137" stopIfTrue="1">
      <formula>AO59=CléPersonnalisée1</formula>
    </cfRule>
    <cfRule type="expression" dxfId="9407" priority="138" stopIfTrue="1">
      <formula>AO59=CléMaladie</formula>
    </cfRule>
    <cfRule type="expression" dxfId="9406" priority="139" stopIfTrue="1">
      <formula>AO59=CléPersonnelle</formula>
    </cfRule>
    <cfRule type="expression" dxfId="9405" priority="140" stopIfTrue="1">
      <formula>AO59=CléCongés</formula>
    </cfRule>
  </conditionalFormatting>
  <conditionalFormatting sqref="AI57:AI58">
    <cfRule type="expression" priority="129" stopIfTrue="1">
      <formula>AI57=""</formula>
    </cfRule>
    <cfRule type="expression" dxfId="9404" priority="130" stopIfTrue="1">
      <formula>AI57=CléPersonnalisée2</formula>
    </cfRule>
    <cfRule type="expression" dxfId="9403" priority="131" stopIfTrue="1">
      <formula>AI57=CléPersonnalisée1</formula>
    </cfRule>
    <cfRule type="expression" dxfId="9402" priority="132" stopIfTrue="1">
      <formula>AI57=CléMaladie</formula>
    </cfRule>
    <cfRule type="expression" dxfId="9401" priority="133" stopIfTrue="1">
      <formula>AI57=CléPersonnelle</formula>
    </cfRule>
    <cfRule type="expression" dxfId="9400" priority="134" stopIfTrue="1">
      <formula>AI57=CléCongés</formula>
    </cfRule>
  </conditionalFormatting>
  <conditionalFormatting sqref="AN59">
    <cfRule type="expression" priority="123" stopIfTrue="1">
      <formula>AN59=""</formula>
    </cfRule>
    <cfRule type="expression" dxfId="9399" priority="124" stopIfTrue="1">
      <formula>AN59=CléPersonnalisée2</formula>
    </cfRule>
    <cfRule type="expression" dxfId="9398" priority="125" stopIfTrue="1">
      <formula>AN59=CléPersonnalisée1</formula>
    </cfRule>
    <cfRule type="expression" dxfId="9397" priority="126" stopIfTrue="1">
      <formula>AN59=CléMaladie</formula>
    </cfRule>
    <cfRule type="expression" dxfId="9396" priority="127" stopIfTrue="1">
      <formula>AN59=CléPersonnelle</formula>
    </cfRule>
    <cfRule type="expression" dxfId="9395" priority="128" stopIfTrue="1">
      <formula>AN59=CléCongés</formula>
    </cfRule>
  </conditionalFormatting>
  <conditionalFormatting sqref="AR59">
    <cfRule type="expression" priority="117" stopIfTrue="1">
      <formula>AR59=""</formula>
    </cfRule>
    <cfRule type="expression" dxfId="9394" priority="118" stopIfTrue="1">
      <formula>AR59=CléPersonnalisée2</formula>
    </cfRule>
    <cfRule type="expression" dxfId="9393" priority="119" stopIfTrue="1">
      <formula>AR59=CléPersonnalisée1</formula>
    </cfRule>
    <cfRule type="expression" dxfId="9392" priority="120" stopIfTrue="1">
      <formula>AR59=CléMaladie</formula>
    </cfRule>
    <cfRule type="expression" dxfId="9391" priority="121" stopIfTrue="1">
      <formula>AR59=CléPersonnelle</formula>
    </cfRule>
    <cfRule type="expression" dxfId="9390" priority="122" stopIfTrue="1">
      <formula>AR59=CléCongés</formula>
    </cfRule>
  </conditionalFormatting>
  <conditionalFormatting sqref="AQ59">
    <cfRule type="expression" priority="111" stopIfTrue="1">
      <formula>AQ59=""</formula>
    </cfRule>
    <cfRule type="expression" dxfId="9389" priority="112" stopIfTrue="1">
      <formula>AQ59=CléPersonnalisée2</formula>
    </cfRule>
    <cfRule type="expression" dxfId="9388" priority="113" stopIfTrue="1">
      <formula>AQ59=CléPersonnalisée1</formula>
    </cfRule>
    <cfRule type="expression" dxfId="9387" priority="114" stopIfTrue="1">
      <formula>AQ59=CléMaladie</formula>
    </cfRule>
    <cfRule type="expression" dxfId="9386" priority="115" stopIfTrue="1">
      <formula>AQ59=CléPersonnelle</formula>
    </cfRule>
    <cfRule type="expression" dxfId="9385" priority="116" stopIfTrue="1">
      <formula>AQ59=CléCongés</formula>
    </cfRule>
  </conditionalFormatting>
  <conditionalFormatting sqref="AQ79">
    <cfRule type="expression" priority="61" stopIfTrue="1">
      <formula>AQ79=""</formula>
    </cfRule>
    <cfRule type="expression" dxfId="9384" priority="62" stopIfTrue="1">
      <formula>AQ79=CléPersonnalisée2</formula>
    </cfRule>
    <cfRule type="expression" dxfId="9383" priority="63" stopIfTrue="1">
      <formula>AQ79=CléPersonnalisée1</formula>
    </cfRule>
    <cfRule type="expression" dxfId="9382" priority="64" stopIfTrue="1">
      <formula>AQ79=CléMaladie</formula>
    </cfRule>
    <cfRule type="expression" dxfId="9381" priority="65" stopIfTrue="1">
      <formula>AQ79=CléPersonnelle</formula>
    </cfRule>
    <cfRule type="expression" dxfId="9380" priority="66" stopIfTrue="1">
      <formula>AQ79=CléCongés</formula>
    </cfRule>
  </conditionalFormatting>
  <conditionalFormatting sqref="C77:AG79">
    <cfRule type="expression" priority="104" stopIfTrue="1">
      <formula>C77=""</formula>
    </cfRule>
    <cfRule type="expression" dxfId="9379" priority="105" stopIfTrue="1">
      <formula>C77=CléPersonnalisée2</formula>
    </cfRule>
    <cfRule type="expression" dxfId="9378" priority="106" stopIfTrue="1">
      <formula>C77=CléPersonnalisée1</formula>
    </cfRule>
    <cfRule type="expression" dxfId="9377" priority="107" stopIfTrue="1">
      <formula>C77=CléMaladie</formula>
    </cfRule>
    <cfRule type="expression" dxfId="9376" priority="108" stopIfTrue="1">
      <formula>C77=CléPersonnelle</formula>
    </cfRule>
    <cfRule type="expression" dxfId="9375" priority="109" stopIfTrue="1">
      <formula>C77=CléCongés</formula>
    </cfRule>
  </conditionalFormatting>
  <conditionalFormatting sqref="AH79">
    <cfRule type="dataBar" priority="110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{BB36BA9B-9A36-4C84-B87B-3CE29997BB46}</x14:id>
        </ext>
      </extLst>
    </cfRule>
  </conditionalFormatting>
  <conditionalFormatting sqref="AI79:AL79 AJ77:AL78">
    <cfRule type="expression" priority="98" stopIfTrue="1">
      <formula>AI77=""</formula>
    </cfRule>
    <cfRule type="expression" dxfId="9374" priority="99" stopIfTrue="1">
      <formula>AI77=CléPersonnalisée2</formula>
    </cfRule>
    <cfRule type="expression" dxfId="9373" priority="100" stopIfTrue="1">
      <formula>AI77=CléPersonnalisée1</formula>
    </cfRule>
    <cfRule type="expression" dxfId="9372" priority="101" stopIfTrue="1">
      <formula>AI77=CléMaladie</formula>
    </cfRule>
    <cfRule type="expression" dxfId="9371" priority="102" stopIfTrue="1">
      <formula>AI77=CléPersonnelle</formula>
    </cfRule>
    <cfRule type="expression" dxfId="9370" priority="103" stopIfTrue="1">
      <formula>AI77=CléCongés</formula>
    </cfRule>
  </conditionalFormatting>
  <conditionalFormatting sqref="AM77:AP78">
    <cfRule type="expression" priority="92" stopIfTrue="1">
      <formula>AM77=""</formula>
    </cfRule>
    <cfRule type="expression" dxfId="9369" priority="93" stopIfTrue="1">
      <formula>AM77=CléPersonnalisée2</formula>
    </cfRule>
    <cfRule type="expression" dxfId="9368" priority="94" stopIfTrue="1">
      <formula>AM77=CléPersonnalisée1</formula>
    </cfRule>
    <cfRule type="expression" dxfId="9367" priority="95" stopIfTrue="1">
      <formula>AM77=CléMaladie</formula>
    </cfRule>
    <cfRule type="expression" dxfId="9366" priority="96" stopIfTrue="1">
      <formula>AM77=CléPersonnelle</formula>
    </cfRule>
    <cfRule type="expression" dxfId="9365" priority="97" stopIfTrue="1">
      <formula>AM77=CléCongés</formula>
    </cfRule>
  </conditionalFormatting>
  <conditionalFormatting sqref="AQ77:AR78">
    <cfRule type="expression" priority="86" stopIfTrue="1">
      <formula>AQ77=""</formula>
    </cfRule>
    <cfRule type="expression" dxfId="9364" priority="87" stopIfTrue="1">
      <formula>AQ77=CléPersonnalisée2</formula>
    </cfRule>
    <cfRule type="expression" dxfId="9363" priority="88" stopIfTrue="1">
      <formula>AQ77=CléPersonnalisée1</formula>
    </cfRule>
    <cfRule type="expression" dxfId="9362" priority="89" stopIfTrue="1">
      <formula>AQ77=CléMaladie</formula>
    </cfRule>
    <cfRule type="expression" dxfId="9361" priority="90" stopIfTrue="1">
      <formula>AQ77=CléPersonnelle</formula>
    </cfRule>
    <cfRule type="expression" dxfId="9360" priority="91" stopIfTrue="1">
      <formula>AQ77=CléCongés</formula>
    </cfRule>
  </conditionalFormatting>
  <conditionalFormatting sqref="AM79 AP79">
    <cfRule type="expression" priority="80" stopIfTrue="1">
      <formula>AM79=""</formula>
    </cfRule>
    <cfRule type="expression" dxfId="9359" priority="81" stopIfTrue="1">
      <formula>AM79=CléPersonnalisée2</formula>
    </cfRule>
    <cfRule type="expression" dxfId="9358" priority="82" stopIfTrue="1">
      <formula>AM79=CléPersonnalisée1</formula>
    </cfRule>
    <cfRule type="expression" dxfId="9357" priority="83" stopIfTrue="1">
      <formula>AM79=CléMaladie</formula>
    </cfRule>
    <cfRule type="expression" dxfId="9356" priority="84" stopIfTrue="1">
      <formula>AM79=CléPersonnelle</formula>
    </cfRule>
    <cfRule type="expression" dxfId="9355" priority="85" stopIfTrue="1">
      <formula>AM79=CléCongés</formula>
    </cfRule>
  </conditionalFormatting>
  <conditionalFormatting sqref="AH77:AH78">
    <cfRule type="dataBar" priority="79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{CEDBB534-2B4B-4C77-A168-E3345E80C811}</x14:id>
        </ext>
      </extLst>
    </cfRule>
  </conditionalFormatting>
  <conditionalFormatting sqref="AI77:AI78">
    <cfRule type="expression" priority="73" stopIfTrue="1">
      <formula>AI77=""</formula>
    </cfRule>
    <cfRule type="expression" dxfId="9354" priority="74" stopIfTrue="1">
      <formula>AI77=CléPersonnalisée2</formula>
    </cfRule>
    <cfRule type="expression" dxfId="9353" priority="75" stopIfTrue="1">
      <formula>AI77=CléPersonnalisée1</formula>
    </cfRule>
    <cfRule type="expression" dxfId="9352" priority="76" stopIfTrue="1">
      <formula>AI77=CléMaladie</formula>
    </cfRule>
    <cfRule type="expression" dxfId="9351" priority="77" stopIfTrue="1">
      <formula>AI77=CléPersonnelle</formula>
    </cfRule>
    <cfRule type="expression" dxfId="9350" priority="78" stopIfTrue="1">
      <formula>AI77=CléCongés</formula>
    </cfRule>
  </conditionalFormatting>
  <conditionalFormatting sqref="AR79">
    <cfRule type="expression" priority="67" stopIfTrue="1">
      <formula>AR79=""</formula>
    </cfRule>
    <cfRule type="expression" dxfId="9349" priority="68" stopIfTrue="1">
      <formula>AR79=CléPersonnalisée2</formula>
    </cfRule>
    <cfRule type="expression" dxfId="9348" priority="69" stopIfTrue="1">
      <formula>AR79=CléPersonnalisée1</formula>
    </cfRule>
    <cfRule type="expression" dxfId="9347" priority="70" stopIfTrue="1">
      <formula>AR79=CléMaladie</formula>
    </cfRule>
    <cfRule type="expression" dxfId="9346" priority="71" stopIfTrue="1">
      <formula>AR79=CléPersonnelle</formula>
    </cfRule>
    <cfRule type="expression" dxfId="9345" priority="72" stopIfTrue="1">
      <formula>AR79=CléCongés</formula>
    </cfRule>
  </conditionalFormatting>
  <conditionalFormatting sqref="AO79">
    <cfRule type="expression" priority="55" stopIfTrue="1">
      <formula>AO79=""</formula>
    </cfRule>
    <cfRule type="expression" dxfId="9344" priority="56" stopIfTrue="1">
      <formula>AO79=CléPersonnalisée2</formula>
    </cfRule>
    <cfRule type="expression" dxfId="9343" priority="57" stopIfTrue="1">
      <formula>AO79=CléPersonnalisée1</formula>
    </cfRule>
    <cfRule type="expression" dxfId="9342" priority="58" stopIfTrue="1">
      <formula>AO79=CléMaladie</formula>
    </cfRule>
    <cfRule type="expression" dxfId="9341" priority="59" stopIfTrue="1">
      <formula>AO79=CléPersonnelle</formula>
    </cfRule>
    <cfRule type="expression" dxfId="9340" priority="60" stopIfTrue="1">
      <formula>AO79=CléCongés</formula>
    </cfRule>
  </conditionalFormatting>
  <conditionalFormatting sqref="AN79">
    <cfRule type="expression" priority="49" stopIfTrue="1">
      <formula>AN79=""</formula>
    </cfRule>
    <cfRule type="expression" dxfId="9339" priority="50" stopIfTrue="1">
      <formula>AN79=CléPersonnalisée2</formula>
    </cfRule>
    <cfRule type="expression" dxfId="9338" priority="51" stopIfTrue="1">
      <formula>AN79=CléPersonnalisée1</formula>
    </cfRule>
    <cfRule type="expression" dxfId="9337" priority="52" stopIfTrue="1">
      <formula>AN79=CléMaladie</formula>
    </cfRule>
    <cfRule type="expression" dxfId="9336" priority="53" stopIfTrue="1">
      <formula>AN79=CléPersonnelle</formula>
    </cfRule>
    <cfRule type="expression" dxfId="9335" priority="54" stopIfTrue="1">
      <formula>AN79=CléCongés</formula>
    </cfRule>
  </conditionalFormatting>
  <conditionalFormatting sqref="AM95">
    <cfRule type="expression" priority="43" stopIfTrue="1">
      <formula>AM95=""</formula>
    </cfRule>
    <cfRule type="expression" dxfId="9334" priority="44" stopIfTrue="1">
      <formula>AM95=CléPersonnalisée2</formula>
    </cfRule>
    <cfRule type="expression" dxfId="9333" priority="45" stopIfTrue="1">
      <formula>AM95=CléPersonnalisée1</formula>
    </cfRule>
    <cfRule type="expression" dxfId="9332" priority="46" stopIfTrue="1">
      <formula>AM95=CléMaladie</formula>
    </cfRule>
    <cfRule type="expression" dxfId="9331" priority="47" stopIfTrue="1">
      <formula>AM95=CléPersonnelle</formula>
    </cfRule>
    <cfRule type="expression" dxfId="9330" priority="48" stopIfTrue="1">
      <formula>AM95=CléCongés</formula>
    </cfRule>
  </conditionalFormatting>
  <conditionalFormatting sqref="AM97:AP98">
    <cfRule type="expression" priority="37" stopIfTrue="1">
      <formula>AM97=""</formula>
    </cfRule>
    <cfRule type="expression" dxfId="9329" priority="38" stopIfTrue="1">
      <formula>AM97=CléPersonnalisée2</formula>
    </cfRule>
    <cfRule type="expression" dxfId="9328" priority="39" stopIfTrue="1">
      <formula>AM97=CléPersonnalisée1</formula>
    </cfRule>
    <cfRule type="expression" dxfId="9327" priority="40" stopIfTrue="1">
      <formula>AM97=CléMaladie</formula>
    </cfRule>
    <cfRule type="expression" dxfId="9326" priority="41" stopIfTrue="1">
      <formula>AM97=CléPersonnelle</formula>
    </cfRule>
    <cfRule type="expression" dxfId="9325" priority="42" stopIfTrue="1">
      <formula>AM97=CléCongés</formula>
    </cfRule>
  </conditionalFormatting>
  <conditionalFormatting sqref="AQ97:AR98">
    <cfRule type="expression" priority="31" stopIfTrue="1">
      <formula>AQ97=""</formula>
    </cfRule>
    <cfRule type="expression" dxfId="9324" priority="32" stopIfTrue="1">
      <formula>AQ97=CléPersonnalisée2</formula>
    </cfRule>
    <cfRule type="expression" dxfId="9323" priority="33" stopIfTrue="1">
      <formula>AQ97=CléPersonnalisée1</formula>
    </cfRule>
    <cfRule type="expression" dxfId="9322" priority="34" stopIfTrue="1">
      <formula>AQ97=CléMaladie</formula>
    </cfRule>
    <cfRule type="expression" dxfId="9321" priority="35" stopIfTrue="1">
      <formula>AQ97=CléPersonnelle</formula>
    </cfRule>
    <cfRule type="expression" dxfId="9320" priority="36" stopIfTrue="1">
      <formula>AQ97=CléCongés</formula>
    </cfRule>
  </conditionalFormatting>
  <conditionalFormatting sqref="AM101:AP102">
    <cfRule type="expression" priority="25" stopIfTrue="1">
      <formula>AM101=""</formula>
    </cfRule>
    <cfRule type="expression" dxfId="9319" priority="26" stopIfTrue="1">
      <formula>AM101=CléPersonnalisée2</formula>
    </cfRule>
    <cfRule type="expression" dxfId="9318" priority="27" stopIfTrue="1">
      <formula>AM101=CléPersonnalisée1</formula>
    </cfRule>
    <cfRule type="expression" dxfId="9317" priority="28" stopIfTrue="1">
      <formula>AM101=CléMaladie</formula>
    </cfRule>
    <cfRule type="expression" dxfId="9316" priority="29" stopIfTrue="1">
      <formula>AM101=CléPersonnelle</formula>
    </cfRule>
    <cfRule type="expression" dxfId="9315" priority="30" stopIfTrue="1">
      <formula>AM101=CléCongés</formula>
    </cfRule>
  </conditionalFormatting>
  <conditionalFormatting sqref="AQ101:AR102">
    <cfRule type="expression" priority="19" stopIfTrue="1">
      <formula>AQ101=""</formula>
    </cfRule>
    <cfRule type="expression" dxfId="9314" priority="20" stopIfTrue="1">
      <formula>AQ101=CléPersonnalisée2</formula>
    </cfRule>
    <cfRule type="expression" dxfId="9313" priority="21" stopIfTrue="1">
      <formula>AQ101=CléPersonnalisée1</formula>
    </cfRule>
    <cfRule type="expression" dxfId="9312" priority="22" stopIfTrue="1">
      <formula>AQ101=CléMaladie</formula>
    </cfRule>
    <cfRule type="expression" dxfId="9311" priority="23" stopIfTrue="1">
      <formula>AQ101=CléPersonnelle</formula>
    </cfRule>
    <cfRule type="expression" dxfId="9310" priority="24" stopIfTrue="1">
      <formula>AQ101=CléCongés</formula>
    </cfRule>
  </conditionalFormatting>
  <conditionalFormatting sqref="AS13 AS17 AS21 AS25 AS29 AS33 AS37 AS41 AS45 AS49 AS53 AS57 AS61 AS65 AS69 AS73 AS77 AS81 AS85 AS89 AS93 AS97 AS101 AS105 AS109 AS113 AS117 AS121">
    <cfRule type="expression" priority="13" stopIfTrue="1">
      <formula>AS13=""</formula>
    </cfRule>
    <cfRule type="expression" dxfId="54" priority="14" stopIfTrue="1">
      <formula>AS13=CléPersonnalisée2</formula>
    </cfRule>
    <cfRule type="expression" dxfId="53" priority="15" stopIfTrue="1">
      <formula>AS13=CléPersonnalisée1</formula>
    </cfRule>
    <cfRule type="expression" dxfId="52" priority="16" stopIfTrue="1">
      <formula>AS13=CléMaladie</formula>
    </cfRule>
    <cfRule type="expression" dxfId="51" priority="17" stopIfTrue="1">
      <formula>AS13=CléPersonnelle</formula>
    </cfRule>
    <cfRule type="expression" dxfId="50" priority="18" stopIfTrue="1">
      <formula>AS13=CléCongés</formula>
    </cfRule>
  </conditionalFormatting>
  <conditionalFormatting sqref="AS9">
    <cfRule type="expression" priority="7" stopIfTrue="1">
      <formula>AS9=""</formula>
    </cfRule>
    <cfRule type="expression" dxfId="49" priority="8" stopIfTrue="1">
      <formula>AS9=CléPersonnalisée2</formula>
    </cfRule>
    <cfRule type="expression" dxfId="48" priority="9" stopIfTrue="1">
      <formula>AS9=CléPersonnalisée1</formula>
    </cfRule>
    <cfRule type="expression" dxfId="47" priority="10" stopIfTrue="1">
      <formula>AS9=CléMaladie</formula>
    </cfRule>
    <cfRule type="expression" dxfId="46" priority="11" stopIfTrue="1">
      <formula>AS9=CléPersonnelle</formula>
    </cfRule>
    <cfRule type="expression" dxfId="45" priority="12" stopIfTrue="1">
      <formula>AS9=CléCongés</formula>
    </cfRule>
  </conditionalFormatting>
  <conditionalFormatting sqref="AS5">
    <cfRule type="expression" priority="1" stopIfTrue="1">
      <formula>AS5=""</formula>
    </cfRule>
    <cfRule type="expression" dxfId="44" priority="2" stopIfTrue="1">
      <formula>AS5=CléPersonnalisée2</formula>
    </cfRule>
    <cfRule type="expression" dxfId="43" priority="3" stopIfTrue="1">
      <formula>AS5=CléPersonnalisée1</formula>
    </cfRule>
    <cfRule type="expression" dxfId="42" priority="4" stopIfTrue="1">
      <formula>AS5=CléMaladie</formula>
    </cfRule>
    <cfRule type="expression" dxfId="41" priority="5" stopIfTrue="1">
      <formula>AS5=CléPersonnelle</formula>
    </cfRule>
    <cfRule type="expression" dxfId="40" priority="6" stopIfTrue="1">
      <formula>AS5=CléCongés</formula>
    </cfRule>
  </conditionalFormatting>
  <printOptions horizontalCentered="1"/>
  <pageMargins left="0.25" right="0.25" top="0.75" bottom="0.75" header="0.3" footer="0.3"/>
  <pageSetup scale="56" fitToHeight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A788A24-ED3F-4701-AF57-606C89BEA520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AH5:AH6 AH9:AH11</xm:sqref>
        </x14:conditionalFormatting>
        <x14:conditionalFormatting xmlns:xm="http://schemas.microsoft.com/office/excel/2006/main">
          <x14:cfRule type="dataBar" id="{F370647D-B816-48B2-8434-ACACF036FCB7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AH27</xm:sqref>
        </x14:conditionalFormatting>
        <x14:conditionalFormatting xmlns:xm="http://schemas.microsoft.com/office/excel/2006/main">
          <x14:cfRule type="dataBar" id="{E0F64235-6400-4115-B079-C66C07FA4351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AH31</xm:sqref>
        </x14:conditionalFormatting>
        <x14:conditionalFormatting xmlns:xm="http://schemas.microsoft.com/office/excel/2006/main">
          <x14:cfRule type="dataBar" id="{533A6315-1087-49E1-8736-E1CC541EF176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AH35</xm:sqref>
        </x14:conditionalFormatting>
        <x14:conditionalFormatting xmlns:xm="http://schemas.microsoft.com/office/excel/2006/main">
          <x14:cfRule type="dataBar" id="{F87D3CB0-D09B-4593-AF0F-709B708225F8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AH39</xm:sqref>
        </x14:conditionalFormatting>
        <x14:conditionalFormatting xmlns:xm="http://schemas.microsoft.com/office/excel/2006/main">
          <x14:cfRule type="dataBar" id="{F70728CB-2F40-4A5C-A928-DD84A1E0F541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AH43</xm:sqref>
        </x14:conditionalFormatting>
        <x14:conditionalFormatting xmlns:xm="http://schemas.microsoft.com/office/excel/2006/main">
          <x14:cfRule type="dataBar" id="{CE240075-A03D-4BB6-8FE7-E670F3C42185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AH47</xm:sqref>
        </x14:conditionalFormatting>
        <x14:conditionalFormatting xmlns:xm="http://schemas.microsoft.com/office/excel/2006/main">
          <x14:cfRule type="dataBar" id="{5B16FCDB-77EC-4CC4-9DB8-58A65AD871C5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AH51</xm:sqref>
        </x14:conditionalFormatting>
        <x14:conditionalFormatting xmlns:xm="http://schemas.microsoft.com/office/excel/2006/main">
          <x14:cfRule type="dataBar" id="{C991DEC7-1E96-4FC9-AA17-A4F1C8861CB8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AH55</xm:sqref>
        </x14:conditionalFormatting>
        <x14:conditionalFormatting xmlns:xm="http://schemas.microsoft.com/office/excel/2006/main">
          <x14:cfRule type="dataBar" id="{150C9C62-08B2-48AE-82A9-D717E61014CE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AH63</xm:sqref>
        </x14:conditionalFormatting>
        <x14:conditionalFormatting xmlns:xm="http://schemas.microsoft.com/office/excel/2006/main">
          <x14:cfRule type="dataBar" id="{54CCB413-1015-4139-A42C-63ED3EC20726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AH71</xm:sqref>
        </x14:conditionalFormatting>
        <x14:conditionalFormatting xmlns:xm="http://schemas.microsoft.com/office/excel/2006/main">
          <x14:cfRule type="dataBar" id="{4CEA14D7-4B80-49AC-B6E5-2F1ED7A073E5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AH19</xm:sqref>
        </x14:conditionalFormatting>
        <x14:conditionalFormatting xmlns:xm="http://schemas.microsoft.com/office/excel/2006/main">
          <x14:cfRule type="dataBar" id="{94F78DD4-3035-4208-BEF5-F7EB4E6B21A2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AH23</xm:sqref>
        </x14:conditionalFormatting>
        <x14:conditionalFormatting xmlns:xm="http://schemas.microsoft.com/office/excel/2006/main">
          <x14:cfRule type="dataBar" id="{581C9871-4C0A-4DA9-9507-4F5F1E1624B2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AH17:AH18</xm:sqref>
        </x14:conditionalFormatting>
        <x14:conditionalFormatting xmlns:xm="http://schemas.microsoft.com/office/excel/2006/main">
          <x14:cfRule type="dataBar" id="{73DB22B5-D9D7-4196-A400-22902272AE2B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AH21:AH22</xm:sqref>
        </x14:conditionalFormatting>
        <x14:conditionalFormatting xmlns:xm="http://schemas.microsoft.com/office/excel/2006/main">
          <x14:cfRule type="dataBar" id="{0394FD74-53D4-4F92-BEC8-E14FCB933AE5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AH25:AH26</xm:sqref>
        </x14:conditionalFormatting>
        <x14:conditionalFormatting xmlns:xm="http://schemas.microsoft.com/office/excel/2006/main">
          <x14:cfRule type="dataBar" id="{D3112892-538C-46B6-ABBF-5BD69F7C1B07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AH29:AH30</xm:sqref>
        </x14:conditionalFormatting>
        <x14:conditionalFormatting xmlns:xm="http://schemas.microsoft.com/office/excel/2006/main">
          <x14:cfRule type="dataBar" id="{B8AA90D5-C035-4E2F-AFEC-2A35EE7344CE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AH33:AH34</xm:sqref>
        </x14:conditionalFormatting>
        <x14:conditionalFormatting xmlns:xm="http://schemas.microsoft.com/office/excel/2006/main">
          <x14:cfRule type="dataBar" id="{C631B4AC-81B3-43A3-BF65-4722181CFAA6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AH37:AH38</xm:sqref>
        </x14:conditionalFormatting>
        <x14:conditionalFormatting xmlns:xm="http://schemas.microsoft.com/office/excel/2006/main">
          <x14:cfRule type="dataBar" id="{7634DCF1-E959-4B22-A5F8-3FAE289AD8B2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AH41:AH42</xm:sqref>
        </x14:conditionalFormatting>
        <x14:conditionalFormatting xmlns:xm="http://schemas.microsoft.com/office/excel/2006/main">
          <x14:cfRule type="dataBar" id="{B2D8F6E1-7A6D-4CA2-AE15-DAEEFE2BDCD1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AH45:AH46</xm:sqref>
        </x14:conditionalFormatting>
        <x14:conditionalFormatting xmlns:xm="http://schemas.microsoft.com/office/excel/2006/main">
          <x14:cfRule type="dataBar" id="{6C446593-43C9-4269-B945-3C43D84597BA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AH49:AH50</xm:sqref>
        </x14:conditionalFormatting>
        <x14:conditionalFormatting xmlns:xm="http://schemas.microsoft.com/office/excel/2006/main">
          <x14:cfRule type="dataBar" id="{1F8DBD3F-1A97-46B1-8350-016C2CAC3591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AH53:AH54</xm:sqref>
        </x14:conditionalFormatting>
        <x14:conditionalFormatting xmlns:xm="http://schemas.microsoft.com/office/excel/2006/main">
          <x14:cfRule type="dataBar" id="{6B85F2E4-17E7-412A-A135-9345F1FD27CB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AH61:AH62</xm:sqref>
        </x14:conditionalFormatting>
        <x14:conditionalFormatting xmlns:xm="http://schemas.microsoft.com/office/excel/2006/main">
          <x14:cfRule type="dataBar" id="{BFE471BD-B517-4A4D-93BB-72CEBA4EB862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AH69:AH70</xm:sqref>
        </x14:conditionalFormatting>
        <x14:conditionalFormatting xmlns:xm="http://schemas.microsoft.com/office/excel/2006/main">
          <x14:cfRule type="dataBar" id="{C550AA0E-ED33-40DB-9C80-F328C3AC392E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AH7</xm:sqref>
        </x14:conditionalFormatting>
        <x14:conditionalFormatting xmlns:xm="http://schemas.microsoft.com/office/excel/2006/main">
          <x14:cfRule type="dataBar" id="{F9D21C0A-66B6-41B5-A4A7-43FE103D0D3E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AH67</xm:sqref>
        </x14:conditionalFormatting>
        <x14:conditionalFormatting xmlns:xm="http://schemas.microsoft.com/office/excel/2006/main">
          <x14:cfRule type="dataBar" id="{25C170ED-F009-4FD1-B3E7-8488E238D15E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AH65:AH66</xm:sqref>
        </x14:conditionalFormatting>
        <x14:conditionalFormatting xmlns:xm="http://schemas.microsoft.com/office/excel/2006/main">
          <x14:cfRule type="dataBar" id="{878DE442-8749-4947-B6FB-849AC80E7DA5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AH75</xm:sqref>
        </x14:conditionalFormatting>
        <x14:conditionalFormatting xmlns:xm="http://schemas.microsoft.com/office/excel/2006/main">
          <x14:cfRule type="dataBar" id="{A1792600-EBCF-47DB-8799-A86DD225B717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AH73:AH74</xm:sqref>
        </x14:conditionalFormatting>
        <x14:conditionalFormatting xmlns:xm="http://schemas.microsoft.com/office/excel/2006/main">
          <x14:cfRule type="dataBar" id="{FB29617C-DABC-4740-B64C-A9874679B158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AH83</xm:sqref>
        </x14:conditionalFormatting>
        <x14:conditionalFormatting xmlns:xm="http://schemas.microsoft.com/office/excel/2006/main">
          <x14:cfRule type="dataBar" id="{9378D779-8611-4FC9-A18E-3090415EA2F9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AH81:AH82</xm:sqref>
        </x14:conditionalFormatting>
        <x14:conditionalFormatting xmlns:xm="http://schemas.microsoft.com/office/excel/2006/main">
          <x14:cfRule type="dataBar" id="{0537DDA0-9A33-4864-A8CA-86DAFB4164C2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AH87</xm:sqref>
        </x14:conditionalFormatting>
        <x14:conditionalFormatting xmlns:xm="http://schemas.microsoft.com/office/excel/2006/main">
          <x14:cfRule type="dataBar" id="{235127CA-9933-4BDC-BDCD-4CB39371E91A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AH85:AH86</xm:sqref>
        </x14:conditionalFormatting>
        <x14:conditionalFormatting xmlns:xm="http://schemas.microsoft.com/office/excel/2006/main">
          <x14:cfRule type="dataBar" id="{9E40394D-DB3D-4D75-81B4-C19EE07D5808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AH91</xm:sqref>
        </x14:conditionalFormatting>
        <x14:conditionalFormatting xmlns:xm="http://schemas.microsoft.com/office/excel/2006/main">
          <x14:cfRule type="dataBar" id="{BDE45F46-38D3-49CB-B03A-E839CF054BF4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AH89:AH90</xm:sqref>
        </x14:conditionalFormatting>
        <x14:conditionalFormatting xmlns:xm="http://schemas.microsoft.com/office/excel/2006/main">
          <x14:cfRule type="dataBar" id="{4E6C84A7-DA74-41BC-B33C-897F35B50E12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AH101:AH103 AH95 AH97:AH99</xm:sqref>
        </x14:conditionalFormatting>
        <x14:conditionalFormatting xmlns:xm="http://schemas.microsoft.com/office/excel/2006/main">
          <x14:cfRule type="dataBar" id="{9C3A64F4-2C95-4A2A-AE9F-119A1905903E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AH93:AH94</xm:sqref>
        </x14:conditionalFormatting>
        <x14:conditionalFormatting xmlns:xm="http://schemas.microsoft.com/office/excel/2006/main">
          <x14:cfRule type="dataBar" id="{AF747B22-4378-413A-8976-5DC859B0D143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AH111</xm:sqref>
        </x14:conditionalFormatting>
        <x14:conditionalFormatting xmlns:xm="http://schemas.microsoft.com/office/excel/2006/main">
          <x14:cfRule type="dataBar" id="{C9710B9D-A439-4239-ABDB-8786D07EAC73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AH109:AH110</xm:sqref>
        </x14:conditionalFormatting>
        <x14:conditionalFormatting xmlns:xm="http://schemas.microsoft.com/office/excel/2006/main">
          <x14:cfRule type="dataBar" id="{5C78B468-C31C-4471-8961-58B11BF806B9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AH123</xm:sqref>
        </x14:conditionalFormatting>
        <x14:conditionalFormatting xmlns:xm="http://schemas.microsoft.com/office/excel/2006/main">
          <x14:cfRule type="dataBar" id="{C7E11836-689A-4FEE-B782-824C07A252E2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AH121:AH122</xm:sqref>
        </x14:conditionalFormatting>
        <x14:conditionalFormatting xmlns:xm="http://schemas.microsoft.com/office/excel/2006/main">
          <x14:cfRule type="dataBar" id="{8CB69F23-6351-4D67-95F2-9648C7BB2A10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AH115</xm:sqref>
        </x14:conditionalFormatting>
        <x14:conditionalFormatting xmlns:xm="http://schemas.microsoft.com/office/excel/2006/main">
          <x14:cfRule type="dataBar" id="{84FB380F-5747-4F8A-ABD0-198D11A8394E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AH113:AH114</xm:sqref>
        </x14:conditionalFormatting>
        <x14:conditionalFormatting xmlns:xm="http://schemas.microsoft.com/office/excel/2006/main">
          <x14:cfRule type="dataBar" id="{6309D934-8328-4140-94D8-81DB57A5C78B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AH15</xm:sqref>
        </x14:conditionalFormatting>
        <x14:conditionalFormatting xmlns:xm="http://schemas.microsoft.com/office/excel/2006/main">
          <x14:cfRule type="dataBar" id="{8D492049-B258-4F8D-8180-ED37D8E19548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AH13:AH14</xm:sqref>
        </x14:conditionalFormatting>
        <x14:conditionalFormatting xmlns:xm="http://schemas.microsoft.com/office/excel/2006/main">
          <x14:cfRule type="dataBar" id="{683A89DE-511A-41BC-933F-F6C5F99D61B2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AH119</xm:sqref>
        </x14:conditionalFormatting>
        <x14:conditionalFormatting xmlns:xm="http://schemas.microsoft.com/office/excel/2006/main">
          <x14:cfRule type="dataBar" id="{2DF68572-555D-4343-8584-E660213C518C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AH117:AH118</xm:sqref>
        </x14:conditionalFormatting>
        <x14:conditionalFormatting xmlns:xm="http://schemas.microsoft.com/office/excel/2006/main">
          <x14:cfRule type="dataBar" id="{DDA90C72-5305-44DC-AF0C-76E0EE1B448A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AH107</xm:sqref>
        </x14:conditionalFormatting>
        <x14:conditionalFormatting xmlns:xm="http://schemas.microsoft.com/office/excel/2006/main">
          <x14:cfRule type="dataBar" id="{99AD6FBB-6D59-4D3A-B1A3-88D1A28E129C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AH105:AH106</xm:sqref>
        </x14:conditionalFormatting>
        <x14:conditionalFormatting xmlns:xm="http://schemas.microsoft.com/office/excel/2006/main">
          <x14:cfRule type="dataBar" id="{7047E71B-B1B6-4F45-A1CC-81BD524B3896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AH59</xm:sqref>
        </x14:conditionalFormatting>
        <x14:conditionalFormatting xmlns:xm="http://schemas.microsoft.com/office/excel/2006/main">
          <x14:cfRule type="dataBar" id="{BF07CAF3-477B-46AB-B986-53ABFB839E4B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AH57:AH58</xm:sqref>
        </x14:conditionalFormatting>
        <x14:conditionalFormatting xmlns:xm="http://schemas.microsoft.com/office/excel/2006/main">
          <x14:cfRule type="dataBar" id="{BB36BA9B-9A36-4C84-B87B-3CE29997BB46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AH79</xm:sqref>
        </x14:conditionalFormatting>
        <x14:conditionalFormatting xmlns:xm="http://schemas.microsoft.com/office/excel/2006/main">
          <x14:cfRule type="dataBar" id="{CEDBB534-2B4B-4C77-A168-E3345E80C811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AH77:AH78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2" tint="-0.89999084444715716"/>
    <pageSetUpPr fitToPage="1"/>
  </sheetPr>
  <dimension ref="A1:AS1514"/>
  <sheetViews>
    <sheetView showGridLines="0" topLeftCell="N4" zoomScale="98" zoomScaleNormal="98" workbookViewId="0">
      <selection activeCell="AS7" sqref="AS7"/>
    </sheetView>
  </sheetViews>
  <sheetFormatPr baseColWidth="10" defaultColWidth="9.140625" defaultRowHeight="15" customHeight="1" x14ac:dyDescent="0.25"/>
  <cols>
    <col min="1" max="1" width="24.28515625" style="96" customWidth="1"/>
    <col min="2" max="2" width="6" style="96" customWidth="1"/>
    <col min="3" max="22" width="4" style="93" customWidth="1"/>
    <col min="23" max="23" width="4.42578125" style="93" customWidth="1"/>
    <col min="24" max="26" width="4" style="93" customWidth="1"/>
    <col min="27" max="27" width="4.42578125" style="93" customWidth="1"/>
    <col min="28" max="28" width="4.42578125" style="93" bestFit="1" customWidth="1"/>
    <col min="29" max="32" width="4" style="93" customWidth="1"/>
    <col min="33" max="33" width="4.42578125" style="93" bestFit="1" customWidth="1"/>
    <col min="34" max="34" width="10.7109375" style="94" customWidth="1"/>
    <col min="35" max="35" width="5.5703125" style="93" customWidth="1"/>
    <col min="36" max="36" width="5" style="75" customWidth="1"/>
    <col min="37" max="37" width="4.7109375" style="75" customWidth="1"/>
    <col min="38" max="38" width="4.5703125" style="75" customWidth="1"/>
    <col min="39" max="39" width="7" style="75" customWidth="1"/>
    <col min="40" max="40" width="8.85546875" style="75" customWidth="1"/>
    <col min="41" max="41" width="8.140625" style="75" customWidth="1"/>
    <col min="42" max="42" width="4.7109375" style="75" customWidth="1"/>
    <col min="43" max="44" width="6.7109375" style="75" customWidth="1"/>
    <col min="45" max="45" width="13.140625" style="75" customWidth="1"/>
    <col min="46" max="16384" width="9.140625" style="75"/>
  </cols>
  <sheetData>
    <row r="1" spans="1:45" s="8" customFormat="1" ht="50.25" customHeight="1" thickBot="1" x14ac:dyDescent="0.3">
      <c r="A1" s="1" t="s">
        <v>0</v>
      </c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3"/>
      <c r="AE1" s="3"/>
      <c r="AF1" s="4"/>
      <c r="AG1" s="5"/>
      <c r="AH1" s="5"/>
      <c r="AI1" s="6"/>
      <c r="AJ1" s="7"/>
      <c r="AK1" s="7"/>
      <c r="AL1" s="7"/>
      <c r="AM1" s="7"/>
      <c r="AN1" s="7"/>
      <c r="AO1" s="7"/>
      <c r="AP1" s="7"/>
      <c r="AQ1" s="7"/>
      <c r="AR1" s="7"/>
    </row>
    <row r="2" spans="1:45" s="18" customFormat="1" ht="30" customHeight="1" x14ac:dyDescent="0.25">
      <c r="A2" s="97">
        <v>43100</v>
      </c>
      <c r="B2" s="10"/>
      <c r="C2" s="11" t="s">
        <v>1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2">
        <v>2017</v>
      </c>
      <c r="AI2" s="13" t="s">
        <v>2</v>
      </c>
      <c r="AJ2" s="14"/>
      <c r="AK2" s="14"/>
      <c r="AL2" s="15"/>
      <c r="AM2" s="13" t="s">
        <v>3</v>
      </c>
      <c r="AN2" s="14"/>
      <c r="AO2" s="14"/>
      <c r="AP2" s="15"/>
      <c r="AQ2" s="16" t="s">
        <v>4</v>
      </c>
      <c r="AR2" s="17"/>
    </row>
    <row r="3" spans="1:45" s="27" customFormat="1" ht="15.75" customHeight="1" thickBot="1" x14ac:dyDescent="0.35">
      <c r="A3" s="98">
        <v>43070</v>
      </c>
      <c r="B3" s="10"/>
      <c r="C3" s="20" t="str">
        <f>TEXT(WEEKDAY(DATE(CalendrierAnnée,12,1),1),"jjj")</f>
        <v>ven</v>
      </c>
      <c r="D3" s="21" t="str">
        <f>TEXT(WEEKDAY(DATE(CalendrierAnnée,12,2),1),"jjj")</f>
        <v>sam</v>
      </c>
      <c r="E3" s="21" t="str">
        <f>TEXT(WEEKDAY(DATE(CalendrierAnnée,12,3),1),"jjj")</f>
        <v>dim</v>
      </c>
      <c r="F3" s="21" t="str">
        <f>TEXT(WEEKDAY(DATE(CalendrierAnnée,12,4),1),"jjj")</f>
        <v>lun</v>
      </c>
      <c r="G3" s="21" t="str">
        <f>TEXT(WEEKDAY(DATE(CalendrierAnnée,12,5),1),"jjj")</f>
        <v>mar</v>
      </c>
      <c r="H3" s="21" t="str">
        <f>TEXT(WEEKDAY(DATE(CalendrierAnnée,12,6),1),"jjj")</f>
        <v>mer</v>
      </c>
      <c r="I3" s="21" t="str">
        <f>TEXT(WEEKDAY(DATE(CalendrierAnnée,12,7),1),"jjj")</f>
        <v>jeu</v>
      </c>
      <c r="J3" s="21" t="str">
        <f>TEXT(WEEKDAY(DATE(CalendrierAnnée,12,8),1),"jjj")</f>
        <v>ven</v>
      </c>
      <c r="K3" s="21" t="str">
        <f>TEXT(WEEKDAY(DATE(CalendrierAnnée,12,9),1),"jjj")</f>
        <v>sam</v>
      </c>
      <c r="L3" s="21" t="str">
        <f>TEXT(WEEKDAY(DATE(CalendrierAnnée,12,10),1),"jjj")</f>
        <v>dim</v>
      </c>
      <c r="M3" s="21" t="str">
        <f>TEXT(WEEKDAY(DATE(CalendrierAnnée,12,11),1),"jjj")</f>
        <v>lun</v>
      </c>
      <c r="N3" s="21" t="str">
        <f>TEXT(WEEKDAY(DATE(CalendrierAnnée,12,12),1),"jjj")</f>
        <v>mar</v>
      </c>
      <c r="O3" s="21" t="str">
        <f>TEXT(WEEKDAY(DATE(CalendrierAnnée,12,13),1),"jjj")</f>
        <v>mer</v>
      </c>
      <c r="P3" s="21" t="str">
        <f>TEXT(WEEKDAY(DATE(CalendrierAnnée,12,14),1),"jjj")</f>
        <v>jeu</v>
      </c>
      <c r="Q3" s="21" t="str">
        <f>TEXT(WEEKDAY(DATE(CalendrierAnnée,12,15),1),"jjj")</f>
        <v>ven</v>
      </c>
      <c r="R3" s="21" t="str">
        <f>TEXT(WEEKDAY(DATE(CalendrierAnnée,12,16),1),"jjj")</f>
        <v>sam</v>
      </c>
      <c r="S3" s="21" t="str">
        <f>TEXT(WEEKDAY(DATE(CalendrierAnnée,12,17),1),"jjj")</f>
        <v>dim</v>
      </c>
      <c r="T3" s="21" t="str">
        <f>TEXT(WEEKDAY(DATE(CalendrierAnnée,12,18),1),"jjj")</f>
        <v>lun</v>
      </c>
      <c r="U3" s="21" t="str">
        <f>TEXT(WEEKDAY(DATE(CalendrierAnnée,12,19),1),"jjj")</f>
        <v>mar</v>
      </c>
      <c r="V3" s="21" t="str">
        <f>TEXT(WEEKDAY(DATE(CalendrierAnnée,12,20),1),"jjj")</f>
        <v>mer</v>
      </c>
      <c r="W3" s="21" t="str">
        <f>TEXT(WEEKDAY(DATE(CalendrierAnnée,12,21),1),"jjj")</f>
        <v>jeu</v>
      </c>
      <c r="X3" s="21" t="str">
        <f>TEXT(WEEKDAY(DATE(CalendrierAnnée,12,22),1),"jjj")</f>
        <v>ven</v>
      </c>
      <c r="Y3" s="21" t="str">
        <f>TEXT(WEEKDAY(DATE(CalendrierAnnée,12,23),1),"jjj")</f>
        <v>sam</v>
      </c>
      <c r="Z3" s="21" t="str">
        <f>TEXT(WEEKDAY(DATE(CalendrierAnnée,12,24),1),"jjj")</f>
        <v>dim</v>
      </c>
      <c r="AA3" s="21" t="str">
        <f>TEXT(WEEKDAY(DATE(CalendrierAnnée,12,25),1),"jjj")</f>
        <v>lun</v>
      </c>
      <c r="AB3" s="21" t="str">
        <f>TEXT(WEEKDAY(DATE(CalendrierAnnée,12,26),1),"jjj")</f>
        <v>mar</v>
      </c>
      <c r="AC3" s="21" t="str">
        <f>TEXT(WEEKDAY(DATE(CalendrierAnnée,12,27),1),"jjj")</f>
        <v>mer</v>
      </c>
      <c r="AD3" s="21" t="str">
        <f>TEXT(WEEKDAY(DATE(CalendrierAnnée,12,28),1),"jjj")</f>
        <v>jeu</v>
      </c>
      <c r="AE3" s="21" t="str">
        <f>TEXT(WEEKDAY(DATE(CalendrierAnnée,12,29),1),"jjj")</f>
        <v>ven</v>
      </c>
      <c r="AF3" s="21" t="str">
        <f>TEXT(WEEKDAY(DATE(CalendrierAnnée,12,30),1),"jjj")</f>
        <v>sam</v>
      </c>
      <c r="AG3" s="21" t="str">
        <f>TEXT(WEEKDAY(DATE(CalendrierAnnée,12,31),1),"jjj")</f>
        <v>dim</v>
      </c>
      <c r="AH3" s="12"/>
      <c r="AI3" s="22"/>
      <c r="AJ3" s="23"/>
      <c r="AK3" s="23"/>
      <c r="AL3" s="24"/>
      <c r="AM3" s="22"/>
      <c r="AN3" s="23"/>
      <c r="AO3" s="23"/>
      <c r="AP3" s="24"/>
      <c r="AQ3" s="25"/>
      <c r="AR3" s="26"/>
    </row>
    <row r="4" spans="1:45" s="40" customFormat="1" ht="63.75" customHeight="1" x14ac:dyDescent="0.25">
      <c r="A4" s="103" t="s">
        <v>22</v>
      </c>
      <c r="B4" s="29"/>
      <c r="C4" s="99" t="s">
        <v>25</v>
      </c>
      <c r="D4" s="32" t="s">
        <v>26</v>
      </c>
      <c r="E4" s="32" t="s">
        <v>27</v>
      </c>
      <c r="F4" s="32" t="s">
        <v>28</v>
      </c>
      <c r="G4" s="32" t="s">
        <v>29</v>
      </c>
      <c r="H4" s="32" t="s">
        <v>30</v>
      </c>
      <c r="I4" s="32" t="s">
        <v>31</v>
      </c>
      <c r="J4" s="32" t="s">
        <v>32</v>
      </c>
      <c r="K4" s="32" t="s">
        <v>33</v>
      </c>
      <c r="L4" s="32" t="s">
        <v>34</v>
      </c>
      <c r="M4" s="32" t="s">
        <v>35</v>
      </c>
      <c r="N4" s="32" t="s">
        <v>36</v>
      </c>
      <c r="O4" s="32" t="s">
        <v>37</v>
      </c>
      <c r="P4" s="32" t="s">
        <v>38</v>
      </c>
      <c r="Q4" s="32" t="s">
        <v>39</v>
      </c>
      <c r="R4" s="32" t="s">
        <v>40</v>
      </c>
      <c r="S4" s="32" t="s">
        <v>41</v>
      </c>
      <c r="T4" s="32" t="s">
        <v>42</v>
      </c>
      <c r="U4" s="32" t="s">
        <v>43</v>
      </c>
      <c r="V4" s="32" t="s">
        <v>44</v>
      </c>
      <c r="W4" s="32" t="s">
        <v>45</v>
      </c>
      <c r="X4" s="32" t="s">
        <v>46</v>
      </c>
      <c r="Y4" s="32" t="s">
        <v>47</v>
      </c>
      <c r="Z4" s="32" t="s">
        <v>48</v>
      </c>
      <c r="AA4" s="32" t="s">
        <v>49</v>
      </c>
      <c r="AB4" s="32" t="s">
        <v>50</v>
      </c>
      <c r="AC4" s="32" t="s">
        <v>51</v>
      </c>
      <c r="AD4" s="32" t="s">
        <v>52</v>
      </c>
      <c r="AE4" s="32" t="s">
        <v>53</v>
      </c>
      <c r="AF4" s="32" t="s">
        <v>54</v>
      </c>
      <c r="AG4" s="32" t="s">
        <v>55</v>
      </c>
      <c r="AH4" s="33" t="s">
        <v>6</v>
      </c>
      <c r="AI4" s="34" t="s">
        <v>7</v>
      </c>
      <c r="AJ4" s="35" t="s">
        <v>8</v>
      </c>
      <c r="AK4" s="36" t="s">
        <v>9</v>
      </c>
      <c r="AL4" s="37" t="s">
        <v>10</v>
      </c>
      <c r="AM4" s="38" t="s">
        <v>11</v>
      </c>
      <c r="AN4" s="38" t="s">
        <v>12</v>
      </c>
      <c r="AO4" s="38" t="s">
        <v>13</v>
      </c>
      <c r="AP4" s="39" t="s">
        <v>14</v>
      </c>
      <c r="AQ4" s="34" t="s">
        <v>7</v>
      </c>
      <c r="AR4" s="35" t="s">
        <v>8</v>
      </c>
      <c r="AS4" s="39" t="s">
        <v>56</v>
      </c>
    </row>
    <row r="5" spans="1:45" s="40" customFormat="1" ht="12.95" customHeight="1" x14ac:dyDescent="0.25">
      <c r="A5" s="41"/>
      <c r="B5" s="42" t="s">
        <v>15</v>
      </c>
      <c r="C5" s="67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43"/>
      <c r="AH5" s="44">
        <f>COUNTA(Décembre!$C5:$AG5)</f>
        <v>0</v>
      </c>
      <c r="AI5" s="45">
        <f>(COUNTIFS(Décembre!$C5:$AG5,("cp")))/2+Novembre!AI5</f>
        <v>6</v>
      </c>
      <c r="AJ5" s="45">
        <f>COUNTIFS(Décembre!$C5:$AG5,"RTT")/2+Novembre!AJ5</f>
        <v>0</v>
      </c>
      <c r="AK5" s="45">
        <f>COUNTIFS(Décembre!$C5:$AG5,"m")/2+Novembre!AK5</f>
        <v>0</v>
      </c>
      <c r="AL5" s="45">
        <f>COUNTIFS(Décembre!$C5:$AG5,"a")/2+Novembre!AL5</f>
        <v>0</v>
      </c>
      <c r="AM5" s="46"/>
      <c r="AN5" s="47"/>
      <c r="AO5" s="47"/>
      <c r="AP5" s="46"/>
      <c r="AQ5" s="47"/>
      <c r="AR5" s="47"/>
      <c r="AS5" s="47"/>
    </row>
    <row r="6" spans="1:45" s="40" customFormat="1" ht="12.95" customHeight="1" x14ac:dyDescent="0.25">
      <c r="A6" s="48">
        <v>41722</v>
      </c>
      <c r="B6" s="42" t="s">
        <v>16</v>
      </c>
      <c r="C6" s="67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3"/>
      <c r="AH6" s="44">
        <f>COUNTA(Décembre!$C6:$AG6)</f>
        <v>0</v>
      </c>
      <c r="AI6" s="45">
        <f>(COUNTIFS(Décembre!$C6:$AG6,("cp")))/2+Novembre!AI6</f>
        <v>6</v>
      </c>
      <c r="AJ6" s="45">
        <f>COUNTIFS(Décembre!$C6:$AG6,"RTT")/2+Novembre!AJ6</f>
        <v>0</v>
      </c>
      <c r="AK6" s="45">
        <f>COUNTIFS(Décembre!$C6:$AG6,"m")/2+Novembre!AK6</f>
        <v>0</v>
      </c>
      <c r="AL6" s="45">
        <f>COUNTIFS(Décembre!$C6:$AG6,"a")/2+Novembre!AL6</f>
        <v>0</v>
      </c>
      <c r="AM6" s="46"/>
      <c r="AN6" s="47"/>
      <c r="AO6" s="47"/>
      <c r="AP6" s="46"/>
      <c r="AQ6" s="47"/>
      <c r="AR6" s="47"/>
      <c r="AS6" s="101"/>
    </row>
    <row r="7" spans="1:45" s="40" customFormat="1" ht="12.95" customHeight="1" x14ac:dyDescent="0.25">
      <c r="A7" s="41"/>
      <c r="B7" s="42"/>
      <c r="C7" s="49" t="str">
        <f t="shared" ref="C7:AG7" si="0">IF(C5&gt;0,C5,IF(C6&gt;0,C6,""))</f>
        <v/>
      </c>
      <c r="D7" s="49" t="str">
        <f t="shared" si="0"/>
        <v/>
      </c>
      <c r="E7" s="49" t="str">
        <f t="shared" si="0"/>
        <v/>
      </c>
      <c r="F7" s="49" t="str">
        <f t="shared" si="0"/>
        <v/>
      </c>
      <c r="G7" s="49" t="str">
        <f t="shared" si="0"/>
        <v/>
      </c>
      <c r="H7" s="49" t="str">
        <f t="shared" si="0"/>
        <v/>
      </c>
      <c r="I7" s="49" t="str">
        <f t="shared" si="0"/>
        <v/>
      </c>
      <c r="J7" s="49" t="str">
        <f t="shared" si="0"/>
        <v/>
      </c>
      <c r="K7" s="49" t="str">
        <f t="shared" si="0"/>
        <v/>
      </c>
      <c r="L7" s="49" t="str">
        <f t="shared" si="0"/>
        <v/>
      </c>
      <c r="M7" s="49" t="str">
        <f t="shared" si="0"/>
        <v/>
      </c>
      <c r="N7" s="49" t="str">
        <f t="shared" si="0"/>
        <v/>
      </c>
      <c r="O7" s="49" t="str">
        <f t="shared" si="0"/>
        <v/>
      </c>
      <c r="P7" s="49" t="str">
        <f t="shared" si="0"/>
        <v/>
      </c>
      <c r="Q7" s="49" t="str">
        <f t="shared" si="0"/>
        <v/>
      </c>
      <c r="R7" s="49" t="str">
        <f t="shared" si="0"/>
        <v/>
      </c>
      <c r="S7" s="49" t="str">
        <f t="shared" si="0"/>
        <v/>
      </c>
      <c r="T7" s="49" t="str">
        <f t="shared" si="0"/>
        <v/>
      </c>
      <c r="U7" s="49" t="str">
        <f t="shared" si="0"/>
        <v/>
      </c>
      <c r="V7" s="49" t="str">
        <f t="shared" si="0"/>
        <v/>
      </c>
      <c r="W7" s="49" t="str">
        <f t="shared" si="0"/>
        <v/>
      </c>
      <c r="X7" s="49" t="str">
        <f t="shared" si="0"/>
        <v/>
      </c>
      <c r="Y7" s="49" t="str">
        <f t="shared" si="0"/>
        <v/>
      </c>
      <c r="Z7" s="49" t="str">
        <f t="shared" si="0"/>
        <v/>
      </c>
      <c r="AA7" s="49" t="str">
        <f t="shared" si="0"/>
        <v/>
      </c>
      <c r="AB7" s="49" t="str">
        <f t="shared" si="0"/>
        <v/>
      </c>
      <c r="AC7" s="49" t="str">
        <f t="shared" si="0"/>
        <v/>
      </c>
      <c r="AD7" s="49" t="str">
        <f t="shared" si="0"/>
        <v/>
      </c>
      <c r="AE7" s="49" t="str">
        <f t="shared" si="0"/>
        <v/>
      </c>
      <c r="AF7" s="49" t="str">
        <f t="shared" si="0"/>
        <v/>
      </c>
      <c r="AG7" s="49" t="str">
        <f t="shared" si="0"/>
        <v/>
      </c>
      <c r="AH7" s="44">
        <f>SUM(AH5:AH6)</f>
        <v>0</v>
      </c>
      <c r="AI7" s="45">
        <f>SUM(AI5:AI6)</f>
        <v>12</v>
      </c>
      <c r="AJ7" s="45">
        <f>SUM(AJ5:AJ6)</f>
        <v>0</v>
      </c>
      <c r="AK7" s="45">
        <f>SUM(AK5:AK6)</f>
        <v>0</v>
      </c>
      <c r="AL7" s="45">
        <f>SUM(AL5:AL6)</f>
        <v>0</v>
      </c>
      <c r="AM7" s="50">
        <f>Juin!AM7</f>
        <v>9.15</v>
      </c>
      <c r="AN7" s="51">
        <f>IF(A6="","",IF(A6&gt;NomMois,0,IF(A6&lt;$A$3,2.08,(NETWORKDAYS(A6,$A$2)/21.66667)*2.08)))</f>
        <v>2.08</v>
      </c>
      <c r="AO7" s="51">
        <f>IF( AN7="",0,+AN7+Novembre!AO7)</f>
        <v>14.56</v>
      </c>
      <c r="AP7" s="50"/>
      <c r="AQ7" s="45">
        <f>+AM7-AI7</f>
        <v>-2.8499999999999996</v>
      </c>
      <c r="AR7" s="45">
        <f>+AP7-AJ7</f>
        <v>0</v>
      </c>
      <c r="AS7" s="102">
        <f>+AO7+AQ7</f>
        <v>11.71</v>
      </c>
    </row>
    <row r="8" spans="1:45" s="40" customFormat="1" ht="6.75" customHeight="1" x14ac:dyDescent="0.25">
      <c r="A8" s="52"/>
      <c r="B8" s="53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  <c r="AF8" s="52"/>
      <c r="AG8" s="52"/>
      <c r="AH8" s="54"/>
      <c r="AI8" s="54"/>
      <c r="AJ8" s="54"/>
      <c r="AK8" s="54"/>
      <c r="AL8" s="54"/>
      <c r="AM8" s="52"/>
      <c r="AN8" s="55"/>
      <c r="AO8" s="55"/>
      <c r="AP8" s="56"/>
      <c r="AQ8" s="58"/>
      <c r="AR8" s="58"/>
      <c r="AS8" s="65"/>
    </row>
    <row r="9" spans="1:45" s="40" customFormat="1" ht="12.95" customHeight="1" x14ac:dyDescent="0.25">
      <c r="A9" s="41"/>
      <c r="B9" s="42" t="s">
        <v>15</v>
      </c>
      <c r="C9" s="67"/>
      <c r="D9" s="43"/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  <c r="AA9" s="43"/>
      <c r="AB9" s="43"/>
      <c r="AC9" s="43"/>
      <c r="AD9" s="43"/>
      <c r="AE9" s="43"/>
      <c r="AF9" s="43"/>
      <c r="AG9" s="43"/>
      <c r="AH9" s="44">
        <f>COUNTA(Décembre!$C9:$AG9)</f>
        <v>0</v>
      </c>
      <c r="AI9" s="45">
        <f>(COUNTIFS(Décembre!$C9:$AG9,("cp")))/2+Novembre!AI9</f>
        <v>3.5</v>
      </c>
      <c r="AJ9" s="45">
        <f>COUNTIFS(Décembre!$C9:$AG9,"RTT")/2+Novembre!AJ9</f>
        <v>0</v>
      </c>
      <c r="AK9" s="45">
        <f>COUNTIFS(Décembre!$C9:$AG9,"m")/2+Novembre!AK9</f>
        <v>0</v>
      </c>
      <c r="AL9" s="45">
        <f>COUNTIFS(Décembre!$C9:$AG9,"a")/2+Novembre!AL9</f>
        <v>0</v>
      </c>
      <c r="AM9" s="46"/>
      <c r="AN9" s="47"/>
      <c r="AO9" s="47"/>
      <c r="AP9" s="46"/>
      <c r="AQ9" s="47"/>
      <c r="AR9" s="47"/>
      <c r="AS9" s="47"/>
    </row>
    <row r="10" spans="1:45" s="40" customFormat="1" ht="12.95" customHeight="1" x14ac:dyDescent="0.25">
      <c r="A10" s="48">
        <v>42740</v>
      </c>
      <c r="B10" s="42" t="s">
        <v>16</v>
      </c>
      <c r="C10" s="67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3"/>
      <c r="AG10" s="43"/>
      <c r="AH10" s="44">
        <f>COUNTA(Décembre!$C10:$AG10)</f>
        <v>0</v>
      </c>
      <c r="AI10" s="45">
        <f>(COUNTIFS(Décembre!$C10:$AG10,("cp")))/2+Novembre!AI10</f>
        <v>3.5</v>
      </c>
      <c r="AJ10" s="45">
        <f>COUNTIFS(Décembre!$C10:$AG10,"RTT")/2+Novembre!AJ10</f>
        <v>0</v>
      </c>
      <c r="AK10" s="45">
        <f>COUNTIFS(Décembre!$C10:$AG10,"m")/2+Novembre!AK10</f>
        <v>0</v>
      </c>
      <c r="AL10" s="45">
        <f>COUNTIFS(Décembre!$C10:$AG10,"a")/2+Novembre!AL10</f>
        <v>0</v>
      </c>
      <c r="AM10" s="46"/>
      <c r="AN10" s="47"/>
      <c r="AO10" s="47"/>
      <c r="AP10" s="46"/>
      <c r="AQ10" s="47"/>
      <c r="AR10" s="47"/>
      <c r="AS10" s="101"/>
    </row>
    <row r="11" spans="1:45" s="40" customFormat="1" ht="12.95" customHeight="1" x14ac:dyDescent="0.25">
      <c r="A11" s="41"/>
      <c r="B11" s="42"/>
      <c r="C11" s="49" t="str">
        <f t="shared" ref="C11:AG11" si="1">IF(C9&gt;0,C9,IF(C10&gt;0,C10,""))</f>
        <v/>
      </c>
      <c r="D11" s="49" t="str">
        <f t="shared" si="1"/>
        <v/>
      </c>
      <c r="E11" s="49" t="str">
        <f t="shared" si="1"/>
        <v/>
      </c>
      <c r="F11" s="49" t="str">
        <f t="shared" si="1"/>
        <v/>
      </c>
      <c r="G11" s="49" t="str">
        <f t="shared" si="1"/>
        <v/>
      </c>
      <c r="H11" s="49" t="str">
        <f t="shared" si="1"/>
        <v/>
      </c>
      <c r="I11" s="49" t="str">
        <f t="shared" si="1"/>
        <v/>
      </c>
      <c r="J11" s="49" t="str">
        <f t="shared" si="1"/>
        <v/>
      </c>
      <c r="K11" s="49" t="str">
        <f t="shared" si="1"/>
        <v/>
      </c>
      <c r="L11" s="49" t="str">
        <f t="shared" si="1"/>
        <v/>
      </c>
      <c r="M11" s="49" t="str">
        <f t="shared" si="1"/>
        <v/>
      </c>
      <c r="N11" s="49" t="str">
        <f t="shared" si="1"/>
        <v/>
      </c>
      <c r="O11" s="49" t="str">
        <f t="shared" si="1"/>
        <v/>
      </c>
      <c r="P11" s="49" t="str">
        <f t="shared" si="1"/>
        <v/>
      </c>
      <c r="Q11" s="49" t="str">
        <f t="shared" si="1"/>
        <v/>
      </c>
      <c r="R11" s="49" t="str">
        <f t="shared" si="1"/>
        <v/>
      </c>
      <c r="S11" s="49" t="str">
        <f t="shared" si="1"/>
        <v/>
      </c>
      <c r="T11" s="49" t="str">
        <f t="shared" si="1"/>
        <v/>
      </c>
      <c r="U11" s="49" t="str">
        <f t="shared" si="1"/>
        <v/>
      </c>
      <c r="V11" s="49" t="str">
        <f t="shared" si="1"/>
        <v/>
      </c>
      <c r="W11" s="49" t="str">
        <f t="shared" si="1"/>
        <v/>
      </c>
      <c r="X11" s="49" t="str">
        <f t="shared" si="1"/>
        <v/>
      </c>
      <c r="Y11" s="49" t="str">
        <f t="shared" si="1"/>
        <v/>
      </c>
      <c r="Z11" s="49" t="str">
        <f t="shared" si="1"/>
        <v/>
      </c>
      <c r="AA11" s="49" t="str">
        <f t="shared" si="1"/>
        <v/>
      </c>
      <c r="AB11" s="49" t="str">
        <f t="shared" si="1"/>
        <v/>
      </c>
      <c r="AC11" s="49" t="str">
        <f t="shared" si="1"/>
        <v/>
      </c>
      <c r="AD11" s="49" t="str">
        <f t="shared" si="1"/>
        <v/>
      </c>
      <c r="AE11" s="49" t="str">
        <f t="shared" si="1"/>
        <v/>
      </c>
      <c r="AF11" s="49" t="str">
        <f t="shared" si="1"/>
        <v/>
      </c>
      <c r="AG11" s="49" t="str">
        <f t="shared" si="1"/>
        <v/>
      </c>
      <c r="AH11" s="44">
        <f>SUM(AH9:AH10)</f>
        <v>0</v>
      </c>
      <c r="AI11" s="45">
        <f>SUM(AI9:AI10)</f>
        <v>7</v>
      </c>
      <c r="AJ11" s="45">
        <f>SUM(AJ9:AJ10)</f>
        <v>0</v>
      </c>
      <c r="AK11" s="45">
        <f>SUM(AK9:AK10)</f>
        <v>0</v>
      </c>
      <c r="AL11" s="45">
        <f>SUM(AL9:AL10)</f>
        <v>0</v>
      </c>
      <c r="AM11" s="50">
        <f>Juin!AM11</f>
        <v>10.32</v>
      </c>
      <c r="AN11" s="51">
        <f>IF(A10="","",IF(A10&gt;NomMois,0,IF(A10&lt;$A$3,2.08,(NETWORKDAYS(A10,$A$2)/21.66667)*2.08)))</f>
        <v>2.08</v>
      </c>
      <c r="AO11" s="51">
        <f>IF( AN11="",0,+AN11+Novembre!AO11)</f>
        <v>14.56</v>
      </c>
      <c r="AP11" s="50"/>
      <c r="AQ11" s="45">
        <f>+AM11-AI11</f>
        <v>3.3200000000000003</v>
      </c>
      <c r="AR11" s="45">
        <f>+AP11-AJ11</f>
        <v>0</v>
      </c>
      <c r="AS11" s="102">
        <f>+AO11+AQ11</f>
        <v>17.880000000000003</v>
      </c>
    </row>
    <row r="12" spans="1:45" s="63" customFormat="1" ht="6.75" customHeight="1" x14ac:dyDescent="0.25">
      <c r="A12" s="60"/>
      <c r="B12" s="53"/>
      <c r="C12" s="60"/>
      <c r="D12" s="60"/>
      <c r="E12" s="60"/>
      <c r="F12" s="60"/>
      <c r="G12" s="60"/>
      <c r="H12" s="60"/>
      <c r="I12" s="60"/>
      <c r="J12" s="60"/>
      <c r="K12" s="60"/>
      <c r="L12" s="60"/>
      <c r="M12" s="60"/>
      <c r="N12" s="60"/>
      <c r="O12" s="60"/>
      <c r="P12" s="60"/>
      <c r="Q12" s="60"/>
      <c r="R12" s="60"/>
      <c r="S12" s="60"/>
      <c r="T12" s="60"/>
      <c r="U12" s="60"/>
      <c r="V12" s="60"/>
      <c r="W12" s="60"/>
      <c r="X12" s="60"/>
      <c r="Y12" s="60"/>
      <c r="Z12" s="60"/>
      <c r="AA12" s="60"/>
      <c r="AB12" s="60"/>
      <c r="AC12" s="60"/>
      <c r="AD12" s="60"/>
      <c r="AE12" s="60"/>
      <c r="AF12" s="60"/>
      <c r="AG12" s="60"/>
      <c r="AH12" s="61"/>
      <c r="AI12" s="61"/>
      <c r="AJ12" s="61"/>
      <c r="AK12" s="61"/>
      <c r="AL12" s="61"/>
      <c r="AM12" s="60"/>
      <c r="AN12" s="61"/>
      <c r="AO12" s="61"/>
      <c r="AP12" s="60"/>
      <c r="AQ12" s="61"/>
      <c r="AR12" s="61"/>
      <c r="AS12" s="65"/>
    </row>
    <row r="13" spans="1:45" s="79" customFormat="1" ht="12.95" customHeight="1" x14ac:dyDescent="0.25">
      <c r="A13" s="41"/>
      <c r="B13" s="42" t="s">
        <v>15</v>
      </c>
      <c r="C13" s="67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43"/>
      <c r="AB13" s="43"/>
      <c r="AC13" s="43"/>
      <c r="AD13" s="43"/>
      <c r="AE13" s="43"/>
      <c r="AF13" s="43"/>
      <c r="AG13" s="43"/>
      <c r="AH13" s="44">
        <f>COUNTA(Décembre!$C13:$AG13)</f>
        <v>0</v>
      </c>
      <c r="AI13" s="45">
        <f>(COUNTIFS(Décembre!$C13:$AG13,("cp")))/2+Novembre!AI13</f>
        <v>0.5</v>
      </c>
      <c r="AJ13" s="45">
        <f>COUNTIFS(Décembre!$C13:$AG13,"RTT")/2+Novembre!AJ13</f>
        <v>0</v>
      </c>
      <c r="AK13" s="45">
        <f>COUNTIFS(Décembre!$C13:$AG13,"m")/2+Novembre!AK13</f>
        <v>0</v>
      </c>
      <c r="AL13" s="45">
        <f>COUNTIFS(Décembre!$C13:$AG13,"a")/2+Novembre!AL13</f>
        <v>1.5</v>
      </c>
      <c r="AM13" s="46"/>
      <c r="AN13" s="47"/>
      <c r="AO13" s="47"/>
      <c r="AP13" s="46"/>
      <c r="AQ13" s="47"/>
      <c r="AR13" s="47"/>
      <c r="AS13" s="47"/>
    </row>
    <row r="14" spans="1:45" s="79" customFormat="1" ht="12.95" customHeight="1" x14ac:dyDescent="0.25">
      <c r="A14" s="48"/>
      <c r="B14" s="42" t="s">
        <v>16</v>
      </c>
      <c r="C14" s="67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4">
        <f>COUNTA(Décembre!$C14:$AG14)</f>
        <v>0</v>
      </c>
      <c r="AI14" s="45">
        <f>(COUNTIFS(Décembre!$C14:$AG14,("cp")))/2+Novembre!AI14</f>
        <v>0.5</v>
      </c>
      <c r="AJ14" s="45">
        <f>COUNTIFS(Décembre!$C14:$AG14,"RTT")/2+Novembre!AJ14</f>
        <v>0</v>
      </c>
      <c r="AK14" s="45">
        <f>COUNTIFS(Décembre!$C14:$AG14,"m")/2+Novembre!AK14</f>
        <v>0</v>
      </c>
      <c r="AL14" s="45">
        <f>COUNTIFS(Décembre!$C14:$AG14,"a")/2+Novembre!AL14</f>
        <v>1</v>
      </c>
      <c r="AM14" s="46"/>
      <c r="AN14" s="47"/>
      <c r="AO14" s="47"/>
      <c r="AP14" s="46"/>
      <c r="AQ14" s="47"/>
      <c r="AR14" s="47"/>
      <c r="AS14" s="101">
        <v>43014</v>
      </c>
    </row>
    <row r="15" spans="1:45" s="79" customFormat="1" ht="12.95" customHeight="1" x14ac:dyDescent="0.25">
      <c r="A15" s="41"/>
      <c r="B15" s="42"/>
      <c r="C15" s="49" t="str">
        <f t="shared" ref="C15:AG15" si="2">IF(C13&gt;0,C13,IF(C14&gt;0,C14,""))</f>
        <v/>
      </c>
      <c r="D15" s="49" t="str">
        <f t="shared" si="2"/>
        <v/>
      </c>
      <c r="E15" s="49" t="str">
        <f t="shared" si="2"/>
        <v/>
      </c>
      <c r="F15" s="49" t="str">
        <f t="shared" si="2"/>
        <v/>
      </c>
      <c r="G15" s="49" t="str">
        <f t="shared" si="2"/>
        <v/>
      </c>
      <c r="H15" s="49" t="str">
        <f t="shared" si="2"/>
        <v/>
      </c>
      <c r="I15" s="49" t="str">
        <f t="shared" si="2"/>
        <v/>
      </c>
      <c r="J15" s="49" t="str">
        <f t="shared" si="2"/>
        <v/>
      </c>
      <c r="K15" s="49" t="str">
        <f t="shared" si="2"/>
        <v/>
      </c>
      <c r="L15" s="49" t="str">
        <f t="shared" si="2"/>
        <v/>
      </c>
      <c r="M15" s="49" t="str">
        <f t="shared" si="2"/>
        <v/>
      </c>
      <c r="N15" s="49" t="str">
        <f t="shared" si="2"/>
        <v/>
      </c>
      <c r="O15" s="49" t="str">
        <f t="shared" si="2"/>
        <v/>
      </c>
      <c r="P15" s="49" t="str">
        <f t="shared" si="2"/>
        <v/>
      </c>
      <c r="Q15" s="49" t="str">
        <f t="shared" si="2"/>
        <v/>
      </c>
      <c r="R15" s="49" t="str">
        <f t="shared" si="2"/>
        <v/>
      </c>
      <c r="S15" s="49" t="str">
        <f t="shared" si="2"/>
        <v/>
      </c>
      <c r="T15" s="49" t="str">
        <f t="shared" si="2"/>
        <v/>
      </c>
      <c r="U15" s="49" t="str">
        <f t="shared" si="2"/>
        <v/>
      </c>
      <c r="V15" s="49" t="str">
        <f t="shared" si="2"/>
        <v/>
      </c>
      <c r="W15" s="49" t="str">
        <f t="shared" si="2"/>
        <v/>
      </c>
      <c r="X15" s="49" t="str">
        <f t="shared" si="2"/>
        <v/>
      </c>
      <c r="Y15" s="49" t="str">
        <f t="shared" si="2"/>
        <v/>
      </c>
      <c r="Z15" s="49" t="str">
        <f t="shared" si="2"/>
        <v/>
      </c>
      <c r="AA15" s="49" t="str">
        <f t="shared" si="2"/>
        <v/>
      </c>
      <c r="AB15" s="49" t="str">
        <f t="shared" si="2"/>
        <v/>
      </c>
      <c r="AC15" s="49" t="str">
        <f t="shared" si="2"/>
        <v/>
      </c>
      <c r="AD15" s="49" t="str">
        <f t="shared" si="2"/>
        <v/>
      </c>
      <c r="AE15" s="49" t="str">
        <f t="shared" si="2"/>
        <v/>
      </c>
      <c r="AF15" s="49" t="str">
        <f t="shared" si="2"/>
        <v/>
      </c>
      <c r="AG15" s="49" t="str">
        <f t="shared" si="2"/>
        <v/>
      </c>
      <c r="AH15" s="44">
        <f>SUM(AH13:AH14)</f>
        <v>0</v>
      </c>
      <c r="AI15" s="45">
        <f>SUM(AI13:AI14)</f>
        <v>1</v>
      </c>
      <c r="AJ15" s="45">
        <f>SUM(AJ13:AJ14)</f>
        <v>0</v>
      </c>
      <c r="AK15" s="45">
        <f>SUM(AK13:AK14)</f>
        <v>0</v>
      </c>
      <c r="AL15" s="45">
        <f>SUM(AL13:AL14)</f>
        <v>2.5</v>
      </c>
      <c r="AM15" s="50">
        <f>Juin!AM15</f>
        <v>0</v>
      </c>
      <c r="AN15" s="51" t="str">
        <f>IF(A14="","",IF(A14&gt;NomMois,0,IF(A14&lt;$A$3,2.08,(NETWORKDAYS(A14,$A$2)/21.66667)*2.08)))</f>
        <v/>
      </c>
      <c r="AO15" s="51">
        <f>IF( AN15="",0,+AN15+Novembre!AO15)</f>
        <v>0</v>
      </c>
      <c r="AP15" s="50"/>
      <c r="AQ15" s="45">
        <f>+AM15-AI15</f>
        <v>-1</v>
      </c>
      <c r="AR15" s="45">
        <f>+AP15-AJ15</f>
        <v>0</v>
      </c>
      <c r="AS15" s="102">
        <f>+AO15+AQ15</f>
        <v>-1</v>
      </c>
    </row>
    <row r="16" spans="1:45" s="63" customFormat="1" ht="6.75" customHeight="1" x14ac:dyDescent="0.25">
      <c r="A16" s="60"/>
      <c r="B16" s="42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  <c r="N16" s="64"/>
      <c r="O16" s="64"/>
      <c r="P16" s="64"/>
      <c r="Q16" s="64"/>
      <c r="R16" s="64"/>
      <c r="S16" s="64"/>
      <c r="T16" s="64"/>
      <c r="U16" s="64"/>
      <c r="V16" s="64"/>
      <c r="W16" s="64"/>
      <c r="X16" s="64"/>
      <c r="Y16" s="64"/>
      <c r="Z16" s="64"/>
      <c r="AA16" s="64"/>
      <c r="AB16" s="64"/>
      <c r="AC16" s="64"/>
      <c r="AD16" s="64"/>
      <c r="AE16" s="64"/>
      <c r="AF16" s="64"/>
      <c r="AG16" s="64"/>
      <c r="AH16" s="65"/>
      <c r="AI16" s="65"/>
      <c r="AJ16" s="65"/>
      <c r="AK16" s="65"/>
      <c r="AL16" s="65"/>
      <c r="AM16" s="64"/>
      <c r="AN16" s="65"/>
      <c r="AO16" s="65"/>
      <c r="AP16" s="64"/>
      <c r="AQ16" s="65"/>
      <c r="AR16" s="65"/>
      <c r="AS16" s="65"/>
    </row>
    <row r="17" spans="1:45" s="63" customFormat="1" ht="12.95" customHeight="1" x14ac:dyDescent="0.25">
      <c r="A17" s="41"/>
      <c r="B17" s="42" t="s">
        <v>15</v>
      </c>
      <c r="C17" s="67"/>
      <c r="D17" s="67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 t="s">
        <v>7</v>
      </c>
      <c r="W17" s="43" t="s">
        <v>7</v>
      </c>
      <c r="X17" s="43" t="s">
        <v>7</v>
      </c>
      <c r="Y17" s="43"/>
      <c r="Z17" s="43"/>
      <c r="AA17" s="43"/>
      <c r="AB17" s="43"/>
      <c r="AC17" s="43"/>
      <c r="AD17" s="43"/>
      <c r="AE17" s="43"/>
      <c r="AF17" s="43"/>
      <c r="AG17" s="43"/>
      <c r="AH17" s="44">
        <f>COUNTA(Décembre!$C17:$AG17)</f>
        <v>3</v>
      </c>
      <c r="AI17" s="45">
        <f>(COUNTIFS(Décembre!$C17:$AG17,("cp")))/2+Novembre!AI17</f>
        <v>6.5</v>
      </c>
      <c r="AJ17" s="45">
        <f>COUNTIFS(Décembre!$C17:$AG17,"RTT")/2+Novembre!AJ17</f>
        <v>0</v>
      </c>
      <c r="AK17" s="45">
        <f>COUNTIFS(Décembre!$C17:$AG17,"m")/2+Novembre!AK17</f>
        <v>0</v>
      </c>
      <c r="AL17" s="45">
        <f>COUNTIFS(Décembre!$C17:$AG17,"a")/2+Novembre!AL17</f>
        <v>0</v>
      </c>
      <c r="AM17" s="46"/>
      <c r="AN17" s="47"/>
      <c r="AO17" s="47"/>
      <c r="AP17" s="46"/>
      <c r="AQ17" s="47"/>
      <c r="AR17" s="47"/>
      <c r="AS17" s="47"/>
    </row>
    <row r="18" spans="1:45" s="63" customFormat="1" ht="12.95" customHeight="1" x14ac:dyDescent="0.25">
      <c r="A18" s="48">
        <v>38923</v>
      </c>
      <c r="B18" s="42" t="s">
        <v>16</v>
      </c>
      <c r="C18" s="67"/>
      <c r="D18" s="67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 t="s">
        <v>7</v>
      </c>
      <c r="W18" s="43" t="s">
        <v>7</v>
      </c>
      <c r="X18" s="43" t="s">
        <v>7</v>
      </c>
      <c r="Y18" s="43"/>
      <c r="Z18" s="43"/>
      <c r="AA18" s="43"/>
      <c r="AB18" s="43"/>
      <c r="AC18" s="43"/>
      <c r="AD18" s="43"/>
      <c r="AE18" s="43"/>
      <c r="AF18" s="43"/>
      <c r="AG18" s="43"/>
      <c r="AH18" s="44">
        <f>COUNTA(Décembre!$C18:$AG18)</f>
        <v>3</v>
      </c>
      <c r="AI18" s="45">
        <f>(COUNTIFS(Décembre!$C18:$AG18,("cp")))/2+Novembre!AI18</f>
        <v>6.5</v>
      </c>
      <c r="AJ18" s="45">
        <f>COUNTIFS(Décembre!$C18:$AG18,"RTT")/2+Novembre!AJ18</f>
        <v>0</v>
      </c>
      <c r="AK18" s="45">
        <f>COUNTIFS(Décembre!$C18:$AG18,"m")/2+Novembre!AK18</f>
        <v>0</v>
      </c>
      <c r="AL18" s="45">
        <f>COUNTIFS(Décembre!$C18:$AG18,"a")/2+Novembre!AL18</f>
        <v>0</v>
      </c>
      <c r="AM18" s="46"/>
      <c r="AN18" s="47"/>
      <c r="AO18" s="47"/>
      <c r="AP18" s="46"/>
      <c r="AQ18" s="47"/>
      <c r="AR18" s="47"/>
      <c r="AS18" s="101"/>
    </row>
    <row r="19" spans="1:45" s="63" customFormat="1" ht="12.95" customHeight="1" x14ac:dyDescent="0.25">
      <c r="A19" s="41"/>
      <c r="B19" s="42"/>
      <c r="C19" s="49" t="str">
        <f t="shared" ref="C19:AG19" si="3">IF(C17&gt;0,C17,IF(C18&gt;0,C18,""))</f>
        <v/>
      </c>
      <c r="D19" s="49" t="str">
        <f t="shared" si="3"/>
        <v/>
      </c>
      <c r="E19" s="49" t="str">
        <f t="shared" si="3"/>
        <v/>
      </c>
      <c r="F19" s="49" t="str">
        <f t="shared" si="3"/>
        <v/>
      </c>
      <c r="G19" s="49" t="str">
        <f t="shared" si="3"/>
        <v/>
      </c>
      <c r="H19" s="49" t="str">
        <f t="shared" si="3"/>
        <v/>
      </c>
      <c r="I19" s="49" t="str">
        <f t="shared" si="3"/>
        <v/>
      </c>
      <c r="J19" s="49" t="str">
        <f t="shared" si="3"/>
        <v/>
      </c>
      <c r="K19" s="49" t="str">
        <f t="shared" si="3"/>
        <v/>
      </c>
      <c r="L19" s="49" t="str">
        <f t="shared" si="3"/>
        <v/>
      </c>
      <c r="M19" s="49" t="str">
        <f t="shared" si="3"/>
        <v/>
      </c>
      <c r="N19" s="49" t="str">
        <f t="shared" si="3"/>
        <v/>
      </c>
      <c r="O19" s="49" t="str">
        <f t="shared" si="3"/>
        <v/>
      </c>
      <c r="P19" s="49" t="str">
        <f t="shared" si="3"/>
        <v/>
      </c>
      <c r="Q19" s="49" t="str">
        <f t="shared" si="3"/>
        <v/>
      </c>
      <c r="R19" s="49" t="str">
        <f t="shared" si="3"/>
        <v/>
      </c>
      <c r="S19" s="49" t="str">
        <f t="shared" si="3"/>
        <v/>
      </c>
      <c r="T19" s="49" t="str">
        <f t="shared" si="3"/>
        <v/>
      </c>
      <c r="U19" s="49" t="str">
        <f t="shared" si="3"/>
        <v/>
      </c>
      <c r="V19" s="49" t="str">
        <f t="shared" si="3"/>
        <v>CP</v>
      </c>
      <c r="W19" s="49" t="str">
        <f t="shared" si="3"/>
        <v>CP</v>
      </c>
      <c r="X19" s="49" t="str">
        <f t="shared" si="3"/>
        <v>CP</v>
      </c>
      <c r="Y19" s="49" t="str">
        <f t="shared" si="3"/>
        <v/>
      </c>
      <c r="Z19" s="49" t="str">
        <f t="shared" si="3"/>
        <v/>
      </c>
      <c r="AA19" s="49" t="str">
        <f t="shared" si="3"/>
        <v/>
      </c>
      <c r="AB19" s="49" t="str">
        <f t="shared" si="3"/>
        <v/>
      </c>
      <c r="AC19" s="49" t="str">
        <f t="shared" si="3"/>
        <v/>
      </c>
      <c r="AD19" s="49" t="str">
        <f t="shared" si="3"/>
        <v/>
      </c>
      <c r="AE19" s="49" t="str">
        <f t="shared" si="3"/>
        <v/>
      </c>
      <c r="AF19" s="49" t="str">
        <f t="shared" si="3"/>
        <v/>
      </c>
      <c r="AG19" s="49" t="str">
        <f t="shared" si="3"/>
        <v/>
      </c>
      <c r="AH19" s="44">
        <f>SUM(AH17:AH18)</f>
        <v>6</v>
      </c>
      <c r="AI19" s="45">
        <f>SUM(AI17:AI18)</f>
        <v>13</v>
      </c>
      <c r="AJ19" s="45">
        <f>SUM(AJ17:AJ18)</f>
        <v>0</v>
      </c>
      <c r="AK19" s="45">
        <f>SUM(AK17:AK18)</f>
        <v>0</v>
      </c>
      <c r="AL19" s="45">
        <f>SUM(AL17:AL18)</f>
        <v>0</v>
      </c>
      <c r="AM19" s="50">
        <f>Juin!AM19</f>
        <v>24.54</v>
      </c>
      <c r="AN19" s="51">
        <f>IF(A18="","",IF(A18&gt;NomMois,0,IF(A18&lt;$A$3,2.08,(NETWORKDAYS(A18,$A$2)/21.66667)*2.08)))</f>
        <v>2.08</v>
      </c>
      <c r="AO19" s="51">
        <f>IF( AN19="",0,+AN19+Novembre!AO19)</f>
        <v>14.56</v>
      </c>
      <c r="AP19" s="50"/>
      <c r="AQ19" s="45">
        <f>+AM19-AI19</f>
        <v>11.54</v>
      </c>
      <c r="AR19" s="45">
        <f>+AP19-AJ19</f>
        <v>0</v>
      </c>
      <c r="AS19" s="102">
        <f t="shared" ref="AS19" si="4">+AO19+AQ19</f>
        <v>26.1</v>
      </c>
    </row>
    <row r="20" spans="1:45" s="63" customFormat="1" ht="6.75" customHeight="1" x14ac:dyDescent="0.25">
      <c r="A20" s="60"/>
      <c r="B20" s="53"/>
      <c r="C20" s="60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0"/>
      <c r="AG20" s="60"/>
      <c r="AH20" s="61"/>
      <c r="AI20" s="61"/>
      <c r="AJ20" s="61"/>
      <c r="AK20" s="61"/>
      <c r="AL20" s="61"/>
      <c r="AM20" s="60"/>
      <c r="AN20" s="61"/>
      <c r="AO20" s="61"/>
      <c r="AP20" s="60"/>
      <c r="AQ20" s="61"/>
      <c r="AR20" s="61"/>
      <c r="AS20" s="65"/>
    </row>
    <row r="21" spans="1:45" s="63" customFormat="1" ht="12.95" customHeight="1" x14ac:dyDescent="0.25">
      <c r="A21" s="41"/>
      <c r="B21" s="42" t="s">
        <v>15</v>
      </c>
      <c r="C21" s="67" t="s">
        <v>7</v>
      </c>
      <c r="D21" s="67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43"/>
      <c r="AC21" s="43"/>
      <c r="AD21" s="43"/>
      <c r="AE21" s="43"/>
      <c r="AF21" s="43"/>
      <c r="AG21" s="43"/>
      <c r="AH21" s="44">
        <f>COUNTA(Décembre!$C21:$AG21)</f>
        <v>1</v>
      </c>
      <c r="AI21" s="45">
        <f>(COUNTIFS(Décembre!$C21:$AG21,("cp")))/2+Novembre!AI21</f>
        <v>1.5</v>
      </c>
      <c r="AJ21" s="45">
        <f>COUNTIFS(Décembre!$C21:$AG21,"RTT")/2+Novembre!AJ21</f>
        <v>0</v>
      </c>
      <c r="AK21" s="45">
        <f>COUNTIFS(Décembre!$C21:$AG21,"m")/2+Novembre!AK21</f>
        <v>0</v>
      </c>
      <c r="AL21" s="45">
        <f>COUNTIFS(Décembre!$C21:$AG21,"a")/2+Novembre!AL21</f>
        <v>0.5</v>
      </c>
      <c r="AM21" s="46"/>
      <c r="AN21" s="47"/>
      <c r="AO21" s="47"/>
      <c r="AP21" s="46"/>
      <c r="AQ21" s="47"/>
      <c r="AR21" s="47"/>
      <c r="AS21" s="47"/>
    </row>
    <row r="22" spans="1:45" s="63" customFormat="1" ht="12.95" customHeight="1" x14ac:dyDescent="0.25">
      <c r="A22" s="48">
        <v>41824</v>
      </c>
      <c r="B22" s="42" t="s">
        <v>16</v>
      </c>
      <c r="C22" s="67" t="s">
        <v>7</v>
      </c>
      <c r="D22" s="67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43"/>
      <c r="AC22" s="43"/>
      <c r="AD22" s="43"/>
      <c r="AE22" s="43"/>
      <c r="AF22" s="43"/>
      <c r="AG22" s="43"/>
      <c r="AH22" s="44">
        <f>COUNTA(Décembre!$C22:$AG22)</f>
        <v>1</v>
      </c>
      <c r="AI22" s="45">
        <f>(COUNTIFS(Décembre!$C22:$AG22,("cp")))/2+Novembre!AI22</f>
        <v>1.5</v>
      </c>
      <c r="AJ22" s="45">
        <f>COUNTIFS(Décembre!$C22:$AG22,"RTT")/2+Novembre!AJ22</f>
        <v>0</v>
      </c>
      <c r="AK22" s="45">
        <f>COUNTIFS(Décembre!$C22:$AG22,"m")/2+Novembre!AK22</f>
        <v>0</v>
      </c>
      <c r="AL22" s="45">
        <f>COUNTIFS(Décembre!$C22:$AG22,"a")/2+Novembre!AL22</f>
        <v>0.5</v>
      </c>
      <c r="AM22" s="46"/>
      <c r="AN22" s="47"/>
      <c r="AO22" s="47"/>
      <c r="AP22" s="46"/>
      <c r="AQ22" s="47"/>
      <c r="AR22" s="47"/>
      <c r="AS22" s="101"/>
    </row>
    <row r="23" spans="1:45" s="63" customFormat="1" ht="12.95" customHeight="1" x14ac:dyDescent="0.25">
      <c r="A23" s="41"/>
      <c r="B23" s="42"/>
      <c r="C23" s="49" t="str">
        <f t="shared" ref="C23:AG23" si="5">IF(C21&gt;0,C21,IF(C22&gt;0,C22,""))</f>
        <v>CP</v>
      </c>
      <c r="D23" s="49" t="str">
        <f t="shared" si="5"/>
        <v/>
      </c>
      <c r="E23" s="49" t="str">
        <f t="shared" si="5"/>
        <v/>
      </c>
      <c r="F23" s="49" t="str">
        <f t="shared" si="5"/>
        <v/>
      </c>
      <c r="G23" s="49" t="str">
        <f t="shared" si="5"/>
        <v/>
      </c>
      <c r="H23" s="49" t="str">
        <f t="shared" si="5"/>
        <v/>
      </c>
      <c r="I23" s="49" t="str">
        <f t="shared" si="5"/>
        <v/>
      </c>
      <c r="J23" s="49" t="str">
        <f t="shared" si="5"/>
        <v/>
      </c>
      <c r="K23" s="49" t="str">
        <f t="shared" si="5"/>
        <v/>
      </c>
      <c r="L23" s="49" t="str">
        <f t="shared" si="5"/>
        <v/>
      </c>
      <c r="M23" s="49" t="str">
        <f t="shared" si="5"/>
        <v/>
      </c>
      <c r="N23" s="49" t="str">
        <f t="shared" si="5"/>
        <v/>
      </c>
      <c r="O23" s="49" t="str">
        <f t="shared" si="5"/>
        <v/>
      </c>
      <c r="P23" s="49" t="str">
        <f t="shared" si="5"/>
        <v/>
      </c>
      <c r="Q23" s="49" t="str">
        <f t="shared" si="5"/>
        <v/>
      </c>
      <c r="R23" s="49" t="str">
        <f t="shared" si="5"/>
        <v/>
      </c>
      <c r="S23" s="49" t="str">
        <f t="shared" si="5"/>
        <v/>
      </c>
      <c r="T23" s="49" t="str">
        <f t="shared" si="5"/>
        <v/>
      </c>
      <c r="U23" s="49" t="str">
        <f t="shared" si="5"/>
        <v/>
      </c>
      <c r="V23" s="49" t="str">
        <f t="shared" si="5"/>
        <v/>
      </c>
      <c r="W23" s="49" t="str">
        <f t="shared" si="5"/>
        <v/>
      </c>
      <c r="X23" s="49" t="str">
        <f t="shared" si="5"/>
        <v/>
      </c>
      <c r="Y23" s="49" t="str">
        <f t="shared" si="5"/>
        <v/>
      </c>
      <c r="Z23" s="49" t="str">
        <f t="shared" si="5"/>
        <v/>
      </c>
      <c r="AA23" s="49" t="str">
        <f t="shared" si="5"/>
        <v/>
      </c>
      <c r="AB23" s="49" t="str">
        <f t="shared" si="5"/>
        <v/>
      </c>
      <c r="AC23" s="49" t="str">
        <f t="shared" si="5"/>
        <v/>
      </c>
      <c r="AD23" s="49" t="str">
        <f t="shared" si="5"/>
        <v/>
      </c>
      <c r="AE23" s="49" t="str">
        <f t="shared" si="5"/>
        <v/>
      </c>
      <c r="AF23" s="49" t="str">
        <f t="shared" si="5"/>
        <v/>
      </c>
      <c r="AG23" s="49" t="str">
        <f t="shared" si="5"/>
        <v/>
      </c>
      <c r="AH23" s="44">
        <f>SUM(AH21:AH22)</f>
        <v>2</v>
      </c>
      <c r="AI23" s="45">
        <f>SUM(AI21:AI22)</f>
        <v>3</v>
      </c>
      <c r="AJ23" s="45">
        <f>SUM(AJ21:AJ22)</f>
        <v>0</v>
      </c>
      <c r="AK23" s="45">
        <f>SUM(AK21:AK22)</f>
        <v>0</v>
      </c>
      <c r="AL23" s="45">
        <f>SUM(AL21:AL22)</f>
        <v>1</v>
      </c>
      <c r="AM23" s="50">
        <f>Juin!AM23</f>
        <v>11.23</v>
      </c>
      <c r="AN23" s="51">
        <f>IF(A22="","",IF(A22&gt;NomMois,0,IF(A22&lt;$A$3,2.08,(NETWORKDAYS(A22,$A$2)/21.66667)*2.08)))</f>
        <v>2.08</v>
      </c>
      <c r="AO23" s="51">
        <f>IF( AN23="",0,+AN23+Novembre!AO23)</f>
        <v>14.56</v>
      </c>
      <c r="AP23" s="50"/>
      <c r="AQ23" s="45">
        <f>+AM23-AI23</f>
        <v>8.23</v>
      </c>
      <c r="AR23" s="45">
        <f>+AP23-AJ23</f>
        <v>0</v>
      </c>
      <c r="AS23" s="102">
        <f t="shared" ref="AS23" si="6">+AO23+AQ23</f>
        <v>22.79</v>
      </c>
    </row>
    <row r="24" spans="1:45" s="63" customFormat="1" ht="6.75" customHeight="1" x14ac:dyDescent="0.25">
      <c r="A24" s="60"/>
      <c r="B24" s="53"/>
      <c r="C24" s="60"/>
      <c r="D24" s="60"/>
      <c r="E24" s="60"/>
      <c r="F24" s="60"/>
      <c r="G24" s="60"/>
      <c r="H24" s="60"/>
      <c r="I24" s="60"/>
      <c r="J24" s="60"/>
      <c r="K24" s="60"/>
      <c r="L24" s="60"/>
      <c r="M24" s="60"/>
      <c r="N24" s="60"/>
      <c r="O24" s="60"/>
      <c r="P24" s="60"/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60"/>
      <c r="AD24" s="60"/>
      <c r="AE24" s="60"/>
      <c r="AF24" s="60"/>
      <c r="AG24" s="60"/>
      <c r="AH24" s="61"/>
      <c r="AI24" s="61"/>
      <c r="AJ24" s="61"/>
      <c r="AK24" s="61"/>
      <c r="AL24" s="61"/>
      <c r="AM24" s="60"/>
      <c r="AN24" s="61"/>
      <c r="AO24" s="61"/>
      <c r="AP24" s="60"/>
      <c r="AQ24" s="61"/>
      <c r="AR24" s="61"/>
      <c r="AS24" s="65"/>
    </row>
    <row r="25" spans="1:45" s="63" customFormat="1" ht="12.95" customHeight="1" x14ac:dyDescent="0.25">
      <c r="A25" s="41"/>
      <c r="B25" s="42" t="s">
        <v>15</v>
      </c>
      <c r="C25" s="67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  <c r="AA25" s="43"/>
      <c r="AB25" s="43"/>
      <c r="AC25" s="43"/>
      <c r="AD25" s="43"/>
      <c r="AE25" s="43"/>
      <c r="AF25" s="43"/>
      <c r="AG25" s="43"/>
      <c r="AH25" s="44">
        <f>COUNTA(Décembre!$C25:$AG25)</f>
        <v>0</v>
      </c>
      <c r="AI25" s="45">
        <f>(COUNTIFS(Décembre!$C25:$AG25,("cp")))/2+Novembre!AI25</f>
        <v>3.5</v>
      </c>
      <c r="AJ25" s="45">
        <f>COUNTIFS(Décembre!$C25:$AG25,"RTT")/2+Novembre!AJ25</f>
        <v>0</v>
      </c>
      <c r="AK25" s="45">
        <f>COUNTIFS(Décembre!$C25:$AG25,"m")/2+Novembre!AK25</f>
        <v>0</v>
      </c>
      <c r="AL25" s="45">
        <f>COUNTIFS(Décembre!$C25:$AG25,"a")/2+Novembre!AL25</f>
        <v>0</v>
      </c>
      <c r="AM25" s="46"/>
      <c r="AN25" s="47"/>
      <c r="AO25" s="47"/>
      <c r="AP25" s="46"/>
      <c r="AQ25" s="47"/>
      <c r="AR25" s="47"/>
      <c r="AS25" s="47"/>
    </row>
    <row r="26" spans="1:45" s="63" customFormat="1" ht="12.95" customHeight="1" x14ac:dyDescent="0.25">
      <c r="A26" s="48">
        <v>38626</v>
      </c>
      <c r="B26" s="42" t="s">
        <v>16</v>
      </c>
      <c r="C26" s="67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43"/>
      <c r="AB26" s="43"/>
      <c r="AC26" s="43"/>
      <c r="AD26" s="43"/>
      <c r="AE26" s="43"/>
      <c r="AF26" s="43"/>
      <c r="AG26" s="43"/>
      <c r="AH26" s="44">
        <f>COUNTA(Décembre!$C26:$AG26)</f>
        <v>0</v>
      </c>
      <c r="AI26" s="45">
        <f>(COUNTIFS(Décembre!$C26:$AG26,("cp")))/2+Novembre!AI26</f>
        <v>3.5</v>
      </c>
      <c r="AJ26" s="45">
        <f>COUNTIFS(Décembre!$C26:$AG26,"RTT")/2+Novembre!AJ26</f>
        <v>0</v>
      </c>
      <c r="AK26" s="45">
        <f>COUNTIFS(Décembre!$C26:$AG26,"m")/2+Novembre!AK26</f>
        <v>0</v>
      </c>
      <c r="AL26" s="45">
        <f>COUNTIFS(Décembre!$C26:$AG26,"a")/2+Novembre!AL26</f>
        <v>0</v>
      </c>
      <c r="AM26" s="46"/>
      <c r="AN26" s="47"/>
      <c r="AO26" s="47"/>
      <c r="AP26" s="46"/>
      <c r="AQ26" s="47"/>
      <c r="AR26" s="47"/>
      <c r="AS26" s="101"/>
    </row>
    <row r="27" spans="1:45" s="63" customFormat="1" ht="12.95" customHeight="1" x14ac:dyDescent="0.25">
      <c r="A27" s="41"/>
      <c r="B27" s="42"/>
      <c r="C27" s="49" t="str">
        <f t="shared" ref="C27:AG27" si="7">IF(C25&gt;0,C25,IF(C26&gt;0,C26,""))</f>
        <v/>
      </c>
      <c r="D27" s="49" t="str">
        <f t="shared" si="7"/>
        <v/>
      </c>
      <c r="E27" s="49" t="str">
        <f t="shared" si="7"/>
        <v/>
      </c>
      <c r="F27" s="49" t="str">
        <f t="shared" si="7"/>
        <v/>
      </c>
      <c r="G27" s="49" t="str">
        <f t="shared" si="7"/>
        <v/>
      </c>
      <c r="H27" s="49" t="str">
        <f t="shared" si="7"/>
        <v/>
      </c>
      <c r="I27" s="49" t="str">
        <f t="shared" si="7"/>
        <v/>
      </c>
      <c r="J27" s="49" t="str">
        <f t="shared" si="7"/>
        <v/>
      </c>
      <c r="K27" s="49" t="str">
        <f t="shared" si="7"/>
        <v/>
      </c>
      <c r="L27" s="49" t="str">
        <f t="shared" si="7"/>
        <v/>
      </c>
      <c r="M27" s="49" t="str">
        <f t="shared" si="7"/>
        <v/>
      </c>
      <c r="N27" s="49" t="str">
        <f t="shared" si="7"/>
        <v/>
      </c>
      <c r="O27" s="49" t="str">
        <f t="shared" si="7"/>
        <v/>
      </c>
      <c r="P27" s="49" t="str">
        <f t="shared" si="7"/>
        <v/>
      </c>
      <c r="Q27" s="49" t="str">
        <f t="shared" si="7"/>
        <v/>
      </c>
      <c r="R27" s="49" t="str">
        <f t="shared" si="7"/>
        <v/>
      </c>
      <c r="S27" s="49" t="str">
        <f t="shared" si="7"/>
        <v/>
      </c>
      <c r="T27" s="49" t="str">
        <f t="shared" si="7"/>
        <v/>
      </c>
      <c r="U27" s="49" t="str">
        <f t="shared" si="7"/>
        <v/>
      </c>
      <c r="V27" s="49" t="str">
        <f t="shared" si="7"/>
        <v/>
      </c>
      <c r="W27" s="49" t="str">
        <f t="shared" si="7"/>
        <v/>
      </c>
      <c r="X27" s="49" t="str">
        <f t="shared" si="7"/>
        <v/>
      </c>
      <c r="Y27" s="49" t="str">
        <f t="shared" si="7"/>
        <v/>
      </c>
      <c r="Z27" s="49" t="str">
        <f t="shared" si="7"/>
        <v/>
      </c>
      <c r="AA27" s="49" t="str">
        <f t="shared" si="7"/>
        <v/>
      </c>
      <c r="AB27" s="49" t="str">
        <f t="shared" si="7"/>
        <v/>
      </c>
      <c r="AC27" s="49" t="str">
        <f t="shared" si="7"/>
        <v/>
      </c>
      <c r="AD27" s="49" t="str">
        <f t="shared" si="7"/>
        <v/>
      </c>
      <c r="AE27" s="49" t="str">
        <f t="shared" si="7"/>
        <v/>
      </c>
      <c r="AF27" s="49" t="str">
        <f t="shared" si="7"/>
        <v/>
      </c>
      <c r="AG27" s="49" t="str">
        <f t="shared" si="7"/>
        <v/>
      </c>
      <c r="AH27" s="44">
        <f>SUM(AH25:AH26)</f>
        <v>0</v>
      </c>
      <c r="AI27" s="45">
        <f>SUM(AI25:AI26)</f>
        <v>7</v>
      </c>
      <c r="AJ27" s="45">
        <f>SUM(AJ25:AJ26)</f>
        <v>0</v>
      </c>
      <c r="AK27" s="45">
        <f>SUM(AK25:AK26)</f>
        <v>0</v>
      </c>
      <c r="AL27" s="45">
        <f>SUM(AL25:AL26)</f>
        <v>0</v>
      </c>
      <c r="AM27" s="50">
        <f>Juin!AM27</f>
        <v>28.7</v>
      </c>
      <c r="AN27" s="51">
        <f>IF(A26="","",IF(A26&gt;NomMois,0,IF(A26&lt;$A$3,2.08,(NETWORKDAYS(A26,$A$2)/21.66667)*2.08)))</f>
        <v>2.08</v>
      </c>
      <c r="AO27" s="51">
        <f>IF( AN27="",0,+AN27+Novembre!AO27)</f>
        <v>14.56</v>
      </c>
      <c r="AP27" s="50"/>
      <c r="AQ27" s="45">
        <f>+AM27-AI27</f>
        <v>21.7</v>
      </c>
      <c r="AR27" s="45">
        <f>+AP27-AJ27</f>
        <v>0</v>
      </c>
      <c r="AS27" s="102">
        <f t="shared" ref="AS27" si="8">+AO27+AQ27</f>
        <v>36.26</v>
      </c>
    </row>
    <row r="28" spans="1:45" s="63" customFormat="1" ht="6.75" customHeight="1" x14ac:dyDescent="0.25">
      <c r="A28" s="60"/>
      <c r="B28" s="53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1"/>
      <c r="AI28" s="61"/>
      <c r="AJ28" s="61"/>
      <c r="AK28" s="61"/>
      <c r="AL28" s="61"/>
      <c r="AM28" s="60"/>
      <c r="AN28" s="61"/>
      <c r="AO28" s="61"/>
      <c r="AP28" s="60"/>
      <c r="AQ28" s="61"/>
      <c r="AR28" s="61"/>
      <c r="AS28" s="65"/>
    </row>
    <row r="29" spans="1:45" s="63" customFormat="1" ht="12.95" customHeight="1" x14ac:dyDescent="0.25">
      <c r="A29" s="41"/>
      <c r="B29" s="42" t="s">
        <v>15</v>
      </c>
      <c r="C29" s="67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4">
        <f>COUNTA(Décembre!$C29:$AG29)</f>
        <v>0</v>
      </c>
      <c r="AI29" s="45">
        <f>(COUNTIFS(Décembre!$C29:$AG29,("cp")))/2+Novembre!AI29</f>
        <v>7.5</v>
      </c>
      <c r="AJ29" s="45">
        <f>COUNTIFS(Décembre!$C29:$AG29,"RTT")/2+Novembre!AJ29</f>
        <v>0</v>
      </c>
      <c r="AK29" s="45">
        <f>COUNTIFS(Décembre!$C29:$AG29,"m")/2+Novembre!AK29</f>
        <v>0</v>
      </c>
      <c r="AL29" s="45">
        <f>COUNTIFS(Décembre!$C29:$AG29,"a")/2+Novembre!AL29</f>
        <v>0</v>
      </c>
      <c r="AM29" s="46"/>
      <c r="AN29" s="47"/>
      <c r="AO29" s="47"/>
      <c r="AP29" s="46"/>
      <c r="AQ29" s="47"/>
      <c r="AR29" s="47"/>
      <c r="AS29" s="47"/>
    </row>
    <row r="30" spans="1:45" s="63" customFormat="1" ht="12.95" customHeight="1" x14ac:dyDescent="0.25">
      <c r="A30" s="48">
        <v>36892</v>
      </c>
      <c r="B30" s="42" t="s">
        <v>16</v>
      </c>
      <c r="C30" s="67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4">
        <f>COUNTA(Décembre!$C30:$AG30)</f>
        <v>0</v>
      </c>
      <c r="AI30" s="45">
        <f>(COUNTIFS(Décembre!$C30:$AG30,("cp")))/2+Novembre!AI30</f>
        <v>8</v>
      </c>
      <c r="AJ30" s="45">
        <f>COUNTIFS(Décembre!$C30:$AG30,"RTT")/2+Novembre!AJ30</f>
        <v>0</v>
      </c>
      <c r="AK30" s="45">
        <f>COUNTIFS(Décembre!$C30:$AG30,"m")/2+Novembre!AK30</f>
        <v>0</v>
      </c>
      <c r="AL30" s="45">
        <f>COUNTIFS(Décembre!$C30:$AG30,"a")/2+Novembre!AL30</f>
        <v>0</v>
      </c>
      <c r="AM30" s="46"/>
      <c r="AN30" s="47"/>
      <c r="AO30" s="47"/>
      <c r="AP30" s="46"/>
      <c r="AQ30" s="47"/>
      <c r="AR30" s="47"/>
      <c r="AS30" s="101"/>
    </row>
    <row r="31" spans="1:45" s="63" customFormat="1" ht="12.95" customHeight="1" x14ac:dyDescent="0.25">
      <c r="A31" s="41"/>
      <c r="B31" s="42"/>
      <c r="C31" s="49" t="str">
        <f t="shared" ref="C31:AG31" si="9">IF(C29&gt;0,C29,IF(C30&gt;0,C30,""))</f>
        <v/>
      </c>
      <c r="D31" s="49" t="str">
        <f t="shared" si="9"/>
        <v/>
      </c>
      <c r="E31" s="49" t="str">
        <f t="shared" si="9"/>
        <v/>
      </c>
      <c r="F31" s="49" t="str">
        <f t="shared" si="9"/>
        <v/>
      </c>
      <c r="G31" s="49" t="str">
        <f t="shared" si="9"/>
        <v/>
      </c>
      <c r="H31" s="49" t="str">
        <f t="shared" si="9"/>
        <v/>
      </c>
      <c r="I31" s="49" t="str">
        <f t="shared" si="9"/>
        <v/>
      </c>
      <c r="J31" s="49" t="str">
        <f t="shared" si="9"/>
        <v/>
      </c>
      <c r="K31" s="49" t="str">
        <f t="shared" si="9"/>
        <v/>
      </c>
      <c r="L31" s="49" t="str">
        <f t="shared" si="9"/>
        <v/>
      </c>
      <c r="M31" s="49" t="str">
        <f t="shared" si="9"/>
        <v/>
      </c>
      <c r="N31" s="49" t="str">
        <f t="shared" si="9"/>
        <v/>
      </c>
      <c r="O31" s="49" t="str">
        <f t="shared" si="9"/>
        <v/>
      </c>
      <c r="P31" s="49" t="str">
        <f t="shared" si="9"/>
        <v/>
      </c>
      <c r="Q31" s="49" t="str">
        <f t="shared" si="9"/>
        <v/>
      </c>
      <c r="R31" s="49" t="str">
        <f t="shared" si="9"/>
        <v/>
      </c>
      <c r="S31" s="49" t="str">
        <f t="shared" si="9"/>
        <v/>
      </c>
      <c r="T31" s="49" t="str">
        <f t="shared" si="9"/>
        <v/>
      </c>
      <c r="U31" s="49" t="str">
        <f t="shared" si="9"/>
        <v/>
      </c>
      <c r="V31" s="49" t="str">
        <f t="shared" si="9"/>
        <v/>
      </c>
      <c r="W31" s="49" t="str">
        <f t="shared" si="9"/>
        <v/>
      </c>
      <c r="X31" s="49" t="str">
        <f t="shared" si="9"/>
        <v/>
      </c>
      <c r="Y31" s="49" t="str">
        <f t="shared" si="9"/>
        <v/>
      </c>
      <c r="Z31" s="49" t="str">
        <f t="shared" si="9"/>
        <v/>
      </c>
      <c r="AA31" s="49" t="str">
        <f t="shared" si="9"/>
        <v/>
      </c>
      <c r="AB31" s="49" t="str">
        <f t="shared" si="9"/>
        <v/>
      </c>
      <c r="AC31" s="49" t="str">
        <f t="shared" si="9"/>
        <v/>
      </c>
      <c r="AD31" s="49" t="str">
        <f t="shared" si="9"/>
        <v/>
      </c>
      <c r="AE31" s="49" t="str">
        <f t="shared" si="9"/>
        <v/>
      </c>
      <c r="AF31" s="49" t="str">
        <f t="shared" si="9"/>
        <v/>
      </c>
      <c r="AG31" s="49" t="str">
        <f t="shared" si="9"/>
        <v/>
      </c>
      <c r="AH31" s="44">
        <f>SUM(AH29:AH30)</f>
        <v>0</v>
      </c>
      <c r="AI31" s="45">
        <f>SUM(AI29:AI30)</f>
        <v>15.5</v>
      </c>
      <c r="AJ31" s="45">
        <f>SUM(AJ29:AJ30)</f>
        <v>0</v>
      </c>
      <c r="AK31" s="45">
        <f>SUM(AK29:AK30)</f>
        <v>0</v>
      </c>
      <c r="AL31" s="45">
        <f>SUM(AL29:AL30)</f>
        <v>0</v>
      </c>
      <c r="AM31" s="50">
        <f>Juin!AM31</f>
        <v>30.37</v>
      </c>
      <c r="AN31" s="51">
        <f>IF(A30="","",IF(A30&gt;NomMois,0,IF(A30&lt;$A$3,2.08,(NETWORKDAYS(A30,$A$2)/21.66667)*2.08)))</f>
        <v>2.08</v>
      </c>
      <c r="AO31" s="51">
        <f>IF( AN31="",0,+AN31+Novembre!AO31)</f>
        <v>14.56</v>
      </c>
      <c r="AP31" s="50"/>
      <c r="AQ31" s="45">
        <f>+AM31-AI31</f>
        <v>14.870000000000001</v>
      </c>
      <c r="AR31" s="45">
        <f>+AP31-AJ31</f>
        <v>0</v>
      </c>
      <c r="AS31" s="102">
        <f t="shared" ref="AS31:AS91" si="10">+AO31+AQ31</f>
        <v>29.43</v>
      </c>
    </row>
    <row r="32" spans="1:45" s="63" customFormat="1" ht="6.75" customHeight="1" x14ac:dyDescent="0.25">
      <c r="A32" s="60"/>
      <c r="B32" s="53"/>
      <c r="C32" s="60"/>
      <c r="D32" s="60"/>
      <c r="E32" s="60"/>
      <c r="F32" s="60"/>
      <c r="G32" s="60"/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1"/>
      <c r="AI32" s="61"/>
      <c r="AJ32" s="61"/>
      <c r="AK32" s="61"/>
      <c r="AL32" s="61"/>
      <c r="AM32" s="60"/>
      <c r="AN32" s="61"/>
      <c r="AO32" s="61"/>
      <c r="AP32" s="60"/>
      <c r="AQ32" s="69"/>
      <c r="AR32" s="69"/>
      <c r="AS32" s="65"/>
    </row>
    <row r="33" spans="1:45" s="63" customFormat="1" ht="12.95" customHeight="1" x14ac:dyDescent="0.25">
      <c r="A33" s="41"/>
      <c r="B33" s="42" t="s">
        <v>15</v>
      </c>
      <c r="C33" s="67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 t="s">
        <v>7</v>
      </c>
      <c r="Y33" s="43"/>
      <c r="Z33" s="43"/>
      <c r="AA33" s="43"/>
      <c r="AB33" s="43"/>
      <c r="AC33" s="43"/>
      <c r="AD33" s="43"/>
      <c r="AE33" s="43"/>
      <c r="AF33" s="43"/>
      <c r="AG33" s="43"/>
      <c r="AH33" s="44">
        <f>COUNTA(Décembre!$C33:$AG33)</f>
        <v>1</v>
      </c>
      <c r="AI33" s="45">
        <f>(COUNTIFS(Décembre!$C33:$AG33,("cp")))/2+Novembre!AI33</f>
        <v>8.5</v>
      </c>
      <c r="AJ33" s="45">
        <f>COUNTIFS(Décembre!$C33:$AG33,"RTT")/2+Novembre!AJ33</f>
        <v>0</v>
      </c>
      <c r="AK33" s="45">
        <f>COUNTIFS(Décembre!$C33:$AG33,"m")/2+Novembre!AK33</f>
        <v>0</v>
      </c>
      <c r="AL33" s="45">
        <f>COUNTIFS(Décembre!$C33:$AG33,"a")/2+Novembre!AL33</f>
        <v>0</v>
      </c>
      <c r="AM33" s="46"/>
      <c r="AN33" s="47"/>
      <c r="AO33" s="47"/>
      <c r="AP33" s="46"/>
      <c r="AQ33" s="47"/>
      <c r="AR33" s="47"/>
      <c r="AS33" s="47"/>
    </row>
    <row r="34" spans="1:45" s="63" customFormat="1" ht="12.95" customHeight="1" x14ac:dyDescent="0.25">
      <c r="A34" s="48">
        <v>42110</v>
      </c>
      <c r="B34" s="42" t="s">
        <v>16</v>
      </c>
      <c r="C34" s="67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 t="s">
        <v>7</v>
      </c>
      <c r="Y34" s="43"/>
      <c r="Z34" s="43"/>
      <c r="AA34" s="43"/>
      <c r="AB34" s="43"/>
      <c r="AC34" s="43"/>
      <c r="AD34" s="43"/>
      <c r="AE34" s="43"/>
      <c r="AF34" s="43"/>
      <c r="AG34" s="43"/>
      <c r="AH34" s="44">
        <f>COUNTA(Décembre!$C34:$AG34)</f>
        <v>1</v>
      </c>
      <c r="AI34" s="45">
        <f>(COUNTIFS(Décembre!$C34:$AG34,("cp")))/2+Novembre!AI34</f>
        <v>8.5</v>
      </c>
      <c r="AJ34" s="45">
        <f>COUNTIFS(Décembre!$C34:$AG34,"RTT")/2+Novembre!AJ34</f>
        <v>0</v>
      </c>
      <c r="AK34" s="45">
        <f>COUNTIFS(Décembre!$C34:$AG34,"m")/2+Novembre!AK34</f>
        <v>0</v>
      </c>
      <c r="AL34" s="45">
        <f>COUNTIFS(Décembre!$C34:$AG34,"a")/2+Novembre!AL34</f>
        <v>0</v>
      </c>
      <c r="AM34" s="46"/>
      <c r="AN34" s="47"/>
      <c r="AO34" s="47"/>
      <c r="AP34" s="46"/>
      <c r="AQ34" s="47"/>
      <c r="AR34" s="47"/>
      <c r="AS34" s="101"/>
    </row>
    <row r="35" spans="1:45" s="63" customFormat="1" ht="12.95" customHeight="1" x14ac:dyDescent="0.25">
      <c r="A35" s="41"/>
      <c r="B35" s="42"/>
      <c r="C35" s="49" t="str">
        <f t="shared" ref="C35:AG35" si="11">IF(C33&gt;0,C33,IF(C34&gt;0,C34,""))</f>
        <v/>
      </c>
      <c r="D35" s="49" t="str">
        <f t="shared" si="11"/>
        <v/>
      </c>
      <c r="E35" s="49" t="str">
        <f t="shared" si="11"/>
        <v/>
      </c>
      <c r="F35" s="49" t="str">
        <f t="shared" si="11"/>
        <v/>
      </c>
      <c r="G35" s="49" t="str">
        <f t="shared" si="11"/>
        <v/>
      </c>
      <c r="H35" s="49" t="str">
        <f t="shared" si="11"/>
        <v/>
      </c>
      <c r="I35" s="49" t="str">
        <f t="shared" si="11"/>
        <v/>
      </c>
      <c r="J35" s="49" t="str">
        <f t="shared" si="11"/>
        <v/>
      </c>
      <c r="K35" s="49" t="str">
        <f t="shared" si="11"/>
        <v/>
      </c>
      <c r="L35" s="49" t="str">
        <f t="shared" si="11"/>
        <v/>
      </c>
      <c r="M35" s="49" t="str">
        <f t="shared" si="11"/>
        <v/>
      </c>
      <c r="N35" s="49" t="str">
        <f t="shared" si="11"/>
        <v/>
      </c>
      <c r="O35" s="49" t="str">
        <f t="shared" si="11"/>
        <v/>
      </c>
      <c r="P35" s="49" t="str">
        <f t="shared" si="11"/>
        <v/>
      </c>
      <c r="Q35" s="49" t="str">
        <f t="shared" si="11"/>
        <v/>
      </c>
      <c r="R35" s="49" t="str">
        <f t="shared" si="11"/>
        <v/>
      </c>
      <c r="S35" s="49" t="str">
        <f t="shared" si="11"/>
        <v/>
      </c>
      <c r="T35" s="49" t="str">
        <f t="shared" si="11"/>
        <v/>
      </c>
      <c r="U35" s="49" t="str">
        <f t="shared" si="11"/>
        <v/>
      </c>
      <c r="V35" s="49" t="str">
        <f t="shared" si="11"/>
        <v/>
      </c>
      <c r="W35" s="49" t="str">
        <f t="shared" si="11"/>
        <v/>
      </c>
      <c r="X35" s="49" t="str">
        <f t="shared" si="11"/>
        <v>CP</v>
      </c>
      <c r="Y35" s="49" t="str">
        <f t="shared" si="11"/>
        <v/>
      </c>
      <c r="Z35" s="49" t="str">
        <f t="shared" si="11"/>
        <v/>
      </c>
      <c r="AA35" s="49" t="str">
        <f t="shared" si="11"/>
        <v/>
      </c>
      <c r="AB35" s="49" t="str">
        <f t="shared" si="11"/>
        <v/>
      </c>
      <c r="AC35" s="49" t="str">
        <f t="shared" si="11"/>
        <v/>
      </c>
      <c r="AD35" s="49" t="str">
        <f t="shared" si="11"/>
        <v/>
      </c>
      <c r="AE35" s="49" t="str">
        <f t="shared" si="11"/>
        <v/>
      </c>
      <c r="AF35" s="49" t="str">
        <f t="shared" si="11"/>
        <v/>
      </c>
      <c r="AG35" s="49" t="str">
        <f t="shared" si="11"/>
        <v/>
      </c>
      <c r="AH35" s="44">
        <f>SUM(AH33:AH34)</f>
        <v>2</v>
      </c>
      <c r="AI35" s="45">
        <f>SUM(AI33:AI34)</f>
        <v>17</v>
      </c>
      <c r="AJ35" s="45">
        <f>SUM(AJ33:AJ34)</f>
        <v>0</v>
      </c>
      <c r="AK35" s="45">
        <f>SUM(AK33:AK34)</f>
        <v>0</v>
      </c>
      <c r="AL35" s="45">
        <f>SUM(AL33:AL34)</f>
        <v>0</v>
      </c>
      <c r="AM35" s="50">
        <f>Juin!AM35</f>
        <v>14.56</v>
      </c>
      <c r="AN35" s="51">
        <f>IF(A34="","",IF(A34&gt;NomMois,0,IF(A34&lt;$A$3,2.08,(NETWORKDAYS(A34,$A$2)/21.66667)*2.08)))</f>
        <v>2.08</v>
      </c>
      <c r="AO35" s="51">
        <f>IF( AN35="",0,+AN35+Novembre!AO35)</f>
        <v>14.56</v>
      </c>
      <c r="AP35" s="50"/>
      <c r="AQ35" s="45">
        <f>+AM35-AI35</f>
        <v>-2.4399999999999995</v>
      </c>
      <c r="AR35" s="45">
        <f>+AP35-AJ35</f>
        <v>0</v>
      </c>
      <c r="AS35" s="102">
        <f t="shared" si="10"/>
        <v>12.120000000000001</v>
      </c>
    </row>
    <row r="36" spans="1:45" s="63" customFormat="1" ht="6.75" customHeight="1" x14ac:dyDescent="0.25">
      <c r="A36" s="60"/>
      <c r="B36" s="53"/>
      <c r="C36" s="60"/>
      <c r="D36" s="60"/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0"/>
      <c r="Z36" s="60"/>
      <c r="AA36" s="60"/>
      <c r="AB36" s="60"/>
      <c r="AC36" s="60"/>
      <c r="AD36" s="60"/>
      <c r="AE36" s="60"/>
      <c r="AF36" s="60"/>
      <c r="AG36" s="60"/>
      <c r="AH36" s="61"/>
      <c r="AI36" s="61"/>
      <c r="AJ36" s="61"/>
      <c r="AK36" s="61"/>
      <c r="AL36" s="61"/>
      <c r="AM36" s="60"/>
      <c r="AN36" s="61"/>
      <c r="AO36" s="61"/>
      <c r="AP36" s="60"/>
      <c r="AQ36" s="61"/>
      <c r="AR36" s="61"/>
      <c r="AS36" s="65"/>
    </row>
    <row r="37" spans="1:45" s="63" customFormat="1" ht="12.95" customHeight="1" x14ac:dyDescent="0.25">
      <c r="A37" s="41"/>
      <c r="B37" s="42" t="s">
        <v>15</v>
      </c>
      <c r="C37" s="67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  <c r="AB37" s="43"/>
      <c r="AC37" s="43"/>
      <c r="AD37" s="43"/>
      <c r="AE37" s="43"/>
      <c r="AF37" s="43"/>
      <c r="AG37" s="43"/>
      <c r="AH37" s="44">
        <f>COUNTA(Décembre!$C37:$AG37)</f>
        <v>0</v>
      </c>
      <c r="AI37" s="45">
        <f>(COUNTIFS(Décembre!$C37:$AG37,("cp")))/2+Novembre!AI37</f>
        <v>6</v>
      </c>
      <c r="AJ37" s="45">
        <f>COUNTIFS(Décembre!$C37:$AG37,"RTT")/2+Novembre!AJ37</f>
        <v>0</v>
      </c>
      <c r="AK37" s="45">
        <f>COUNTIFS(Décembre!$C37:$AG37,"m")/2+Novembre!AK37</f>
        <v>0</v>
      </c>
      <c r="AL37" s="45">
        <f>COUNTIFS(Décembre!$C37:$AG37,"a")/2+Novembre!AL37</f>
        <v>0</v>
      </c>
      <c r="AM37" s="46"/>
      <c r="AN37" s="47"/>
      <c r="AO37" s="47"/>
      <c r="AP37" s="46"/>
      <c r="AQ37" s="47"/>
      <c r="AR37" s="47"/>
      <c r="AS37" s="47"/>
    </row>
    <row r="38" spans="1:45" s="63" customFormat="1" ht="12.95" customHeight="1" x14ac:dyDescent="0.25">
      <c r="A38" s="48">
        <v>42373</v>
      </c>
      <c r="B38" s="42" t="s">
        <v>16</v>
      </c>
      <c r="C38" s="67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4">
        <f>COUNTA(Décembre!$C38:$AG38)</f>
        <v>0</v>
      </c>
      <c r="AI38" s="45">
        <f>(COUNTIFS(Décembre!$C38:$AG38,("cp")))/2+Novembre!AI38</f>
        <v>6</v>
      </c>
      <c r="AJ38" s="45">
        <f>COUNTIFS(Décembre!$C38:$AG38,"RTT")/2+Novembre!AJ38</f>
        <v>0</v>
      </c>
      <c r="AK38" s="45">
        <f>COUNTIFS(Décembre!$C38:$AG38,"m")/2+Novembre!AK38</f>
        <v>0</v>
      </c>
      <c r="AL38" s="45">
        <f>COUNTIFS(Décembre!$C38:$AG38,"a")/2+Novembre!AL38</f>
        <v>0</v>
      </c>
      <c r="AM38" s="46"/>
      <c r="AN38" s="47"/>
      <c r="AO38" s="47"/>
      <c r="AP38" s="46"/>
      <c r="AQ38" s="47"/>
      <c r="AR38" s="47"/>
      <c r="AS38" s="101"/>
    </row>
    <row r="39" spans="1:45" s="63" customFormat="1" ht="12.95" customHeight="1" x14ac:dyDescent="0.25">
      <c r="A39" s="41"/>
      <c r="B39" s="42"/>
      <c r="C39" s="49" t="str">
        <f t="shared" ref="C39:AG39" si="12">IF(C37&gt;0,C37,IF(C38&gt;0,C38,""))</f>
        <v/>
      </c>
      <c r="D39" s="49" t="str">
        <f t="shared" si="12"/>
        <v/>
      </c>
      <c r="E39" s="49" t="str">
        <f t="shared" si="12"/>
        <v/>
      </c>
      <c r="F39" s="49" t="str">
        <f t="shared" si="12"/>
        <v/>
      </c>
      <c r="G39" s="49" t="str">
        <f t="shared" si="12"/>
        <v/>
      </c>
      <c r="H39" s="49" t="str">
        <f t="shared" si="12"/>
        <v/>
      </c>
      <c r="I39" s="49" t="str">
        <f t="shared" si="12"/>
        <v/>
      </c>
      <c r="J39" s="49" t="str">
        <f t="shared" si="12"/>
        <v/>
      </c>
      <c r="K39" s="49" t="str">
        <f t="shared" si="12"/>
        <v/>
      </c>
      <c r="L39" s="49" t="str">
        <f t="shared" si="12"/>
        <v/>
      </c>
      <c r="M39" s="49" t="str">
        <f t="shared" si="12"/>
        <v/>
      </c>
      <c r="N39" s="49" t="str">
        <f t="shared" si="12"/>
        <v/>
      </c>
      <c r="O39" s="49" t="str">
        <f t="shared" si="12"/>
        <v/>
      </c>
      <c r="P39" s="49" t="str">
        <f t="shared" si="12"/>
        <v/>
      </c>
      <c r="Q39" s="49" t="str">
        <f t="shared" si="12"/>
        <v/>
      </c>
      <c r="R39" s="49" t="str">
        <f t="shared" si="12"/>
        <v/>
      </c>
      <c r="S39" s="49" t="str">
        <f t="shared" si="12"/>
        <v/>
      </c>
      <c r="T39" s="49" t="str">
        <f t="shared" si="12"/>
        <v/>
      </c>
      <c r="U39" s="49" t="str">
        <f t="shared" si="12"/>
        <v/>
      </c>
      <c r="V39" s="49" t="str">
        <f t="shared" si="12"/>
        <v/>
      </c>
      <c r="W39" s="49" t="str">
        <f t="shared" si="12"/>
        <v/>
      </c>
      <c r="X39" s="49" t="str">
        <f t="shared" si="12"/>
        <v/>
      </c>
      <c r="Y39" s="49" t="str">
        <f t="shared" si="12"/>
        <v/>
      </c>
      <c r="Z39" s="49" t="str">
        <f t="shared" si="12"/>
        <v/>
      </c>
      <c r="AA39" s="49" t="str">
        <f t="shared" si="12"/>
        <v/>
      </c>
      <c r="AB39" s="49" t="str">
        <f t="shared" si="12"/>
        <v/>
      </c>
      <c r="AC39" s="49" t="str">
        <f t="shared" si="12"/>
        <v/>
      </c>
      <c r="AD39" s="49" t="str">
        <f t="shared" si="12"/>
        <v/>
      </c>
      <c r="AE39" s="49" t="str">
        <f t="shared" si="12"/>
        <v/>
      </c>
      <c r="AF39" s="49" t="str">
        <f t="shared" si="12"/>
        <v/>
      </c>
      <c r="AG39" s="49" t="str">
        <f t="shared" si="12"/>
        <v/>
      </c>
      <c r="AH39" s="44">
        <f>SUM(AH37:AH38)</f>
        <v>0</v>
      </c>
      <c r="AI39" s="45">
        <f>SUM(AI37:AI38)</f>
        <v>12</v>
      </c>
      <c r="AJ39" s="45">
        <f>SUM(AJ37:AJ38)</f>
        <v>0</v>
      </c>
      <c r="AK39" s="45">
        <f>SUM(AK37:AK38)</f>
        <v>0</v>
      </c>
      <c r="AL39" s="45">
        <f>SUM(AL37:AL38)</f>
        <v>0</v>
      </c>
      <c r="AM39" s="50">
        <f>Juin!AM39</f>
        <v>14.14</v>
      </c>
      <c r="AN39" s="51">
        <f>IF(A38="","",IF(A38&gt;NomMois,0,IF(A38&lt;$A$3,2.08,(NETWORKDAYS(A38,$A$2)/21.66667)*2.08)))</f>
        <v>2.08</v>
      </c>
      <c r="AO39" s="51">
        <f>IF( AN39="",0,+AN39+Novembre!AO39)</f>
        <v>14.56</v>
      </c>
      <c r="AP39" s="50"/>
      <c r="AQ39" s="45">
        <f>+AM39-AI39</f>
        <v>2.1400000000000006</v>
      </c>
      <c r="AR39" s="45">
        <f>+AP39-AJ39</f>
        <v>0</v>
      </c>
      <c r="AS39" s="102">
        <f t="shared" si="10"/>
        <v>16.700000000000003</v>
      </c>
    </row>
    <row r="40" spans="1:45" s="63" customFormat="1" ht="6.75" customHeight="1" x14ac:dyDescent="0.25">
      <c r="A40" s="60"/>
      <c r="B40" s="53"/>
      <c r="C40" s="60"/>
      <c r="D40" s="60"/>
      <c r="E40" s="60"/>
      <c r="F40" s="60"/>
      <c r="G40" s="60"/>
      <c r="H40" s="60"/>
      <c r="I40" s="60"/>
      <c r="J40" s="60"/>
      <c r="K40" s="60"/>
      <c r="L40" s="60"/>
      <c r="M40" s="60"/>
      <c r="N40" s="60"/>
      <c r="O40" s="60"/>
      <c r="P40" s="60"/>
      <c r="Q40" s="60"/>
      <c r="R40" s="60"/>
      <c r="S40" s="60"/>
      <c r="T40" s="60"/>
      <c r="U40" s="60"/>
      <c r="V40" s="60"/>
      <c r="W40" s="60"/>
      <c r="X40" s="60"/>
      <c r="Y40" s="60"/>
      <c r="Z40" s="60"/>
      <c r="AA40" s="60"/>
      <c r="AB40" s="60"/>
      <c r="AC40" s="60"/>
      <c r="AD40" s="60"/>
      <c r="AE40" s="60"/>
      <c r="AF40" s="60"/>
      <c r="AG40" s="60"/>
      <c r="AH40" s="61"/>
      <c r="AI40" s="61"/>
      <c r="AJ40" s="61"/>
      <c r="AK40" s="61"/>
      <c r="AL40" s="61"/>
      <c r="AM40" s="60"/>
      <c r="AN40" s="61"/>
      <c r="AO40" s="61"/>
      <c r="AP40" s="60"/>
      <c r="AQ40" s="61"/>
      <c r="AR40" s="61"/>
      <c r="AS40" s="65"/>
    </row>
    <row r="41" spans="1:45" s="63" customFormat="1" ht="12.95" customHeight="1" x14ac:dyDescent="0.25">
      <c r="A41" s="41"/>
      <c r="B41" s="42" t="s">
        <v>15</v>
      </c>
      <c r="C41" s="67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4">
        <f>COUNTA(Décembre!$C41:$AG41)</f>
        <v>0</v>
      </c>
      <c r="AI41" s="45">
        <f>(COUNTIFS(Décembre!$C41:$AG41,("cp")))/2+Novembre!AI41</f>
        <v>7.5</v>
      </c>
      <c r="AJ41" s="45">
        <f>COUNTIFS(Décembre!$C41:$AG41,"RTT")/2+Novembre!AJ41</f>
        <v>0</v>
      </c>
      <c r="AK41" s="45">
        <f>COUNTIFS(Décembre!$C41:$AG41,"m")/2+Novembre!AK41</f>
        <v>0</v>
      </c>
      <c r="AL41" s="45">
        <f>COUNTIFS(Décembre!$C41:$AG41,"a")/2+Novembre!AL41</f>
        <v>0</v>
      </c>
      <c r="AM41" s="46"/>
      <c r="AN41" s="47"/>
      <c r="AO41" s="47"/>
      <c r="AP41" s="46"/>
      <c r="AQ41" s="47"/>
      <c r="AR41" s="47"/>
      <c r="AS41" s="47"/>
    </row>
    <row r="42" spans="1:45" s="63" customFormat="1" ht="12.95" customHeight="1" x14ac:dyDescent="0.25">
      <c r="A42" s="48">
        <v>41821</v>
      </c>
      <c r="B42" s="42" t="s">
        <v>16</v>
      </c>
      <c r="C42" s="67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3"/>
      <c r="AE42" s="43"/>
      <c r="AF42" s="43"/>
      <c r="AG42" s="43"/>
      <c r="AH42" s="44">
        <f>COUNTA(Décembre!$C42:$AG42)</f>
        <v>0</v>
      </c>
      <c r="AI42" s="45">
        <f>(COUNTIFS(Décembre!$C42:$AG42,("cp")))/2+Novembre!AI42</f>
        <v>7.5</v>
      </c>
      <c r="AJ42" s="45">
        <f>COUNTIFS(Décembre!$C42:$AG42,"RTT")/2+Novembre!AJ42</f>
        <v>0</v>
      </c>
      <c r="AK42" s="45">
        <f>COUNTIFS(Décembre!$C42:$AG42,"m")/2+Novembre!AK42</f>
        <v>0</v>
      </c>
      <c r="AL42" s="45">
        <f>COUNTIFS(Décembre!$C42:$AG42,"a")/2+Novembre!AL42</f>
        <v>0</v>
      </c>
      <c r="AM42" s="46"/>
      <c r="AN42" s="47"/>
      <c r="AO42" s="47"/>
      <c r="AP42" s="46"/>
      <c r="AQ42" s="47"/>
      <c r="AR42" s="47"/>
      <c r="AS42" s="101"/>
    </row>
    <row r="43" spans="1:45" s="63" customFormat="1" ht="12.95" customHeight="1" x14ac:dyDescent="0.25">
      <c r="A43" s="41"/>
      <c r="B43" s="42"/>
      <c r="C43" s="49" t="str">
        <f t="shared" ref="C43:AG43" si="13">IF(C41&gt;0,C41,IF(C42&gt;0,C42,""))</f>
        <v/>
      </c>
      <c r="D43" s="49" t="str">
        <f t="shared" si="13"/>
        <v/>
      </c>
      <c r="E43" s="49" t="str">
        <f t="shared" si="13"/>
        <v/>
      </c>
      <c r="F43" s="49" t="str">
        <f t="shared" si="13"/>
        <v/>
      </c>
      <c r="G43" s="49" t="str">
        <f t="shared" si="13"/>
        <v/>
      </c>
      <c r="H43" s="49" t="str">
        <f t="shared" si="13"/>
        <v/>
      </c>
      <c r="I43" s="49" t="str">
        <f t="shared" si="13"/>
        <v/>
      </c>
      <c r="J43" s="49" t="str">
        <f t="shared" si="13"/>
        <v/>
      </c>
      <c r="K43" s="49" t="str">
        <f t="shared" si="13"/>
        <v/>
      </c>
      <c r="L43" s="49" t="str">
        <f t="shared" si="13"/>
        <v/>
      </c>
      <c r="M43" s="49" t="str">
        <f t="shared" si="13"/>
        <v/>
      </c>
      <c r="N43" s="49" t="str">
        <f t="shared" si="13"/>
        <v/>
      </c>
      <c r="O43" s="49" t="str">
        <f t="shared" si="13"/>
        <v/>
      </c>
      <c r="P43" s="49" t="str">
        <f t="shared" si="13"/>
        <v/>
      </c>
      <c r="Q43" s="49" t="str">
        <f t="shared" si="13"/>
        <v/>
      </c>
      <c r="R43" s="49" t="str">
        <f t="shared" si="13"/>
        <v/>
      </c>
      <c r="S43" s="49" t="str">
        <f t="shared" si="13"/>
        <v/>
      </c>
      <c r="T43" s="49" t="str">
        <f t="shared" si="13"/>
        <v/>
      </c>
      <c r="U43" s="49" t="str">
        <f t="shared" si="13"/>
        <v/>
      </c>
      <c r="V43" s="49" t="str">
        <f t="shared" si="13"/>
        <v/>
      </c>
      <c r="W43" s="49" t="str">
        <f t="shared" si="13"/>
        <v/>
      </c>
      <c r="X43" s="49" t="str">
        <f t="shared" si="13"/>
        <v/>
      </c>
      <c r="Y43" s="49" t="str">
        <f t="shared" si="13"/>
        <v/>
      </c>
      <c r="Z43" s="49" t="str">
        <f t="shared" si="13"/>
        <v/>
      </c>
      <c r="AA43" s="49" t="str">
        <f t="shared" si="13"/>
        <v/>
      </c>
      <c r="AB43" s="49" t="str">
        <f t="shared" si="13"/>
        <v/>
      </c>
      <c r="AC43" s="49" t="str">
        <f t="shared" si="13"/>
        <v/>
      </c>
      <c r="AD43" s="49" t="str">
        <f t="shared" si="13"/>
        <v/>
      </c>
      <c r="AE43" s="49" t="str">
        <f t="shared" si="13"/>
        <v/>
      </c>
      <c r="AF43" s="49" t="str">
        <f t="shared" si="13"/>
        <v/>
      </c>
      <c r="AG43" s="49" t="str">
        <f t="shared" si="13"/>
        <v/>
      </c>
      <c r="AH43" s="44">
        <f>SUM(AH41:AH42)</f>
        <v>0</v>
      </c>
      <c r="AI43" s="45">
        <f>SUM(AI41:AI42)</f>
        <v>15</v>
      </c>
      <c r="AJ43" s="45">
        <f>SUM(AJ41:AJ42)</f>
        <v>0</v>
      </c>
      <c r="AK43" s="45">
        <f>SUM(AK41:AK42)</f>
        <v>0</v>
      </c>
      <c r="AL43" s="45">
        <f>SUM(AL41:AL42)</f>
        <v>0</v>
      </c>
      <c r="AM43" s="50">
        <f>Juin!AM43</f>
        <v>20.38</v>
      </c>
      <c r="AN43" s="51">
        <f>IF(A42="","",IF(A42&gt;NomMois,0,IF(A42&lt;$A$3,2.08,(NETWORKDAYS(A42,$A$2)/21.66667)*2.08)))</f>
        <v>2.08</v>
      </c>
      <c r="AO43" s="51">
        <f>IF( AN43="",0,+AN43+Novembre!AO43)</f>
        <v>14.56</v>
      </c>
      <c r="AP43" s="50"/>
      <c r="AQ43" s="45">
        <f>+AM43-AI43</f>
        <v>5.379999999999999</v>
      </c>
      <c r="AR43" s="45">
        <f>+AP43-AJ43</f>
        <v>0</v>
      </c>
      <c r="AS43" s="102">
        <f t="shared" si="10"/>
        <v>19.939999999999998</v>
      </c>
    </row>
    <row r="44" spans="1:45" s="63" customFormat="1" ht="6.75" customHeight="1" x14ac:dyDescent="0.25">
      <c r="A44" s="60"/>
      <c r="B44" s="53"/>
      <c r="C44" s="60"/>
      <c r="D44" s="60"/>
      <c r="E44" s="60"/>
      <c r="F44" s="60"/>
      <c r="G44" s="60"/>
      <c r="H44" s="60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61"/>
      <c r="AI44" s="61"/>
      <c r="AJ44" s="61"/>
      <c r="AK44" s="61"/>
      <c r="AL44" s="61"/>
      <c r="AM44" s="60"/>
      <c r="AN44" s="61"/>
      <c r="AO44" s="61"/>
      <c r="AP44" s="60"/>
      <c r="AQ44" s="69"/>
      <c r="AR44" s="69"/>
      <c r="AS44" s="65"/>
    </row>
    <row r="45" spans="1:45" s="63" customFormat="1" ht="12.95" customHeight="1" x14ac:dyDescent="0.25">
      <c r="A45" s="41"/>
      <c r="B45" s="42" t="s">
        <v>15</v>
      </c>
      <c r="C45" s="67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4">
        <f>COUNTA(Décembre!$C45:$AG45)</f>
        <v>0</v>
      </c>
      <c r="AI45" s="45">
        <f>(COUNTIFS(Décembre!$C45:$AG45,("cp")))/2+Novembre!AI45</f>
        <v>1</v>
      </c>
      <c r="AJ45" s="45">
        <f>COUNTIFS(Décembre!$C45:$AG45,"RTT")/2+Novembre!AJ45</f>
        <v>0</v>
      </c>
      <c r="AK45" s="45">
        <f>COUNTIFS(Décembre!$C45:$AG45,"m")/2+Novembre!AK45</f>
        <v>0</v>
      </c>
      <c r="AL45" s="45">
        <f>COUNTIFS(Décembre!$C45:$AG45,"a")/2+Novembre!AL45</f>
        <v>0</v>
      </c>
      <c r="AM45" s="46"/>
      <c r="AN45" s="47"/>
      <c r="AO45" s="47"/>
      <c r="AP45" s="46"/>
      <c r="AQ45" s="47"/>
      <c r="AR45" s="47"/>
      <c r="AS45" s="47"/>
    </row>
    <row r="46" spans="1:45" s="63" customFormat="1" ht="12.95" customHeight="1" x14ac:dyDescent="0.25">
      <c r="A46" s="48">
        <v>40575</v>
      </c>
      <c r="B46" s="42" t="s">
        <v>16</v>
      </c>
      <c r="C46" s="67"/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3"/>
      <c r="AC46" s="43"/>
      <c r="AD46" s="43"/>
      <c r="AE46" s="43"/>
      <c r="AF46" s="43"/>
      <c r="AG46" s="43"/>
      <c r="AH46" s="44">
        <f>COUNTA(Décembre!$C46:$AG46)</f>
        <v>0</v>
      </c>
      <c r="AI46" s="45">
        <f>(COUNTIFS(Décembre!$C46:$AG46,("cp")))/2+Novembre!AI46</f>
        <v>1.5</v>
      </c>
      <c r="AJ46" s="45">
        <f>COUNTIFS(Décembre!$C46:$AG46,"RTT")/2+Novembre!AJ46</f>
        <v>0</v>
      </c>
      <c r="AK46" s="45">
        <f>COUNTIFS(Décembre!$C46:$AG46,"m")/2+Novembre!AK46</f>
        <v>0</v>
      </c>
      <c r="AL46" s="45">
        <f>COUNTIFS(Décembre!$C46:$AG46,"a")/2+Novembre!AL46</f>
        <v>0</v>
      </c>
      <c r="AM46" s="46"/>
      <c r="AN46" s="47"/>
      <c r="AO46" s="47"/>
      <c r="AP46" s="46"/>
      <c r="AQ46" s="47"/>
      <c r="AR46" s="47"/>
      <c r="AS46" s="101"/>
    </row>
    <row r="47" spans="1:45" s="63" customFormat="1" ht="12.95" customHeight="1" x14ac:dyDescent="0.25">
      <c r="A47" s="41"/>
      <c r="B47" s="42"/>
      <c r="C47" s="49" t="str">
        <f t="shared" ref="C47:AG47" si="14">IF(C45&gt;0,C45,IF(C46&gt;0,C46,""))</f>
        <v/>
      </c>
      <c r="D47" s="49" t="str">
        <f t="shared" si="14"/>
        <v/>
      </c>
      <c r="E47" s="49" t="str">
        <f t="shared" si="14"/>
        <v/>
      </c>
      <c r="F47" s="49" t="str">
        <f t="shared" si="14"/>
        <v/>
      </c>
      <c r="G47" s="49" t="str">
        <f t="shared" si="14"/>
        <v/>
      </c>
      <c r="H47" s="49" t="str">
        <f t="shared" si="14"/>
        <v/>
      </c>
      <c r="I47" s="49" t="str">
        <f t="shared" si="14"/>
        <v/>
      </c>
      <c r="J47" s="49" t="str">
        <f t="shared" si="14"/>
        <v/>
      </c>
      <c r="K47" s="49" t="str">
        <f t="shared" si="14"/>
        <v/>
      </c>
      <c r="L47" s="49" t="str">
        <f t="shared" si="14"/>
        <v/>
      </c>
      <c r="M47" s="49" t="str">
        <f t="shared" si="14"/>
        <v/>
      </c>
      <c r="N47" s="49" t="str">
        <f t="shared" si="14"/>
        <v/>
      </c>
      <c r="O47" s="49" t="str">
        <f t="shared" si="14"/>
        <v/>
      </c>
      <c r="P47" s="49" t="str">
        <f t="shared" si="14"/>
        <v/>
      </c>
      <c r="Q47" s="49" t="str">
        <f t="shared" si="14"/>
        <v/>
      </c>
      <c r="R47" s="49" t="str">
        <f t="shared" si="14"/>
        <v/>
      </c>
      <c r="S47" s="49" t="str">
        <f t="shared" si="14"/>
        <v/>
      </c>
      <c r="T47" s="49" t="str">
        <f t="shared" si="14"/>
        <v/>
      </c>
      <c r="U47" s="49" t="str">
        <f t="shared" si="14"/>
        <v/>
      </c>
      <c r="V47" s="49" t="str">
        <f t="shared" si="14"/>
        <v/>
      </c>
      <c r="W47" s="49" t="str">
        <f t="shared" si="14"/>
        <v/>
      </c>
      <c r="X47" s="49" t="str">
        <f t="shared" si="14"/>
        <v/>
      </c>
      <c r="Y47" s="49" t="str">
        <f t="shared" si="14"/>
        <v/>
      </c>
      <c r="Z47" s="49" t="str">
        <f t="shared" si="14"/>
        <v/>
      </c>
      <c r="AA47" s="49" t="str">
        <f t="shared" si="14"/>
        <v/>
      </c>
      <c r="AB47" s="49" t="str">
        <f t="shared" si="14"/>
        <v/>
      </c>
      <c r="AC47" s="49" t="str">
        <f t="shared" si="14"/>
        <v/>
      </c>
      <c r="AD47" s="49" t="str">
        <f t="shared" si="14"/>
        <v/>
      </c>
      <c r="AE47" s="49" t="str">
        <f t="shared" si="14"/>
        <v/>
      </c>
      <c r="AF47" s="49" t="str">
        <f t="shared" si="14"/>
        <v/>
      </c>
      <c r="AG47" s="49" t="str">
        <f t="shared" si="14"/>
        <v/>
      </c>
      <c r="AH47" s="44">
        <f>SUM(AH45:AH46)</f>
        <v>0</v>
      </c>
      <c r="AI47" s="45">
        <f>SUM(AI45:AI46)</f>
        <v>2.5</v>
      </c>
      <c r="AJ47" s="45">
        <f>SUM(AJ45:AJ46)</f>
        <v>0</v>
      </c>
      <c r="AK47" s="45">
        <f>SUM(AK45:AK46)</f>
        <v>0</v>
      </c>
      <c r="AL47" s="45">
        <f>SUM(AL45:AL46)</f>
        <v>0</v>
      </c>
      <c r="AM47" s="50">
        <f>Juin!AM47</f>
        <v>24.96</v>
      </c>
      <c r="AN47" s="51">
        <f>IF(A46="","",IF(A46&gt;NomMois,0,IF(A46&lt;$A$3,2.08,(NETWORKDAYS(A46,$A$2)/21.66667)*2.08)))</f>
        <v>2.08</v>
      </c>
      <c r="AO47" s="51">
        <f>IF( AN47="",0,+AN47+Novembre!AO47)</f>
        <v>14.56</v>
      </c>
      <c r="AP47" s="50"/>
      <c r="AQ47" s="45">
        <f>+AM47-AI47</f>
        <v>22.46</v>
      </c>
      <c r="AR47" s="45">
        <f>+AP47-AJ47</f>
        <v>0</v>
      </c>
      <c r="AS47" s="102">
        <f t="shared" si="10"/>
        <v>37.020000000000003</v>
      </c>
    </row>
    <row r="48" spans="1:45" s="63" customFormat="1" ht="6.75" customHeight="1" x14ac:dyDescent="0.25">
      <c r="A48" s="60"/>
      <c r="B48" s="53"/>
      <c r="C48" s="60"/>
      <c r="D48" s="60"/>
      <c r="E48" s="60"/>
      <c r="F48" s="60"/>
      <c r="G48" s="60"/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60"/>
      <c r="Z48" s="60"/>
      <c r="AA48" s="60"/>
      <c r="AB48" s="60"/>
      <c r="AC48" s="60"/>
      <c r="AD48" s="60"/>
      <c r="AE48" s="60"/>
      <c r="AF48" s="60"/>
      <c r="AG48" s="60"/>
      <c r="AH48" s="61"/>
      <c r="AI48" s="61"/>
      <c r="AJ48" s="61"/>
      <c r="AK48" s="61"/>
      <c r="AL48" s="61"/>
      <c r="AM48" s="60"/>
      <c r="AN48" s="61"/>
      <c r="AO48" s="61"/>
      <c r="AP48" s="60"/>
      <c r="AQ48" s="69"/>
      <c r="AR48" s="69"/>
      <c r="AS48" s="65"/>
    </row>
    <row r="49" spans="1:45" s="63" customFormat="1" ht="12.95" customHeight="1" x14ac:dyDescent="0.25">
      <c r="A49" s="41"/>
      <c r="B49" s="42" t="s">
        <v>15</v>
      </c>
      <c r="C49" s="67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 t="s">
        <v>7</v>
      </c>
      <c r="Y49" s="43"/>
      <c r="Z49" s="43"/>
      <c r="AA49" s="43"/>
      <c r="AB49" s="43"/>
      <c r="AC49" s="43"/>
      <c r="AD49" s="43"/>
      <c r="AE49" s="43"/>
      <c r="AF49" s="43"/>
      <c r="AG49" s="43"/>
      <c r="AH49" s="44">
        <f>COUNTA(Décembre!$C49:$AG49)</f>
        <v>1</v>
      </c>
      <c r="AI49" s="45">
        <f>(COUNTIFS(Décembre!$C49:$AG49,("cp")))/2+Novembre!AI49</f>
        <v>3</v>
      </c>
      <c r="AJ49" s="45">
        <f>COUNTIFS(Décembre!$C49:$AG49,"RTT")/2+Novembre!AJ49</f>
        <v>0</v>
      </c>
      <c r="AK49" s="45">
        <f>COUNTIFS(Décembre!$C49:$AG49,"m")/2+Novembre!AK49</f>
        <v>0</v>
      </c>
      <c r="AL49" s="45">
        <f>COUNTIFS(Décembre!$C49:$AG49,"a")/2+Novembre!AL49</f>
        <v>0</v>
      </c>
      <c r="AM49" s="46"/>
      <c r="AN49" s="47"/>
      <c r="AO49" s="47"/>
      <c r="AP49" s="46"/>
      <c r="AQ49" s="47"/>
      <c r="AR49" s="47"/>
      <c r="AS49" s="47"/>
    </row>
    <row r="50" spans="1:45" s="63" customFormat="1" ht="12.95" customHeight="1" x14ac:dyDescent="0.25">
      <c r="A50" s="48">
        <v>42793</v>
      </c>
      <c r="B50" s="42" t="s">
        <v>16</v>
      </c>
      <c r="C50" s="67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 t="s">
        <v>7</v>
      </c>
      <c r="Y50" s="43"/>
      <c r="Z50" s="43"/>
      <c r="AA50" s="43"/>
      <c r="AB50" s="43"/>
      <c r="AC50" s="43"/>
      <c r="AD50" s="43"/>
      <c r="AE50" s="43"/>
      <c r="AF50" s="43"/>
      <c r="AG50" s="43"/>
      <c r="AH50" s="44">
        <f>COUNTA(Décembre!$C50:$AG50)</f>
        <v>1</v>
      </c>
      <c r="AI50" s="45">
        <f>(COUNTIFS(Décembre!$C50:$AG50,("cp")))/2+Novembre!AI50</f>
        <v>3</v>
      </c>
      <c r="AJ50" s="45">
        <f>COUNTIFS(Décembre!$C50:$AG50,"RTT")/2+Novembre!AJ50</f>
        <v>0</v>
      </c>
      <c r="AK50" s="45">
        <f>COUNTIFS(Décembre!$C50:$AG50,"m")/2+Novembre!AK50</f>
        <v>0</v>
      </c>
      <c r="AL50" s="45">
        <f>COUNTIFS(Décembre!$C50:$AG50,"a")/2+Novembre!AL50</f>
        <v>0</v>
      </c>
      <c r="AM50" s="46"/>
      <c r="AN50" s="47"/>
      <c r="AO50" s="47"/>
      <c r="AP50" s="46"/>
      <c r="AQ50" s="47"/>
      <c r="AR50" s="47"/>
      <c r="AS50" s="101"/>
    </row>
    <row r="51" spans="1:45" s="63" customFormat="1" ht="12.95" customHeight="1" x14ac:dyDescent="0.25">
      <c r="A51" s="41"/>
      <c r="B51" s="42"/>
      <c r="C51" s="49" t="str">
        <f t="shared" ref="C51:AG51" si="15">IF(C49&gt;0,C49,IF(C50&gt;0,C50,""))</f>
        <v/>
      </c>
      <c r="D51" s="49" t="str">
        <f t="shared" si="15"/>
        <v/>
      </c>
      <c r="E51" s="49" t="str">
        <f t="shared" si="15"/>
        <v/>
      </c>
      <c r="F51" s="49" t="str">
        <f t="shared" si="15"/>
        <v/>
      </c>
      <c r="G51" s="49" t="str">
        <f t="shared" si="15"/>
        <v/>
      </c>
      <c r="H51" s="49" t="str">
        <f t="shared" si="15"/>
        <v/>
      </c>
      <c r="I51" s="49" t="str">
        <f t="shared" si="15"/>
        <v/>
      </c>
      <c r="J51" s="49" t="str">
        <f t="shared" si="15"/>
        <v/>
      </c>
      <c r="K51" s="49" t="str">
        <f t="shared" si="15"/>
        <v/>
      </c>
      <c r="L51" s="49" t="str">
        <f t="shared" si="15"/>
        <v/>
      </c>
      <c r="M51" s="49" t="str">
        <f t="shared" si="15"/>
        <v/>
      </c>
      <c r="N51" s="49" t="str">
        <f t="shared" si="15"/>
        <v/>
      </c>
      <c r="O51" s="49" t="str">
        <f t="shared" si="15"/>
        <v/>
      </c>
      <c r="P51" s="49" t="str">
        <f t="shared" si="15"/>
        <v/>
      </c>
      <c r="Q51" s="49" t="str">
        <f t="shared" si="15"/>
        <v/>
      </c>
      <c r="R51" s="49" t="str">
        <f t="shared" si="15"/>
        <v/>
      </c>
      <c r="S51" s="49" t="str">
        <f t="shared" si="15"/>
        <v/>
      </c>
      <c r="T51" s="49" t="str">
        <f t="shared" si="15"/>
        <v/>
      </c>
      <c r="U51" s="49" t="str">
        <f t="shared" si="15"/>
        <v/>
      </c>
      <c r="V51" s="49" t="str">
        <f t="shared" si="15"/>
        <v/>
      </c>
      <c r="W51" s="49" t="str">
        <f t="shared" si="15"/>
        <v/>
      </c>
      <c r="X51" s="49" t="str">
        <f t="shared" si="15"/>
        <v>CP</v>
      </c>
      <c r="Y51" s="49" t="str">
        <f t="shared" si="15"/>
        <v/>
      </c>
      <c r="Z51" s="49" t="str">
        <f t="shared" si="15"/>
        <v/>
      </c>
      <c r="AA51" s="49" t="str">
        <f t="shared" si="15"/>
        <v/>
      </c>
      <c r="AB51" s="49" t="str">
        <f t="shared" si="15"/>
        <v/>
      </c>
      <c r="AC51" s="49" t="str">
        <f t="shared" si="15"/>
        <v/>
      </c>
      <c r="AD51" s="49" t="str">
        <f t="shared" si="15"/>
        <v/>
      </c>
      <c r="AE51" s="49" t="str">
        <f t="shared" si="15"/>
        <v/>
      </c>
      <c r="AF51" s="49" t="str">
        <f t="shared" si="15"/>
        <v/>
      </c>
      <c r="AG51" s="49" t="str">
        <f t="shared" si="15"/>
        <v/>
      </c>
      <c r="AH51" s="44">
        <f>SUM(AH49:AH50)</f>
        <v>2</v>
      </c>
      <c r="AI51" s="45">
        <f>SUM(AI49:AI50)</f>
        <v>6</v>
      </c>
      <c r="AJ51" s="45">
        <f>SUM(AJ49:AJ50)</f>
        <v>0</v>
      </c>
      <c r="AK51" s="45">
        <f>SUM(AK49:AK50)</f>
        <v>0</v>
      </c>
      <c r="AL51" s="45">
        <f>SUM(AL49:AL50)</f>
        <v>0</v>
      </c>
      <c r="AM51" s="50">
        <f>Juin!AM51</f>
        <v>6.41</v>
      </c>
      <c r="AN51" s="51">
        <f>IF(A50="","",IF(A50&gt;NomMois,0,IF(A50&lt;$A$3,2.08,(NETWORKDAYS(A50,$A$2)/21.66667)*2.08)))</f>
        <v>2.08</v>
      </c>
      <c r="AO51" s="51">
        <f>IF( AN51="",0,+AN51+Novembre!AO51)</f>
        <v>14.56</v>
      </c>
      <c r="AP51" s="50"/>
      <c r="AQ51" s="45">
        <f>+AM51-AI51</f>
        <v>0.41000000000000014</v>
      </c>
      <c r="AR51" s="45">
        <f>+AP51-AJ51</f>
        <v>0</v>
      </c>
      <c r="AS51" s="102">
        <f t="shared" si="10"/>
        <v>14.97</v>
      </c>
    </row>
    <row r="52" spans="1:45" s="63" customFormat="1" ht="6.75" customHeight="1" x14ac:dyDescent="0.25">
      <c r="A52" s="60"/>
      <c r="B52" s="53"/>
      <c r="C52" s="60"/>
      <c r="D52" s="60"/>
      <c r="E52" s="60"/>
      <c r="F52" s="60"/>
      <c r="G52" s="60"/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0"/>
      <c r="W52" s="60"/>
      <c r="X52" s="60"/>
      <c r="Y52" s="60"/>
      <c r="Z52" s="60"/>
      <c r="AA52" s="60"/>
      <c r="AB52" s="60"/>
      <c r="AC52" s="60"/>
      <c r="AD52" s="60"/>
      <c r="AE52" s="60"/>
      <c r="AF52" s="60"/>
      <c r="AG52" s="60"/>
      <c r="AH52" s="61"/>
      <c r="AI52" s="61"/>
      <c r="AJ52" s="61"/>
      <c r="AK52" s="61"/>
      <c r="AL52" s="61"/>
      <c r="AM52" s="60"/>
      <c r="AN52" s="61"/>
      <c r="AO52" s="61"/>
      <c r="AP52" s="60"/>
      <c r="AQ52" s="69"/>
      <c r="AR52" s="69"/>
      <c r="AS52" s="65"/>
    </row>
    <row r="53" spans="1:45" s="63" customFormat="1" ht="12.95" customHeight="1" x14ac:dyDescent="0.25">
      <c r="A53" s="41"/>
      <c r="B53" s="42" t="s">
        <v>15</v>
      </c>
      <c r="C53" s="67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  <c r="AA53" s="43"/>
      <c r="AB53" s="43"/>
      <c r="AC53" s="43"/>
      <c r="AD53" s="43"/>
      <c r="AE53" s="43"/>
      <c r="AF53" s="43"/>
      <c r="AG53" s="43"/>
      <c r="AH53" s="44">
        <f>COUNTA(Décembre!$C53:$AG53)</f>
        <v>0</v>
      </c>
      <c r="AI53" s="45">
        <f>(COUNTIFS(Décembre!$C53:$AG53,("cp")))/2+Novembre!AI53</f>
        <v>9</v>
      </c>
      <c r="AJ53" s="45">
        <f>COUNTIFS(Décembre!$C53:$AG53,"RTT")/2+Novembre!AJ53</f>
        <v>0</v>
      </c>
      <c r="AK53" s="45">
        <f>COUNTIFS(Décembre!$C53:$AG53,"m")/2+Novembre!AK53</f>
        <v>0</v>
      </c>
      <c r="AL53" s="45">
        <f>COUNTIFS(Décembre!$C53:$AG53,"a")/2+Novembre!AL53</f>
        <v>0</v>
      </c>
      <c r="AM53" s="46"/>
      <c r="AN53" s="47"/>
      <c r="AO53" s="47"/>
      <c r="AP53" s="46"/>
      <c r="AQ53" s="47"/>
      <c r="AR53" s="47"/>
      <c r="AS53" s="47"/>
    </row>
    <row r="54" spans="1:45" s="63" customFormat="1" ht="12.95" customHeight="1" x14ac:dyDescent="0.25">
      <c r="A54" s="48">
        <v>42660</v>
      </c>
      <c r="B54" s="42" t="s">
        <v>16</v>
      </c>
      <c r="C54" s="67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  <c r="AA54" s="43"/>
      <c r="AB54" s="43"/>
      <c r="AC54" s="43"/>
      <c r="AD54" s="43"/>
      <c r="AE54" s="43"/>
      <c r="AF54" s="43"/>
      <c r="AG54" s="43"/>
      <c r="AH54" s="44">
        <f>COUNTA(Décembre!$C54:$AG54)</f>
        <v>0</v>
      </c>
      <c r="AI54" s="45">
        <f>(COUNTIFS(Décembre!$C54:$AG54,("cp")))/2+Novembre!AI54</f>
        <v>9</v>
      </c>
      <c r="AJ54" s="45">
        <f>COUNTIFS(Décembre!$C54:$AG54,"RTT")/2+Novembre!AJ54</f>
        <v>0</v>
      </c>
      <c r="AK54" s="45">
        <f>COUNTIFS(Décembre!$C54:$AG54,"m")/2+Novembre!AK54</f>
        <v>0</v>
      </c>
      <c r="AL54" s="45">
        <f>COUNTIFS(Décembre!$C54:$AG54,"a")/2+Novembre!AL54</f>
        <v>0</v>
      </c>
      <c r="AM54" s="46"/>
      <c r="AN54" s="47"/>
      <c r="AO54" s="47"/>
      <c r="AP54" s="46"/>
      <c r="AQ54" s="47"/>
      <c r="AR54" s="47"/>
      <c r="AS54" s="101"/>
    </row>
    <row r="55" spans="1:45" s="63" customFormat="1" ht="12.95" customHeight="1" x14ac:dyDescent="0.25">
      <c r="A55" s="41"/>
      <c r="B55" s="42"/>
      <c r="C55" s="49" t="str">
        <f t="shared" ref="C55:AG55" si="16">IF(C53&gt;0,C53,IF(C54&gt;0,C54,""))</f>
        <v/>
      </c>
      <c r="D55" s="49" t="str">
        <f t="shared" si="16"/>
        <v/>
      </c>
      <c r="E55" s="49" t="str">
        <f t="shared" si="16"/>
        <v/>
      </c>
      <c r="F55" s="49" t="str">
        <f t="shared" si="16"/>
        <v/>
      </c>
      <c r="G55" s="49" t="str">
        <f t="shared" si="16"/>
        <v/>
      </c>
      <c r="H55" s="49" t="str">
        <f t="shared" si="16"/>
        <v/>
      </c>
      <c r="I55" s="49" t="str">
        <f t="shared" si="16"/>
        <v/>
      </c>
      <c r="J55" s="49" t="str">
        <f t="shared" si="16"/>
        <v/>
      </c>
      <c r="K55" s="49" t="str">
        <f t="shared" si="16"/>
        <v/>
      </c>
      <c r="L55" s="49" t="str">
        <f t="shared" si="16"/>
        <v/>
      </c>
      <c r="M55" s="49" t="str">
        <f t="shared" si="16"/>
        <v/>
      </c>
      <c r="N55" s="49" t="str">
        <f t="shared" si="16"/>
        <v/>
      </c>
      <c r="O55" s="49" t="str">
        <f t="shared" si="16"/>
        <v/>
      </c>
      <c r="P55" s="49" t="str">
        <f t="shared" si="16"/>
        <v/>
      </c>
      <c r="Q55" s="49" t="str">
        <f t="shared" si="16"/>
        <v/>
      </c>
      <c r="R55" s="49" t="str">
        <f t="shared" si="16"/>
        <v/>
      </c>
      <c r="S55" s="49" t="str">
        <f t="shared" si="16"/>
        <v/>
      </c>
      <c r="T55" s="49" t="str">
        <f t="shared" si="16"/>
        <v/>
      </c>
      <c r="U55" s="49" t="str">
        <f t="shared" si="16"/>
        <v/>
      </c>
      <c r="V55" s="49" t="str">
        <f t="shared" si="16"/>
        <v/>
      </c>
      <c r="W55" s="49" t="str">
        <f t="shared" si="16"/>
        <v/>
      </c>
      <c r="X55" s="49" t="str">
        <f t="shared" si="16"/>
        <v/>
      </c>
      <c r="Y55" s="49" t="str">
        <f t="shared" si="16"/>
        <v/>
      </c>
      <c r="Z55" s="49" t="str">
        <f t="shared" si="16"/>
        <v/>
      </c>
      <c r="AA55" s="49" t="str">
        <f t="shared" si="16"/>
        <v/>
      </c>
      <c r="AB55" s="49" t="str">
        <f t="shared" si="16"/>
        <v/>
      </c>
      <c r="AC55" s="49" t="str">
        <f t="shared" si="16"/>
        <v/>
      </c>
      <c r="AD55" s="49" t="str">
        <f t="shared" si="16"/>
        <v/>
      </c>
      <c r="AE55" s="49" t="str">
        <f t="shared" si="16"/>
        <v/>
      </c>
      <c r="AF55" s="49" t="str">
        <f t="shared" si="16"/>
        <v/>
      </c>
      <c r="AG55" s="49" t="str">
        <f t="shared" si="16"/>
        <v/>
      </c>
      <c r="AH55" s="44">
        <f>SUM(AH53:AH54)</f>
        <v>0</v>
      </c>
      <c r="AI55" s="45">
        <f>SUM(AI53:AI54)</f>
        <v>18</v>
      </c>
      <c r="AJ55" s="45">
        <f>SUM(AJ53:AJ54)</f>
        <v>0</v>
      </c>
      <c r="AK55" s="45">
        <f>SUM(AK53:AK54)</f>
        <v>0</v>
      </c>
      <c r="AL55" s="45">
        <f>SUM(AL53:AL54)</f>
        <v>0</v>
      </c>
      <c r="AM55" s="50">
        <f>Juin!AM55</f>
        <v>15.68</v>
      </c>
      <c r="AN55" s="51">
        <f>IF(A54="","",IF(A54&gt;NomMois,0,IF(A54&lt;$A$3,2.08,(NETWORKDAYS(A54,$A$2)/21.66667)*2.08)))</f>
        <v>2.08</v>
      </c>
      <c r="AO55" s="51">
        <f>IF( AN55="",0,+AN55+Novembre!AO55)</f>
        <v>14.56</v>
      </c>
      <c r="AP55" s="50"/>
      <c r="AQ55" s="45">
        <f>+AM55-AI55</f>
        <v>-2.3200000000000003</v>
      </c>
      <c r="AR55" s="45">
        <f>+AP55-AJ55</f>
        <v>0</v>
      </c>
      <c r="AS55" s="102">
        <f t="shared" si="10"/>
        <v>12.24</v>
      </c>
    </row>
    <row r="56" spans="1:45" s="63" customFormat="1" ht="6.75" customHeight="1" x14ac:dyDescent="0.25">
      <c r="A56" s="60"/>
      <c r="B56" s="53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60"/>
      <c r="X56" s="60"/>
      <c r="Y56" s="60"/>
      <c r="Z56" s="60"/>
      <c r="AA56" s="60"/>
      <c r="AB56" s="60"/>
      <c r="AC56" s="60"/>
      <c r="AD56" s="60"/>
      <c r="AE56" s="60"/>
      <c r="AF56" s="60"/>
      <c r="AG56" s="60"/>
      <c r="AH56" s="61"/>
      <c r="AI56" s="61"/>
      <c r="AJ56" s="61"/>
      <c r="AK56" s="61"/>
      <c r="AL56" s="61"/>
      <c r="AM56" s="60"/>
      <c r="AN56" s="61"/>
      <c r="AO56" s="61"/>
      <c r="AP56" s="60"/>
      <c r="AQ56" s="69"/>
      <c r="AR56" s="69"/>
      <c r="AS56" s="65"/>
    </row>
    <row r="57" spans="1:45" s="63" customFormat="1" ht="12.95" customHeight="1" x14ac:dyDescent="0.25">
      <c r="A57" s="41"/>
      <c r="B57" s="42" t="s">
        <v>15</v>
      </c>
      <c r="C57" s="67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3"/>
      <c r="AB57" s="43"/>
      <c r="AC57" s="43"/>
      <c r="AD57" s="43"/>
      <c r="AE57" s="43"/>
      <c r="AF57" s="43"/>
      <c r="AG57" s="43"/>
      <c r="AH57" s="44">
        <f>COUNTA(Décembre!$C57:$AG57)</f>
        <v>0</v>
      </c>
      <c r="AI57" s="45">
        <f>(COUNTIFS(Décembre!$C57:$AG57,("cp")))/2+Novembre!AI57</f>
        <v>0</v>
      </c>
      <c r="AJ57" s="45">
        <f>COUNTIFS(Décembre!$C57:$AG57,"RTT")/2+Novembre!AJ57</f>
        <v>0</v>
      </c>
      <c r="AK57" s="45">
        <f>COUNTIFS(Décembre!$C57:$AG57,"m")/2+Novembre!AK57</f>
        <v>0</v>
      </c>
      <c r="AL57" s="45">
        <f>COUNTIFS(Décembre!$C57:$AG57,"a")/2+Novembre!AL57</f>
        <v>0</v>
      </c>
      <c r="AM57" s="46"/>
      <c r="AN57" s="47"/>
      <c r="AO57" s="47"/>
      <c r="AP57" s="46"/>
      <c r="AQ57" s="47"/>
      <c r="AR57" s="47"/>
      <c r="AS57" s="47"/>
    </row>
    <row r="58" spans="1:45" s="63" customFormat="1" ht="12.95" customHeight="1" x14ac:dyDescent="0.25">
      <c r="A58" s="48">
        <v>42975</v>
      </c>
      <c r="B58" s="42" t="s">
        <v>16</v>
      </c>
      <c r="C58" s="67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3"/>
      <c r="AB58" s="43"/>
      <c r="AC58" s="43"/>
      <c r="AD58" s="43"/>
      <c r="AE58" s="43"/>
      <c r="AF58" s="43"/>
      <c r="AG58" s="43"/>
      <c r="AH58" s="44">
        <f>COUNTA(Décembre!$C58:$AG58)</f>
        <v>0</v>
      </c>
      <c r="AI58" s="45">
        <f>(COUNTIFS(Décembre!$C58:$AG58,("cp")))/2+Novembre!AI58</f>
        <v>0</v>
      </c>
      <c r="AJ58" s="45">
        <f>COUNTIFS(Décembre!$C58:$AG58,"RTT")/2+Novembre!AJ58</f>
        <v>0</v>
      </c>
      <c r="AK58" s="45">
        <f>COUNTIFS(Décembre!$C58:$AG58,"m")/2+Novembre!AK58</f>
        <v>0</v>
      </c>
      <c r="AL58" s="45">
        <f>COUNTIFS(Décembre!$C58:$AG58,"a")/2+Novembre!AL58</f>
        <v>0</v>
      </c>
      <c r="AM58" s="46"/>
      <c r="AN58" s="47"/>
      <c r="AO58" s="47"/>
      <c r="AP58" s="46"/>
      <c r="AQ58" s="47"/>
      <c r="AR58" s="47"/>
      <c r="AS58" s="101"/>
    </row>
    <row r="59" spans="1:45" s="63" customFormat="1" ht="12.95" customHeight="1" x14ac:dyDescent="0.25">
      <c r="A59" s="41"/>
      <c r="B59" s="42"/>
      <c r="C59" s="49" t="str">
        <f t="shared" ref="C59:AG59" si="17">IF(C57&gt;0,C57,IF(C58&gt;0,C58,""))</f>
        <v/>
      </c>
      <c r="D59" s="49" t="str">
        <f t="shared" si="17"/>
        <v/>
      </c>
      <c r="E59" s="49" t="str">
        <f t="shared" si="17"/>
        <v/>
      </c>
      <c r="F59" s="49" t="str">
        <f t="shared" si="17"/>
        <v/>
      </c>
      <c r="G59" s="49" t="str">
        <f t="shared" si="17"/>
        <v/>
      </c>
      <c r="H59" s="49" t="str">
        <f t="shared" si="17"/>
        <v/>
      </c>
      <c r="I59" s="49" t="str">
        <f t="shared" si="17"/>
        <v/>
      </c>
      <c r="J59" s="49" t="str">
        <f t="shared" si="17"/>
        <v/>
      </c>
      <c r="K59" s="49" t="str">
        <f t="shared" si="17"/>
        <v/>
      </c>
      <c r="L59" s="49" t="str">
        <f t="shared" si="17"/>
        <v/>
      </c>
      <c r="M59" s="49" t="str">
        <f t="shared" si="17"/>
        <v/>
      </c>
      <c r="N59" s="49" t="str">
        <f t="shared" si="17"/>
        <v/>
      </c>
      <c r="O59" s="49" t="str">
        <f t="shared" si="17"/>
        <v/>
      </c>
      <c r="P59" s="49" t="str">
        <f t="shared" si="17"/>
        <v/>
      </c>
      <c r="Q59" s="49" t="str">
        <f t="shared" si="17"/>
        <v/>
      </c>
      <c r="R59" s="49" t="str">
        <f t="shared" si="17"/>
        <v/>
      </c>
      <c r="S59" s="49" t="str">
        <f t="shared" si="17"/>
        <v/>
      </c>
      <c r="T59" s="49" t="str">
        <f t="shared" si="17"/>
        <v/>
      </c>
      <c r="U59" s="49" t="str">
        <f t="shared" si="17"/>
        <v/>
      </c>
      <c r="V59" s="49" t="str">
        <f t="shared" si="17"/>
        <v/>
      </c>
      <c r="W59" s="49" t="str">
        <f t="shared" si="17"/>
        <v/>
      </c>
      <c r="X59" s="49" t="str">
        <f t="shared" si="17"/>
        <v/>
      </c>
      <c r="Y59" s="49" t="str">
        <f t="shared" si="17"/>
        <v/>
      </c>
      <c r="Z59" s="49" t="str">
        <f t="shared" si="17"/>
        <v/>
      </c>
      <c r="AA59" s="49" t="str">
        <f t="shared" si="17"/>
        <v/>
      </c>
      <c r="AB59" s="49" t="str">
        <f t="shared" si="17"/>
        <v/>
      </c>
      <c r="AC59" s="49" t="str">
        <f t="shared" si="17"/>
        <v/>
      </c>
      <c r="AD59" s="49" t="str">
        <f t="shared" si="17"/>
        <v/>
      </c>
      <c r="AE59" s="49" t="str">
        <f t="shared" si="17"/>
        <v/>
      </c>
      <c r="AF59" s="49" t="str">
        <f t="shared" si="17"/>
        <v/>
      </c>
      <c r="AG59" s="49" t="str">
        <f t="shared" si="17"/>
        <v/>
      </c>
      <c r="AH59" s="44">
        <f>SUM(AH57:AH58)</f>
        <v>0</v>
      </c>
      <c r="AI59" s="45">
        <f>SUM(AI57:AI58)</f>
        <v>0</v>
      </c>
      <c r="AJ59" s="45">
        <f>SUM(AJ57:AJ58)</f>
        <v>0</v>
      </c>
      <c r="AK59" s="45">
        <f>SUM(AK57:AK58)</f>
        <v>0</v>
      </c>
      <c r="AL59" s="45">
        <f>SUM(AL57:AL58)</f>
        <v>0</v>
      </c>
      <c r="AM59" s="50">
        <v>0</v>
      </c>
      <c r="AN59" s="51">
        <f>IF(A58="","",IF(A58&gt;NomMois,0,IF(A58&lt;$A$3,2.08,(NETWORKDAYS(A58,$A$2)/21.66667)*2.08)))</f>
        <v>2.08</v>
      </c>
      <c r="AO59" s="51">
        <f>IF( AN59="",0,+AN59+Novembre!AO59)</f>
        <v>8.7039999409230866</v>
      </c>
      <c r="AP59" s="50"/>
      <c r="AQ59" s="45">
        <f>+AM59-AI59</f>
        <v>0</v>
      </c>
      <c r="AR59" s="45">
        <f>+AP59-AJ59</f>
        <v>0</v>
      </c>
      <c r="AS59" s="102">
        <f t="shared" si="10"/>
        <v>8.7039999409230866</v>
      </c>
    </row>
    <row r="60" spans="1:45" s="63" customFormat="1" ht="6.75" customHeight="1" x14ac:dyDescent="0.25">
      <c r="A60" s="60"/>
      <c r="B60" s="42"/>
      <c r="C60" s="64"/>
      <c r="D60" s="64"/>
      <c r="E60" s="64"/>
      <c r="F60" s="64"/>
      <c r="G60" s="64"/>
      <c r="H60" s="64"/>
      <c r="I60" s="64"/>
      <c r="J60" s="64"/>
      <c r="K60" s="64"/>
      <c r="L60" s="64"/>
      <c r="M60" s="64"/>
      <c r="N60" s="64"/>
      <c r="O60" s="64"/>
      <c r="P60" s="64"/>
      <c r="Q60" s="64"/>
      <c r="R60" s="64"/>
      <c r="S60" s="64"/>
      <c r="T60" s="64"/>
      <c r="U60" s="64"/>
      <c r="V60" s="64"/>
      <c r="W60" s="64"/>
      <c r="X60" s="64"/>
      <c r="Y60" s="64"/>
      <c r="Z60" s="64"/>
      <c r="AA60" s="64"/>
      <c r="AB60" s="64"/>
      <c r="AC60" s="64"/>
      <c r="AD60" s="64"/>
      <c r="AE60" s="64"/>
      <c r="AF60" s="64"/>
      <c r="AG60" s="64"/>
      <c r="AH60" s="65"/>
      <c r="AI60" s="65"/>
      <c r="AJ60" s="65"/>
      <c r="AK60" s="65"/>
      <c r="AL60" s="65"/>
      <c r="AM60" s="64"/>
      <c r="AN60" s="65"/>
      <c r="AO60" s="65"/>
      <c r="AP60" s="64"/>
      <c r="AQ60" s="69"/>
      <c r="AR60" s="69"/>
      <c r="AS60" s="65"/>
    </row>
    <row r="61" spans="1:45" s="63" customFormat="1" ht="12.95" customHeight="1" x14ac:dyDescent="0.25">
      <c r="A61" s="41"/>
      <c r="B61" s="42" t="s">
        <v>15</v>
      </c>
      <c r="C61" s="67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  <c r="AA61" s="43"/>
      <c r="AB61" s="43"/>
      <c r="AC61" s="43"/>
      <c r="AD61" s="43"/>
      <c r="AE61" s="43"/>
      <c r="AF61" s="43"/>
      <c r="AG61" s="43"/>
      <c r="AH61" s="44">
        <f>COUNTA(Décembre!$C61:$AG61)</f>
        <v>0</v>
      </c>
      <c r="AI61" s="45">
        <f>(COUNTIFS(Décembre!$C61:$AG61,("cp")))/2+Novembre!AI61</f>
        <v>10</v>
      </c>
      <c r="AJ61" s="45">
        <f>COUNTIFS(Décembre!$C61:$AG61,"RTT")/2+Novembre!AJ61</f>
        <v>0</v>
      </c>
      <c r="AK61" s="45">
        <f>COUNTIFS(Décembre!$C61:$AG61,"m")/2+Novembre!AK61</f>
        <v>0</v>
      </c>
      <c r="AL61" s="45">
        <f>COUNTIFS(Décembre!$C61:$AG61,"a")/2+Novembre!AL61</f>
        <v>0</v>
      </c>
      <c r="AM61" s="46"/>
      <c r="AN61" s="47"/>
      <c r="AO61" s="47"/>
      <c r="AP61" s="46"/>
      <c r="AQ61" s="47"/>
      <c r="AR61" s="47"/>
      <c r="AS61" s="47"/>
    </row>
    <row r="62" spans="1:45" s="63" customFormat="1" ht="12.95" customHeight="1" x14ac:dyDescent="0.25">
      <c r="A62" s="48">
        <v>42646</v>
      </c>
      <c r="B62" s="42" t="s">
        <v>16</v>
      </c>
      <c r="C62" s="67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  <c r="AA62" s="43"/>
      <c r="AB62" s="43"/>
      <c r="AC62" s="43"/>
      <c r="AD62" s="43"/>
      <c r="AE62" s="43"/>
      <c r="AF62" s="43"/>
      <c r="AG62" s="43"/>
      <c r="AH62" s="44">
        <f>COUNTA(Décembre!$C62:$AG62)</f>
        <v>0</v>
      </c>
      <c r="AI62" s="45">
        <f>(COUNTIFS(Décembre!$C62:$AG62,("cp")))/2+Novembre!AI62</f>
        <v>10</v>
      </c>
      <c r="AJ62" s="45">
        <f>COUNTIFS(Décembre!$C62:$AG62,"RTT")/2+Novembre!AJ62</f>
        <v>0</v>
      </c>
      <c r="AK62" s="45">
        <f>COUNTIFS(Décembre!$C62:$AG62,"m")/2+Novembre!AK62</f>
        <v>0</v>
      </c>
      <c r="AL62" s="45">
        <f>COUNTIFS(Décembre!$C62:$AG62,"a")/2+Novembre!AL62</f>
        <v>0</v>
      </c>
      <c r="AM62" s="46"/>
      <c r="AN62" s="47"/>
      <c r="AO62" s="47"/>
      <c r="AP62" s="46"/>
      <c r="AQ62" s="47"/>
      <c r="AR62" s="47"/>
      <c r="AS62" s="101"/>
    </row>
    <row r="63" spans="1:45" s="63" customFormat="1" ht="12.95" customHeight="1" x14ac:dyDescent="0.25">
      <c r="A63" s="41"/>
      <c r="B63" s="42"/>
      <c r="C63" s="49" t="str">
        <f t="shared" ref="C63:AG63" si="18">IF(C61&gt;0,C61,IF(C62&gt;0,C62,""))</f>
        <v/>
      </c>
      <c r="D63" s="49" t="str">
        <f t="shared" si="18"/>
        <v/>
      </c>
      <c r="E63" s="49" t="str">
        <f t="shared" si="18"/>
        <v/>
      </c>
      <c r="F63" s="49" t="str">
        <f t="shared" si="18"/>
        <v/>
      </c>
      <c r="G63" s="49" t="str">
        <f t="shared" si="18"/>
        <v/>
      </c>
      <c r="H63" s="49" t="str">
        <f t="shared" si="18"/>
        <v/>
      </c>
      <c r="I63" s="49" t="str">
        <f t="shared" si="18"/>
        <v/>
      </c>
      <c r="J63" s="49" t="str">
        <f t="shared" si="18"/>
        <v/>
      </c>
      <c r="K63" s="49" t="str">
        <f t="shared" si="18"/>
        <v/>
      </c>
      <c r="L63" s="49" t="str">
        <f t="shared" si="18"/>
        <v/>
      </c>
      <c r="M63" s="49" t="str">
        <f t="shared" si="18"/>
        <v/>
      </c>
      <c r="N63" s="49" t="str">
        <f t="shared" si="18"/>
        <v/>
      </c>
      <c r="O63" s="49" t="str">
        <f t="shared" si="18"/>
        <v/>
      </c>
      <c r="P63" s="49" t="str">
        <f t="shared" si="18"/>
        <v/>
      </c>
      <c r="Q63" s="49" t="str">
        <f t="shared" si="18"/>
        <v/>
      </c>
      <c r="R63" s="49" t="str">
        <f t="shared" si="18"/>
        <v/>
      </c>
      <c r="S63" s="49" t="str">
        <f t="shared" si="18"/>
        <v/>
      </c>
      <c r="T63" s="49" t="str">
        <f t="shared" si="18"/>
        <v/>
      </c>
      <c r="U63" s="49" t="str">
        <f t="shared" si="18"/>
        <v/>
      </c>
      <c r="V63" s="49" t="str">
        <f t="shared" si="18"/>
        <v/>
      </c>
      <c r="W63" s="49" t="str">
        <f t="shared" si="18"/>
        <v/>
      </c>
      <c r="X63" s="49" t="str">
        <f t="shared" si="18"/>
        <v/>
      </c>
      <c r="Y63" s="49" t="str">
        <f t="shared" si="18"/>
        <v/>
      </c>
      <c r="Z63" s="49" t="str">
        <f t="shared" si="18"/>
        <v/>
      </c>
      <c r="AA63" s="49" t="str">
        <f t="shared" si="18"/>
        <v/>
      </c>
      <c r="AB63" s="49" t="str">
        <f t="shared" si="18"/>
        <v/>
      </c>
      <c r="AC63" s="49" t="str">
        <f t="shared" si="18"/>
        <v/>
      </c>
      <c r="AD63" s="49" t="str">
        <f t="shared" si="18"/>
        <v/>
      </c>
      <c r="AE63" s="49" t="str">
        <f t="shared" si="18"/>
        <v/>
      </c>
      <c r="AF63" s="49" t="str">
        <f t="shared" si="18"/>
        <v/>
      </c>
      <c r="AG63" s="49" t="str">
        <f t="shared" si="18"/>
        <v/>
      </c>
      <c r="AH63" s="44">
        <f>SUM(AH61:AH62)</f>
        <v>0</v>
      </c>
      <c r="AI63" s="45">
        <f>SUM(AI61:AI62)</f>
        <v>20</v>
      </c>
      <c r="AJ63" s="45">
        <f>SUM(AJ61:AJ62)</f>
        <v>0</v>
      </c>
      <c r="AK63" s="45">
        <f>SUM(AK61:AK62)</f>
        <v>0</v>
      </c>
      <c r="AL63" s="45">
        <f>SUM(AL61:AL62)</f>
        <v>0</v>
      </c>
      <c r="AM63" s="50">
        <f>Juin!AM63</f>
        <v>16.64</v>
      </c>
      <c r="AN63" s="51">
        <f>IF(A62="","",IF(A62&gt;NomMois,0,IF(A62&lt;$A$3,2.08,(NETWORKDAYS(A62,$A$2)/21.66667)*2.08)))</f>
        <v>2.08</v>
      </c>
      <c r="AO63" s="51">
        <f>IF( AN63="",0,+AN63+Novembre!AO63)</f>
        <v>14.56</v>
      </c>
      <c r="AP63" s="50"/>
      <c r="AQ63" s="45">
        <f>+AM63-AI63</f>
        <v>-3.3599999999999994</v>
      </c>
      <c r="AR63" s="45">
        <f>+AP63-AJ63</f>
        <v>0</v>
      </c>
      <c r="AS63" s="102">
        <f t="shared" si="10"/>
        <v>11.200000000000001</v>
      </c>
    </row>
    <row r="64" spans="1:45" s="63" customFormat="1" ht="6.75" customHeight="1" x14ac:dyDescent="0.25">
      <c r="A64" s="60"/>
      <c r="B64" s="53"/>
      <c r="C64" s="60"/>
      <c r="D64" s="60"/>
      <c r="E64" s="60"/>
      <c r="F64" s="60"/>
      <c r="G64" s="60"/>
      <c r="H64" s="60"/>
      <c r="I64" s="60"/>
      <c r="J64" s="60"/>
      <c r="K64" s="60"/>
      <c r="L64" s="60"/>
      <c r="M64" s="60"/>
      <c r="N64" s="60"/>
      <c r="O64" s="60"/>
      <c r="P64" s="60"/>
      <c r="Q64" s="60"/>
      <c r="R64" s="60"/>
      <c r="S64" s="60"/>
      <c r="T64" s="60"/>
      <c r="U64" s="60"/>
      <c r="V64" s="60"/>
      <c r="W64" s="60"/>
      <c r="X64" s="60"/>
      <c r="Y64" s="60"/>
      <c r="Z64" s="60"/>
      <c r="AA64" s="60"/>
      <c r="AB64" s="60"/>
      <c r="AC64" s="60"/>
      <c r="AD64" s="60"/>
      <c r="AE64" s="60"/>
      <c r="AF64" s="60"/>
      <c r="AG64" s="60"/>
      <c r="AH64" s="61">
        <v>0</v>
      </c>
      <c r="AI64" s="61">
        <v>0</v>
      </c>
      <c r="AJ64" s="61">
        <v>0</v>
      </c>
      <c r="AK64" s="61">
        <v>0</v>
      </c>
      <c r="AL64" s="61">
        <v>0</v>
      </c>
      <c r="AM64" s="60"/>
      <c r="AN64" s="61"/>
      <c r="AO64" s="61"/>
      <c r="AP64" s="60"/>
      <c r="AQ64" s="69"/>
      <c r="AR64" s="69"/>
      <c r="AS64" s="65"/>
    </row>
    <row r="65" spans="1:45" s="63" customFormat="1" ht="12.95" customHeight="1" x14ac:dyDescent="0.25">
      <c r="A65" s="41"/>
      <c r="B65" s="42" t="s">
        <v>15</v>
      </c>
      <c r="C65" s="67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  <c r="W65" s="43"/>
      <c r="X65" s="43"/>
      <c r="Y65" s="43"/>
      <c r="Z65" s="43"/>
      <c r="AA65" s="43"/>
      <c r="AB65" s="43"/>
      <c r="AC65" s="43"/>
      <c r="AD65" s="43"/>
      <c r="AE65" s="43"/>
      <c r="AF65" s="43"/>
      <c r="AG65" s="43"/>
      <c r="AH65" s="44">
        <f>COUNTA(Décembre!$C65:$AG65)</f>
        <v>0</v>
      </c>
      <c r="AI65" s="45">
        <f>(COUNTIFS(Décembre!$C65:$AG65,("cp")))/2+Novembre!AI65</f>
        <v>8</v>
      </c>
      <c r="AJ65" s="45">
        <f>COUNTIFS(Décembre!$C65:$AG65,"RTT")/2+Novembre!AJ65</f>
        <v>0</v>
      </c>
      <c r="AK65" s="45">
        <f>COUNTIFS(Décembre!$C65:$AG65,"m")/2+Novembre!AK65</f>
        <v>0</v>
      </c>
      <c r="AL65" s="45">
        <f>COUNTIFS(Décembre!$C65:$AG65,"a")/2+Novembre!AL65</f>
        <v>0</v>
      </c>
      <c r="AM65" s="46"/>
      <c r="AN65" s="47"/>
      <c r="AO65" s="47"/>
      <c r="AP65" s="46"/>
      <c r="AQ65" s="47"/>
      <c r="AR65" s="47"/>
      <c r="AS65" s="47"/>
    </row>
    <row r="66" spans="1:45" s="63" customFormat="1" ht="12.95" customHeight="1" x14ac:dyDescent="0.25">
      <c r="A66" s="48">
        <v>42410</v>
      </c>
      <c r="B66" s="42" t="s">
        <v>16</v>
      </c>
      <c r="C66" s="67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3"/>
      <c r="T66" s="43"/>
      <c r="U66" s="43"/>
      <c r="V66" s="43"/>
      <c r="W66" s="43"/>
      <c r="X66" s="43"/>
      <c r="Y66" s="43"/>
      <c r="Z66" s="43"/>
      <c r="AA66" s="43"/>
      <c r="AB66" s="43"/>
      <c r="AC66" s="43"/>
      <c r="AD66" s="43"/>
      <c r="AE66" s="43"/>
      <c r="AF66" s="43"/>
      <c r="AG66" s="43"/>
      <c r="AH66" s="44">
        <f>COUNTA(Décembre!$C66:$AG66)</f>
        <v>0</v>
      </c>
      <c r="AI66" s="45">
        <f>(COUNTIFS(Décembre!$C66:$AG66,("cp")))/2+Novembre!AI66</f>
        <v>8</v>
      </c>
      <c r="AJ66" s="45">
        <f>COUNTIFS(Décembre!$C66:$AG66,"RTT")/2+Novembre!AJ66</f>
        <v>0</v>
      </c>
      <c r="AK66" s="45">
        <f>COUNTIFS(Décembre!$C66:$AG66,"m")/2+Novembre!AK66</f>
        <v>0</v>
      </c>
      <c r="AL66" s="45">
        <f>COUNTIFS(Décembre!$C66:$AG66,"a")/2+Novembre!AL66</f>
        <v>0</v>
      </c>
      <c r="AM66" s="46"/>
      <c r="AN66" s="47"/>
      <c r="AO66" s="47"/>
      <c r="AP66" s="46"/>
      <c r="AQ66" s="47"/>
      <c r="AR66" s="47"/>
      <c r="AS66" s="101"/>
    </row>
    <row r="67" spans="1:45" s="63" customFormat="1" ht="12.95" customHeight="1" x14ac:dyDescent="0.25">
      <c r="A67" s="41"/>
      <c r="B67" s="42"/>
      <c r="C67" s="49" t="str">
        <f t="shared" ref="C67:AG67" si="19">IF(C65&gt;0,C65,IF(C66&gt;0,C66,""))</f>
        <v/>
      </c>
      <c r="D67" s="49" t="str">
        <f t="shared" si="19"/>
        <v/>
      </c>
      <c r="E67" s="49" t="str">
        <f t="shared" si="19"/>
        <v/>
      </c>
      <c r="F67" s="49" t="str">
        <f t="shared" si="19"/>
        <v/>
      </c>
      <c r="G67" s="49" t="str">
        <f t="shared" si="19"/>
        <v/>
      </c>
      <c r="H67" s="49" t="str">
        <f t="shared" si="19"/>
        <v/>
      </c>
      <c r="I67" s="49" t="str">
        <f t="shared" si="19"/>
        <v/>
      </c>
      <c r="J67" s="49" t="str">
        <f t="shared" si="19"/>
        <v/>
      </c>
      <c r="K67" s="49" t="str">
        <f t="shared" si="19"/>
        <v/>
      </c>
      <c r="L67" s="49" t="str">
        <f t="shared" si="19"/>
        <v/>
      </c>
      <c r="M67" s="49" t="str">
        <f t="shared" si="19"/>
        <v/>
      </c>
      <c r="N67" s="49" t="str">
        <f t="shared" si="19"/>
        <v/>
      </c>
      <c r="O67" s="49" t="str">
        <f t="shared" si="19"/>
        <v/>
      </c>
      <c r="P67" s="49" t="str">
        <f t="shared" si="19"/>
        <v/>
      </c>
      <c r="Q67" s="49" t="str">
        <f t="shared" si="19"/>
        <v/>
      </c>
      <c r="R67" s="49" t="str">
        <f t="shared" si="19"/>
        <v/>
      </c>
      <c r="S67" s="49" t="str">
        <f t="shared" si="19"/>
        <v/>
      </c>
      <c r="T67" s="49" t="str">
        <f t="shared" si="19"/>
        <v/>
      </c>
      <c r="U67" s="49" t="str">
        <f t="shared" si="19"/>
        <v/>
      </c>
      <c r="V67" s="49" t="str">
        <f t="shared" si="19"/>
        <v/>
      </c>
      <c r="W67" s="49" t="str">
        <f t="shared" si="19"/>
        <v/>
      </c>
      <c r="X67" s="49" t="str">
        <f t="shared" si="19"/>
        <v/>
      </c>
      <c r="Y67" s="49" t="str">
        <f t="shared" si="19"/>
        <v/>
      </c>
      <c r="Z67" s="49" t="str">
        <f t="shared" si="19"/>
        <v/>
      </c>
      <c r="AA67" s="49" t="str">
        <f t="shared" si="19"/>
        <v/>
      </c>
      <c r="AB67" s="49" t="str">
        <f t="shared" si="19"/>
        <v/>
      </c>
      <c r="AC67" s="49" t="str">
        <f t="shared" si="19"/>
        <v/>
      </c>
      <c r="AD67" s="49" t="str">
        <f t="shared" si="19"/>
        <v/>
      </c>
      <c r="AE67" s="49" t="str">
        <f t="shared" si="19"/>
        <v/>
      </c>
      <c r="AF67" s="49" t="str">
        <f t="shared" si="19"/>
        <v/>
      </c>
      <c r="AG67" s="49" t="str">
        <f t="shared" si="19"/>
        <v/>
      </c>
      <c r="AH67" s="44">
        <f>SUM(AH65:AH66)</f>
        <v>0</v>
      </c>
      <c r="AI67" s="45">
        <f>SUM(AI65:AI66)</f>
        <v>16</v>
      </c>
      <c r="AJ67" s="45">
        <f>SUM(AJ65:AJ66)</f>
        <v>0</v>
      </c>
      <c r="AK67" s="45">
        <f>SUM(AK65:AK66)</f>
        <v>0</v>
      </c>
      <c r="AL67" s="45">
        <f>SUM(AL65:AL66)</f>
        <v>0</v>
      </c>
      <c r="AM67" s="50">
        <f>Juin!AM67</f>
        <v>22.46</v>
      </c>
      <c r="AN67" s="51">
        <f>IF(A66="","",IF(A66&gt;NomMois,0,IF(A66&lt;$A$3,2.08,(NETWORKDAYS(A66,$A$2)/21.66667)*2.08)))</f>
        <v>2.08</v>
      </c>
      <c r="AO67" s="51">
        <f>IF( AN67="",0,+AN67+Novembre!AO67)</f>
        <v>14.56</v>
      </c>
      <c r="AP67" s="50"/>
      <c r="AQ67" s="45">
        <f>+AM67-AI67</f>
        <v>6.4600000000000009</v>
      </c>
      <c r="AR67" s="45">
        <f>+AP67-AJ67</f>
        <v>0</v>
      </c>
      <c r="AS67" s="102">
        <f t="shared" si="10"/>
        <v>21.020000000000003</v>
      </c>
    </row>
    <row r="68" spans="1:45" s="63" customFormat="1" ht="6.75" customHeight="1" x14ac:dyDescent="0.25">
      <c r="A68" s="64"/>
      <c r="B68" s="42"/>
      <c r="C68" s="64"/>
      <c r="D68" s="64"/>
      <c r="E68" s="64"/>
      <c r="F68" s="64"/>
      <c r="G68" s="64"/>
      <c r="H68" s="64"/>
      <c r="I68" s="64"/>
      <c r="J68" s="64"/>
      <c r="K68" s="64"/>
      <c r="L68" s="64"/>
      <c r="M68" s="64"/>
      <c r="N68" s="64"/>
      <c r="O68" s="64"/>
      <c r="P68" s="64"/>
      <c r="Q68" s="64"/>
      <c r="R68" s="64"/>
      <c r="S68" s="64"/>
      <c r="T68" s="64"/>
      <c r="U68" s="64"/>
      <c r="V68" s="64"/>
      <c r="W68" s="64"/>
      <c r="X68" s="64"/>
      <c r="Y68" s="64"/>
      <c r="Z68" s="64"/>
      <c r="AA68" s="64"/>
      <c r="AB68" s="64"/>
      <c r="AC68" s="64"/>
      <c r="AD68" s="64"/>
      <c r="AE68" s="64"/>
      <c r="AF68" s="64"/>
      <c r="AG68" s="64"/>
      <c r="AH68" s="65"/>
      <c r="AI68" s="65"/>
      <c r="AJ68" s="65"/>
      <c r="AK68" s="65"/>
      <c r="AL68" s="65"/>
      <c r="AM68" s="64"/>
      <c r="AN68" s="65"/>
      <c r="AO68" s="65"/>
      <c r="AP68" s="64"/>
      <c r="AQ68" s="69"/>
      <c r="AR68" s="69"/>
      <c r="AS68" s="65"/>
    </row>
    <row r="69" spans="1:45" s="63" customFormat="1" ht="12.95" customHeight="1" x14ac:dyDescent="0.25">
      <c r="A69" s="41"/>
      <c r="B69" s="42" t="s">
        <v>15</v>
      </c>
      <c r="C69" s="67"/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 t="s">
        <v>7</v>
      </c>
      <c r="W69" s="43" t="s">
        <v>7</v>
      </c>
      <c r="X69" s="43" t="s">
        <v>7</v>
      </c>
      <c r="Y69" s="43"/>
      <c r="Z69" s="43"/>
      <c r="AA69" s="43"/>
      <c r="AB69" s="43"/>
      <c r="AC69" s="43"/>
      <c r="AD69" s="43"/>
      <c r="AE69" s="43"/>
      <c r="AF69" s="43"/>
      <c r="AG69" s="43"/>
      <c r="AH69" s="44">
        <f>COUNTA(Décembre!$C69:$AG69)</f>
        <v>3</v>
      </c>
      <c r="AI69" s="45">
        <f>(COUNTIFS(Décembre!$C69:$AG69,("cp")))/2+Novembre!AI69</f>
        <v>12</v>
      </c>
      <c r="AJ69" s="45">
        <f>COUNTIFS(Décembre!$C69:$AG69,"RTT")/2+Novembre!AJ69</f>
        <v>0</v>
      </c>
      <c r="AK69" s="45">
        <f>COUNTIFS(Décembre!$C69:$AG69,"m")/2+Novembre!AK69</f>
        <v>0</v>
      </c>
      <c r="AL69" s="45">
        <f>COUNTIFS(Décembre!$C69:$AG69,"a")/2+Novembre!AL69</f>
        <v>2</v>
      </c>
      <c r="AM69" s="46"/>
      <c r="AN69" s="47"/>
      <c r="AO69" s="47"/>
      <c r="AP69" s="46"/>
      <c r="AQ69" s="47"/>
      <c r="AR69" s="47"/>
      <c r="AS69" s="47"/>
    </row>
    <row r="70" spans="1:45" s="63" customFormat="1" ht="12.95" customHeight="1" x14ac:dyDescent="0.25">
      <c r="A70" s="48">
        <v>41701</v>
      </c>
      <c r="B70" s="42" t="s">
        <v>16</v>
      </c>
      <c r="C70" s="67"/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  <c r="S70" s="43"/>
      <c r="T70" s="43"/>
      <c r="U70" s="43"/>
      <c r="V70" s="43" t="s">
        <v>7</v>
      </c>
      <c r="W70" s="43" t="s">
        <v>7</v>
      </c>
      <c r="X70" s="43" t="s">
        <v>7</v>
      </c>
      <c r="Y70" s="43"/>
      <c r="Z70" s="43"/>
      <c r="AA70" s="43"/>
      <c r="AB70" s="43"/>
      <c r="AC70" s="43"/>
      <c r="AD70" s="43"/>
      <c r="AE70" s="43"/>
      <c r="AF70" s="43"/>
      <c r="AG70" s="43"/>
      <c r="AH70" s="44">
        <f>COUNTA(Décembre!$C70:$AG70)</f>
        <v>3</v>
      </c>
      <c r="AI70" s="45">
        <f>(COUNTIFS(Décembre!$C70:$AG70,("cp")))/2+Novembre!AI70</f>
        <v>12</v>
      </c>
      <c r="AJ70" s="45">
        <f>COUNTIFS(Décembre!$C70:$AG70,"RTT")/2+Novembre!AJ70</f>
        <v>0</v>
      </c>
      <c r="AK70" s="45">
        <f>COUNTIFS(Décembre!$C70:$AG70,"m")/2+Novembre!AK70</f>
        <v>0</v>
      </c>
      <c r="AL70" s="45">
        <f>COUNTIFS(Décembre!$C70:$AG70,"a")/2+Novembre!AL70</f>
        <v>2</v>
      </c>
      <c r="AM70" s="46"/>
      <c r="AN70" s="47"/>
      <c r="AO70" s="47"/>
      <c r="AP70" s="46"/>
      <c r="AQ70" s="47"/>
      <c r="AR70" s="47"/>
      <c r="AS70" s="101"/>
    </row>
    <row r="71" spans="1:45" s="63" customFormat="1" ht="12.95" customHeight="1" x14ac:dyDescent="0.25">
      <c r="A71" s="41"/>
      <c r="B71" s="42"/>
      <c r="C71" s="49" t="str">
        <f t="shared" ref="C71:AG71" si="20">IF(C69&gt;0,C69,IF(C70&gt;0,C70,""))</f>
        <v/>
      </c>
      <c r="D71" s="49" t="str">
        <f t="shared" si="20"/>
        <v/>
      </c>
      <c r="E71" s="49" t="str">
        <f t="shared" si="20"/>
        <v/>
      </c>
      <c r="F71" s="49" t="str">
        <f t="shared" si="20"/>
        <v/>
      </c>
      <c r="G71" s="49" t="str">
        <f t="shared" si="20"/>
        <v/>
      </c>
      <c r="H71" s="49" t="str">
        <f t="shared" si="20"/>
        <v/>
      </c>
      <c r="I71" s="49" t="str">
        <f t="shared" si="20"/>
        <v/>
      </c>
      <c r="J71" s="49" t="str">
        <f t="shared" si="20"/>
        <v/>
      </c>
      <c r="K71" s="49" t="str">
        <f t="shared" si="20"/>
        <v/>
      </c>
      <c r="L71" s="49" t="str">
        <f t="shared" si="20"/>
        <v/>
      </c>
      <c r="M71" s="49" t="str">
        <f t="shared" si="20"/>
        <v/>
      </c>
      <c r="N71" s="49" t="str">
        <f t="shared" si="20"/>
        <v/>
      </c>
      <c r="O71" s="49" t="str">
        <f t="shared" si="20"/>
        <v/>
      </c>
      <c r="P71" s="49" t="str">
        <f t="shared" si="20"/>
        <v/>
      </c>
      <c r="Q71" s="49" t="str">
        <f t="shared" si="20"/>
        <v/>
      </c>
      <c r="R71" s="49" t="str">
        <f t="shared" si="20"/>
        <v/>
      </c>
      <c r="S71" s="49" t="str">
        <f t="shared" si="20"/>
        <v/>
      </c>
      <c r="T71" s="49" t="str">
        <f t="shared" si="20"/>
        <v/>
      </c>
      <c r="U71" s="49" t="str">
        <f t="shared" si="20"/>
        <v/>
      </c>
      <c r="V71" s="49" t="str">
        <f t="shared" si="20"/>
        <v>CP</v>
      </c>
      <c r="W71" s="49" t="str">
        <f t="shared" si="20"/>
        <v>CP</v>
      </c>
      <c r="X71" s="49" t="str">
        <f t="shared" si="20"/>
        <v>CP</v>
      </c>
      <c r="Y71" s="49" t="str">
        <f t="shared" si="20"/>
        <v/>
      </c>
      <c r="Z71" s="49" t="str">
        <f t="shared" si="20"/>
        <v/>
      </c>
      <c r="AA71" s="49" t="str">
        <f t="shared" si="20"/>
        <v/>
      </c>
      <c r="AB71" s="49" t="str">
        <f t="shared" si="20"/>
        <v/>
      </c>
      <c r="AC71" s="49" t="str">
        <f t="shared" si="20"/>
        <v/>
      </c>
      <c r="AD71" s="49" t="str">
        <f t="shared" si="20"/>
        <v/>
      </c>
      <c r="AE71" s="49" t="str">
        <f t="shared" si="20"/>
        <v/>
      </c>
      <c r="AF71" s="49" t="str">
        <f t="shared" si="20"/>
        <v/>
      </c>
      <c r="AG71" s="49" t="str">
        <f t="shared" si="20"/>
        <v/>
      </c>
      <c r="AH71" s="44">
        <f>SUM(AH69:AH70)</f>
        <v>6</v>
      </c>
      <c r="AI71" s="45">
        <f>SUM(AI69:AI70)</f>
        <v>24</v>
      </c>
      <c r="AJ71" s="45">
        <f>SUM(AJ69:AJ70)</f>
        <v>0</v>
      </c>
      <c r="AK71" s="45">
        <f>SUM(AK69:AK70)</f>
        <v>0</v>
      </c>
      <c r="AL71" s="45">
        <f>SUM(AL69:AL70)</f>
        <v>4</v>
      </c>
      <c r="AM71" s="50">
        <f>Juin!AM71</f>
        <v>45.34</v>
      </c>
      <c r="AN71" s="51">
        <f>IF(A70="","",IF(A70&gt;NomMois,0,IF(A70&lt;$A$3,2.08,(NETWORKDAYS(A70,$A$2)/21.66667)*2.08)))</f>
        <v>2.08</v>
      </c>
      <c r="AO71" s="51">
        <f>IF( AN71="",0,+AN71+Novembre!AO71)</f>
        <v>14.56</v>
      </c>
      <c r="AP71" s="50"/>
      <c r="AQ71" s="45">
        <f>+AM71-AI71</f>
        <v>21.340000000000003</v>
      </c>
      <c r="AR71" s="45">
        <f>+AP71-AJ71</f>
        <v>0</v>
      </c>
      <c r="AS71" s="102">
        <f t="shared" si="10"/>
        <v>35.900000000000006</v>
      </c>
    </row>
    <row r="72" spans="1:45" s="63" customFormat="1" ht="6.75" customHeight="1" x14ac:dyDescent="0.25">
      <c r="A72" s="60"/>
      <c r="B72" s="53"/>
      <c r="C72" s="60"/>
      <c r="D72" s="60"/>
      <c r="E72" s="60"/>
      <c r="F72" s="60"/>
      <c r="G72" s="60"/>
      <c r="H72" s="60"/>
      <c r="I72" s="60"/>
      <c r="J72" s="60"/>
      <c r="K72" s="60"/>
      <c r="L72" s="60"/>
      <c r="M72" s="60"/>
      <c r="N72" s="60"/>
      <c r="O72" s="60"/>
      <c r="P72" s="60"/>
      <c r="Q72" s="60"/>
      <c r="R72" s="60"/>
      <c r="S72" s="60"/>
      <c r="T72" s="60"/>
      <c r="U72" s="60"/>
      <c r="V72" s="60"/>
      <c r="W72" s="60"/>
      <c r="X72" s="60"/>
      <c r="Y72" s="60"/>
      <c r="Z72" s="60"/>
      <c r="AA72" s="60"/>
      <c r="AB72" s="60"/>
      <c r="AC72" s="60"/>
      <c r="AD72" s="60"/>
      <c r="AE72" s="60"/>
      <c r="AF72" s="60"/>
      <c r="AG72" s="60"/>
      <c r="AH72" s="61"/>
      <c r="AI72" s="61"/>
      <c r="AJ72" s="61"/>
      <c r="AK72" s="61"/>
      <c r="AL72" s="61"/>
      <c r="AM72" s="60"/>
      <c r="AN72" s="61"/>
      <c r="AO72" s="61"/>
      <c r="AP72" s="60"/>
      <c r="AQ72" s="69"/>
      <c r="AR72" s="69"/>
      <c r="AS72" s="65"/>
    </row>
    <row r="73" spans="1:45" s="63" customFormat="1" ht="12.95" customHeight="1" x14ac:dyDescent="0.25">
      <c r="A73" s="41"/>
      <c r="B73" s="42" t="s">
        <v>15</v>
      </c>
      <c r="C73" s="67"/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43"/>
      <c r="AH73" s="44">
        <f>COUNTA(Décembre!$C73:$AG73)</f>
        <v>0</v>
      </c>
      <c r="AI73" s="45">
        <f>(COUNTIFS(Décembre!$C73:$AG73,("cp")))/2+Novembre!AI73</f>
        <v>0</v>
      </c>
      <c r="AJ73" s="45">
        <f>COUNTIFS(Décembre!$C73:$AG73,"RTT")/2+Novembre!AJ73</f>
        <v>0</v>
      </c>
      <c r="AK73" s="45">
        <f>COUNTIFS(Décembre!$C73:$AG73,"m")/2+Novembre!AK73</f>
        <v>0</v>
      </c>
      <c r="AL73" s="45">
        <f>COUNTIFS(Décembre!$C73:$AG73,"a")/2+Novembre!AL73</f>
        <v>0</v>
      </c>
      <c r="AM73" s="46"/>
      <c r="AN73" s="47"/>
      <c r="AO73" s="47"/>
      <c r="AP73" s="46"/>
      <c r="AQ73" s="47"/>
      <c r="AR73" s="47"/>
      <c r="AS73" s="47"/>
    </row>
    <row r="74" spans="1:45" s="63" customFormat="1" ht="12.95" customHeight="1" x14ac:dyDescent="0.25">
      <c r="A74" s="48">
        <v>42979</v>
      </c>
      <c r="B74" s="42" t="s">
        <v>16</v>
      </c>
      <c r="C74" s="67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43"/>
      <c r="AH74" s="44">
        <f>COUNTA(Décembre!$C74:$AG74)</f>
        <v>0</v>
      </c>
      <c r="AI74" s="45">
        <f>(COUNTIFS(Décembre!$C74:$AG74,("cp")))/2+Novembre!AI74</f>
        <v>0</v>
      </c>
      <c r="AJ74" s="45">
        <f>COUNTIFS(Décembre!$C74:$AG74,"RTT")/2+Novembre!AJ74</f>
        <v>0</v>
      </c>
      <c r="AK74" s="45">
        <f>COUNTIFS(Décembre!$C74:$AG74,"m")/2+Novembre!AK74</f>
        <v>0</v>
      </c>
      <c r="AL74" s="45">
        <f>COUNTIFS(Décembre!$C74:$AG74,"a")/2+Novembre!AL74</f>
        <v>0</v>
      </c>
      <c r="AM74" s="46"/>
      <c r="AN74" s="47"/>
      <c r="AO74" s="47"/>
      <c r="AP74" s="46"/>
      <c r="AQ74" s="47"/>
      <c r="AR74" s="47"/>
      <c r="AS74" s="101"/>
    </row>
    <row r="75" spans="1:45" s="63" customFormat="1" ht="12.95" customHeight="1" x14ac:dyDescent="0.25">
      <c r="A75" s="41"/>
      <c r="B75" s="42"/>
      <c r="C75" s="49" t="str">
        <f t="shared" ref="C75:AG75" si="21">IF(C73&gt;0,C73,IF(C74&gt;0,C74,""))</f>
        <v/>
      </c>
      <c r="D75" s="49" t="str">
        <f t="shared" si="21"/>
        <v/>
      </c>
      <c r="E75" s="49" t="str">
        <f t="shared" si="21"/>
        <v/>
      </c>
      <c r="F75" s="49" t="str">
        <f t="shared" si="21"/>
        <v/>
      </c>
      <c r="G75" s="49" t="str">
        <f t="shared" si="21"/>
        <v/>
      </c>
      <c r="H75" s="49" t="str">
        <f t="shared" si="21"/>
        <v/>
      </c>
      <c r="I75" s="49" t="str">
        <f t="shared" si="21"/>
        <v/>
      </c>
      <c r="J75" s="49" t="str">
        <f t="shared" si="21"/>
        <v/>
      </c>
      <c r="K75" s="49" t="str">
        <f t="shared" si="21"/>
        <v/>
      </c>
      <c r="L75" s="49" t="str">
        <f t="shared" si="21"/>
        <v/>
      </c>
      <c r="M75" s="49" t="str">
        <f t="shared" si="21"/>
        <v/>
      </c>
      <c r="N75" s="49" t="str">
        <f t="shared" si="21"/>
        <v/>
      </c>
      <c r="O75" s="49" t="str">
        <f t="shared" si="21"/>
        <v/>
      </c>
      <c r="P75" s="49" t="str">
        <f t="shared" si="21"/>
        <v/>
      </c>
      <c r="Q75" s="49" t="str">
        <f t="shared" si="21"/>
        <v/>
      </c>
      <c r="R75" s="49" t="str">
        <f t="shared" si="21"/>
        <v/>
      </c>
      <c r="S75" s="49" t="str">
        <f t="shared" si="21"/>
        <v/>
      </c>
      <c r="T75" s="49" t="str">
        <f t="shared" si="21"/>
        <v/>
      </c>
      <c r="U75" s="49" t="str">
        <f t="shared" si="21"/>
        <v/>
      </c>
      <c r="V75" s="49" t="str">
        <f t="shared" si="21"/>
        <v/>
      </c>
      <c r="W75" s="49" t="str">
        <f t="shared" si="21"/>
        <v/>
      </c>
      <c r="X75" s="49" t="str">
        <f t="shared" si="21"/>
        <v/>
      </c>
      <c r="Y75" s="49" t="str">
        <f t="shared" si="21"/>
        <v/>
      </c>
      <c r="Z75" s="49" t="str">
        <f t="shared" si="21"/>
        <v/>
      </c>
      <c r="AA75" s="49" t="str">
        <f t="shared" si="21"/>
        <v/>
      </c>
      <c r="AB75" s="49" t="str">
        <f t="shared" si="21"/>
        <v/>
      </c>
      <c r="AC75" s="49" t="str">
        <f t="shared" si="21"/>
        <v/>
      </c>
      <c r="AD75" s="49" t="str">
        <f t="shared" si="21"/>
        <v/>
      </c>
      <c r="AE75" s="49" t="str">
        <f t="shared" si="21"/>
        <v/>
      </c>
      <c r="AF75" s="49" t="str">
        <f t="shared" si="21"/>
        <v/>
      </c>
      <c r="AG75" s="49" t="str">
        <f t="shared" si="21"/>
        <v/>
      </c>
      <c r="AH75" s="44">
        <f>SUM(AH73:AH74)</f>
        <v>0</v>
      </c>
      <c r="AI75" s="45">
        <f>SUM(AI73:AI74)</f>
        <v>0</v>
      </c>
      <c r="AJ75" s="45">
        <f>SUM(AJ73:AJ74)</f>
        <v>0</v>
      </c>
      <c r="AK75" s="45">
        <f>SUM(AK73:AK74)</f>
        <v>0</v>
      </c>
      <c r="AL75" s="45">
        <f>SUM(AL73:AL74)</f>
        <v>0</v>
      </c>
      <c r="AM75" s="50">
        <f>Juin!AM75</f>
        <v>0</v>
      </c>
      <c r="AN75" s="51">
        <f>IF(A74="","",IF(A74&gt;NomMois,0,IF(A74&lt;$A$3,2.08,(NETWORKDAYS(A74,$A$2)/21.66667)*2.08)))</f>
        <v>2.08</v>
      </c>
      <c r="AO75" s="51">
        <f>IF( AN75="",0,+AN75+Novembre!AO75)</f>
        <v>8.2559996898462025</v>
      </c>
      <c r="AP75" s="50"/>
      <c r="AQ75" s="45">
        <f>+AM75-AI75</f>
        <v>0</v>
      </c>
      <c r="AR75" s="45">
        <f>+AP75-AJ75</f>
        <v>0</v>
      </c>
      <c r="AS75" s="102">
        <f t="shared" si="10"/>
        <v>8.2559996898462025</v>
      </c>
    </row>
    <row r="76" spans="1:45" s="63" customFormat="1" ht="6.75" customHeight="1" x14ac:dyDescent="0.25">
      <c r="A76" s="64"/>
      <c r="B76" s="42"/>
      <c r="C76" s="64"/>
      <c r="D76" s="64"/>
      <c r="E76" s="64"/>
      <c r="F76" s="64"/>
      <c r="G76" s="64"/>
      <c r="H76" s="64"/>
      <c r="I76" s="64"/>
      <c r="J76" s="64"/>
      <c r="K76" s="64"/>
      <c r="L76" s="64"/>
      <c r="M76" s="64"/>
      <c r="N76" s="64"/>
      <c r="O76" s="64"/>
      <c r="P76" s="64"/>
      <c r="Q76" s="64"/>
      <c r="R76" s="64"/>
      <c r="S76" s="64"/>
      <c r="T76" s="64"/>
      <c r="U76" s="64"/>
      <c r="V76" s="64"/>
      <c r="W76" s="64"/>
      <c r="X76" s="64"/>
      <c r="Y76" s="64"/>
      <c r="Z76" s="64"/>
      <c r="AA76" s="64"/>
      <c r="AB76" s="64"/>
      <c r="AC76" s="64"/>
      <c r="AD76" s="64"/>
      <c r="AE76" s="64"/>
      <c r="AF76" s="64"/>
      <c r="AG76" s="64"/>
      <c r="AH76" s="65"/>
      <c r="AI76" s="65"/>
      <c r="AJ76" s="65"/>
      <c r="AK76" s="65"/>
      <c r="AL76" s="65"/>
      <c r="AM76" s="64"/>
      <c r="AN76" s="65"/>
      <c r="AO76" s="65"/>
      <c r="AP76" s="64"/>
      <c r="AQ76" s="69"/>
      <c r="AR76" s="69"/>
      <c r="AS76" s="65"/>
    </row>
    <row r="77" spans="1:45" s="63" customFormat="1" ht="12.95" customHeight="1" x14ac:dyDescent="0.25">
      <c r="A77" s="41"/>
      <c r="B77" s="42" t="s">
        <v>15</v>
      </c>
      <c r="C77" s="67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43"/>
      <c r="AH77" s="44">
        <f>COUNTA(Décembre!$C77:$AG77)</f>
        <v>0</v>
      </c>
      <c r="AI77" s="45">
        <f>(COUNTIFS(Décembre!$C77:$AG77,("cp")))/2+Novembre!AI77</f>
        <v>0</v>
      </c>
      <c r="AJ77" s="45">
        <f>COUNTIFS(Décembre!$C77:$AG77,"RTT")/2+Novembre!AJ77</f>
        <v>0</v>
      </c>
      <c r="AK77" s="45">
        <f>COUNTIFS(Décembre!$C77:$AG77,"m")/2+Novembre!AK77</f>
        <v>0</v>
      </c>
      <c r="AL77" s="45">
        <f>COUNTIFS(Décembre!$C77:$AG77,"a")/2+Novembre!AL77</f>
        <v>0</v>
      </c>
      <c r="AM77" s="46"/>
      <c r="AN77" s="47"/>
      <c r="AO77" s="47"/>
      <c r="AP77" s="46"/>
      <c r="AQ77" s="47"/>
      <c r="AR77" s="47"/>
      <c r="AS77" s="47"/>
    </row>
    <row r="78" spans="1:45" s="63" customFormat="1" ht="12.95" customHeight="1" x14ac:dyDescent="0.25">
      <c r="A78" s="48">
        <v>43059</v>
      </c>
      <c r="B78" s="42" t="s">
        <v>16</v>
      </c>
      <c r="C78" s="67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  <c r="AA78" s="43"/>
      <c r="AB78" s="43"/>
      <c r="AC78" s="43"/>
      <c r="AD78" s="43"/>
      <c r="AE78" s="43"/>
      <c r="AF78" s="43"/>
      <c r="AG78" s="43"/>
      <c r="AH78" s="44">
        <f>COUNTA(Décembre!$C78:$AG78)</f>
        <v>0</v>
      </c>
      <c r="AI78" s="45">
        <f>(COUNTIFS(Décembre!$C78:$AG78,("cp")))/2+Novembre!AI78</f>
        <v>0</v>
      </c>
      <c r="AJ78" s="45">
        <f>COUNTIFS(Décembre!$C78:$AG78,"RTT")/2+Novembre!AJ78</f>
        <v>0</v>
      </c>
      <c r="AK78" s="45">
        <f>COUNTIFS(Décembre!$C78:$AG78,"m")/2+Novembre!AK78</f>
        <v>0</v>
      </c>
      <c r="AL78" s="45">
        <f>COUNTIFS(Décembre!$C78:$AG78,"a")/2+Novembre!AL78</f>
        <v>0</v>
      </c>
      <c r="AM78" s="46"/>
      <c r="AN78" s="47"/>
      <c r="AO78" s="47"/>
      <c r="AP78" s="46"/>
      <c r="AQ78" s="47"/>
      <c r="AR78" s="47"/>
      <c r="AS78" s="101"/>
    </row>
    <row r="79" spans="1:45" s="63" customFormat="1" ht="12.95" customHeight="1" x14ac:dyDescent="0.25">
      <c r="A79" s="41"/>
      <c r="B79" s="42"/>
      <c r="C79" s="49" t="str">
        <f t="shared" ref="C79:AG79" si="22">IF(C77&gt;0,C77,IF(C78&gt;0,C78,""))</f>
        <v/>
      </c>
      <c r="D79" s="49" t="str">
        <f t="shared" si="22"/>
        <v/>
      </c>
      <c r="E79" s="49" t="str">
        <f t="shared" si="22"/>
        <v/>
      </c>
      <c r="F79" s="49" t="str">
        <f t="shared" si="22"/>
        <v/>
      </c>
      <c r="G79" s="49" t="str">
        <f t="shared" si="22"/>
        <v/>
      </c>
      <c r="H79" s="49" t="str">
        <f t="shared" si="22"/>
        <v/>
      </c>
      <c r="I79" s="49" t="str">
        <f t="shared" si="22"/>
        <v/>
      </c>
      <c r="J79" s="49" t="str">
        <f t="shared" si="22"/>
        <v/>
      </c>
      <c r="K79" s="49" t="str">
        <f t="shared" si="22"/>
        <v/>
      </c>
      <c r="L79" s="49" t="str">
        <f t="shared" si="22"/>
        <v/>
      </c>
      <c r="M79" s="49" t="str">
        <f t="shared" si="22"/>
        <v/>
      </c>
      <c r="N79" s="49" t="str">
        <f t="shared" si="22"/>
        <v/>
      </c>
      <c r="O79" s="49" t="str">
        <f t="shared" si="22"/>
        <v/>
      </c>
      <c r="P79" s="49" t="str">
        <f t="shared" si="22"/>
        <v/>
      </c>
      <c r="Q79" s="49" t="str">
        <f t="shared" si="22"/>
        <v/>
      </c>
      <c r="R79" s="49" t="str">
        <f t="shared" si="22"/>
        <v/>
      </c>
      <c r="S79" s="49" t="str">
        <f t="shared" si="22"/>
        <v/>
      </c>
      <c r="T79" s="49" t="str">
        <f t="shared" si="22"/>
        <v/>
      </c>
      <c r="U79" s="49" t="str">
        <f t="shared" si="22"/>
        <v/>
      </c>
      <c r="V79" s="49" t="str">
        <f t="shared" si="22"/>
        <v/>
      </c>
      <c r="W79" s="49" t="str">
        <f t="shared" si="22"/>
        <v/>
      </c>
      <c r="X79" s="49" t="str">
        <f t="shared" si="22"/>
        <v/>
      </c>
      <c r="Y79" s="49" t="str">
        <f t="shared" si="22"/>
        <v/>
      </c>
      <c r="Z79" s="49" t="str">
        <f t="shared" si="22"/>
        <v/>
      </c>
      <c r="AA79" s="49" t="str">
        <f t="shared" si="22"/>
        <v/>
      </c>
      <c r="AB79" s="49" t="str">
        <f t="shared" si="22"/>
        <v/>
      </c>
      <c r="AC79" s="49" t="str">
        <f t="shared" si="22"/>
        <v/>
      </c>
      <c r="AD79" s="49" t="str">
        <f t="shared" si="22"/>
        <v/>
      </c>
      <c r="AE79" s="49" t="str">
        <f t="shared" si="22"/>
        <v/>
      </c>
      <c r="AF79" s="49" t="str">
        <f t="shared" si="22"/>
        <v/>
      </c>
      <c r="AG79" s="49" t="str">
        <f t="shared" si="22"/>
        <v/>
      </c>
      <c r="AH79" s="44">
        <f>SUM(AH77:AH78)</f>
        <v>0</v>
      </c>
      <c r="AI79" s="45">
        <f>SUM(AI77:AI78)</f>
        <v>0</v>
      </c>
      <c r="AJ79" s="45">
        <f>SUM(AJ77:AJ78)</f>
        <v>0</v>
      </c>
      <c r="AK79" s="45">
        <f>SUM(AK77:AK78)</f>
        <v>0</v>
      </c>
      <c r="AL79" s="45">
        <f>SUM(AL77:AL78)</f>
        <v>0</v>
      </c>
      <c r="AM79" s="50">
        <f>Juin!AM79</f>
        <v>0</v>
      </c>
      <c r="AN79" s="51">
        <f>IF(A78="","",IF(A78&gt;NomMois,0,IF(A78&lt;$A$3,2.08,(NETWORKDAYS(A78,$A$2)/21.66667)*2.08)))</f>
        <v>2.08</v>
      </c>
      <c r="AO79" s="51">
        <f>IF( AN79="",0,+AN79+Novembre!AO79)</f>
        <v>2.9439998670769434</v>
      </c>
      <c r="AP79" s="50"/>
      <c r="AQ79" s="45">
        <f>+AM79-AI79</f>
        <v>0</v>
      </c>
      <c r="AR79" s="45">
        <f>+AP79-AJ79</f>
        <v>0</v>
      </c>
      <c r="AS79" s="102">
        <f t="shared" si="10"/>
        <v>2.9439998670769434</v>
      </c>
    </row>
    <row r="80" spans="1:45" s="63" customFormat="1" ht="6.75" customHeight="1" x14ac:dyDescent="0.25">
      <c r="A80" s="64"/>
      <c r="B80" s="42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  <c r="X80" s="64"/>
      <c r="Y80" s="64"/>
      <c r="Z80" s="64"/>
      <c r="AA80" s="64"/>
      <c r="AB80" s="64"/>
      <c r="AC80" s="64"/>
      <c r="AD80" s="64"/>
      <c r="AE80" s="64"/>
      <c r="AF80" s="64"/>
      <c r="AG80" s="64"/>
      <c r="AH80" s="65"/>
      <c r="AI80" s="65"/>
      <c r="AJ80" s="65"/>
      <c r="AK80" s="65"/>
      <c r="AL80" s="65"/>
      <c r="AM80" s="64"/>
      <c r="AN80" s="65"/>
      <c r="AO80" s="65"/>
      <c r="AP80" s="64"/>
      <c r="AQ80" s="69"/>
      <c r="AR80" s="69"/>
      <c r="AS80" s="65"/>
    </row>
    <row r="81" spans="1:45" s="63" customFormat="1" ht="12.95" customHeight="1" x14ac:dyDescent="0.25">
      <c r="A81" s="41"/>
      <c r="B81" s="42" t="s">
        <v>15</v>
      </c>
      <c r="C81" s="67"/>
      <c r="D81" s="43"/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  <c r="AA81" s="43"/>
      <c r="AB81" s="43"/>
      <c r="AC81" s="43"/>
      <c r="AD81" s="43"/>
      <c r="AE81" s="43"/>
      <c r="AF81" s="43"/>
      <c r="AG81" s="43"/>
      <c r="AH81" s="44">
        <f>COUNTA(Décembre!$C81:$AG81)</f>
        <v>0</v>
      </c>
      <c r="AI81" s="45">
        <f>(COUNTIFS(Décembre!$C81:$AG81,("cp")))/2+Novembre!AI81</f>
        <v>2.5</v>
      </c>
      <c r="AJ81" s="45">
        <f>COUNTIFS(Décembre!$C81:$AG81,"RTT")/2+Novembre!AJ81</f>
        <v>0</v>
      </c>
      <c r="AK81" s="45">
        <f>COUNTIFS(Décembre!$C81:$AG81,"m")/2+Novembre!AK81</f>
        <v>0</v>
      </c>
      <c r="AL81" s="45">
        <f>COUNTIFS(Décembre!$C81:$AG81,"a")/2+Novembre!AL81</f>
        <v>0</v>
      </c>
      <c r="AM81" s="46"/>
      <c r="AN81" s="47"/>
      <c r="AO81" s="47"/>
      <c r="AP81" s="46"/>
      <c r="AQ81" s="47"/>
      <c r="AR81" s="47"/>
      <c r="AS81" s="47"/>
    </row>
    <row r="82" spans="1:45" s="63" customFormat="1" ht="12.95" customHeight="1" x14ac:dyDescent="0.25">
      <c r="A82" s="48">
        <v>42506</v>
      </c>
      <c r="B82" s="42" t="s">
        <v>16</v>
      </c>
      <c r="C82" s="67"/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  <c r="S82" s="43"/>
      <c r="T82" s="43"/>
      <c r="U82" s="43"/>
      <c r="V82" s="43"/>
      <c r="W82" s="43"/>
      <c r="X82" s="43"/>
      <c r="Y82" s="43"/>
      <c r="Z82" s="43"/>
      <c r="AA82" s="43"/>
      <c r="AB82" s="43"/>
      <c r="AC82" s="43"/>
      <c r="AD82" s="43"/>
      <c r="AE82" s="43"/>
      <c r="AF82" s="43"/>
      <c r="AG82" s="43"/>
      <c r="AH82" s="44">
        <f>COUNTA(Décembre!$C82:$AG82)</f>
        <v>0</v>
      </c>
      <c r="AI82" s="45">
        <f>(COUNTIFS(Décembre!$C82:$AG82,("cp")))/2+Novembre!AI82</f>
        <v>2.5</v>
      </c>
      <c r="AJ82" s="45">
        <f>COUNTIFS(Décembre!$C82:$AG82,"RTT")/2+Novembre!AJ82</f>
        <v>0</v>
      </c>
      <c r="AK82" s="45">
        <f>COUNTIFS(Décembre!$C82:$AG82,"m")/2+Novembre!AK82</f>
        <v>0</v>
      </c>
      <c r="AL82" s="45">
        <f>COUNTIFS(Décembre!$C82:$AG82,"a")/2+Novembre!AL82</f>
        <v>0</v>
      </c>
      <c r="AM82" s="46"/>
      <c r="AN82" s="47"/>
      <c r="AO82" s="47"/>
      <c r="AP82" s="46"/>
      <c r="AQ82" s="47"/>
      <c r="AR82" s="47"/>
      <c r="AS82" s="101"/>
    </row>
    <row r="83" spans="1:45" s="63" customFormat="1" ht="12.95" customHeight="1" x14ac:dyDescent="0.25">
      <c r="A83" s="41"/>
      <c r="B83" s="42"/>
      <c r="C83" s="49" t="str">
        <f t="shared" ref="C83:AG83" si="23">IF(C81&gt;0,C81,IF(C82&gt;0,C82,""))</f>
        <v/>
      </c>
      <c r="D83" s="49" t="str">
        <f t="shared" si="23"/>
        <v/>
      </c>
      <c r="E83" s="49" t="str">
        <f t="shared" si="23"/>
        <v/>
      </c>
      <c r="F83" s="49" t="str">
        <f t="shared" si="23"/>
        <v/>
      </c>
      <c r="G83" s="49" t="str">
        <f t="shared" si="23"/>
        <v/>
      </c>
      <c r="H83" s="49" t="str">
        <f t="shared" si="23"/>
        <v/>
      </c>
      <c r="I83" s="49" t="str">
        <f t="shared" si="23"/>
        <v/>
      </c>
      <c r="J83" s="49" t="str">
        <f t="shared" si="23"/>
        <v/>
      </c>
      <c r="K83" s="49" t="str">
        <f t="shared" si="23"/>
        <v/>
      </c>
      <c r="L83" s="49" t="str">
        <f t="shared" si="23"/>
        <v/>
      </c>
      <c r="M83" s="49" t="str">
        <f t="shared" si="23"/>
        <v/>
      </c>
      <c r="N83" s="49" t="str">
        <f t="shared" si="23"/>
        <v/>
      </c>
      <c r="O83" s="49" t="str">
        <f t="shared" si="23"/>
        <v/>
      </c>
      <c r="P83" s="49" t="str">
        <f t="shared" si="23"/>
        <v/>
      </c>
      <c r="Q83" s="49" t="str">
        <f t="shared" si="23"/>
        <v/>
      </c>
      <c r="R83" s="49" t="str">
        <f t="shared" si="23"/>
        <v/>
      </c>
      <c r="S83" s="49" t="str">
        <f t="shared" si="23"/>
        <v/>
      </c>
      <c r="T83" s="49" t="str">
        <f t="shared" si="23"/>
        <v/>
      </c>
      <c r="U83" s="49" t="str">
        <f t="shared" si="23"/>
        <v/>
      </c>
      <c r="V83" s="49" t="str">
        <f t="shared" si="23"/>
        <v/>
      </c>
      <c r="W83" s="49" t="str">
        <f t="shared" si="23"/>
        <v/>
      </c>
      <c r="X83" s="49" t="str">
        <f t="shared" si="23"/>
        <v/>
      </c>
      <c r="Y83" s="49" t="str">
        <f t="shared" si="23"/>
        <v/>
      </c>
      <c r="Z83" s="49" t="str">
        <f t="shared" si="23"/>
        <v/>
      </c>
      <c r="AA83" s="49" t="str">
        <f t="shared" si="23"/>
        <v/>
      </c>
      <c r="AB83" s="49" t="str">
        <f t="shared" si="23"/>
        <v/>
      </c>
      <c r="AC83" s="49" t="str">
        <f t="shared" si="23"/>
        <v/>
      </c>
      <c r="AD83" s="49" t="str">
        <f t="shared" si="23"/>
        <v/>
      </c>
      <c r="AE83" s="49" t="str">
        <f t="shared" si="23"/>
        <v/>
      </c>
      <c r="AF83" s="49" t="str">
        <f t="shared" si="23"/>
        <v/>
      </c>
      <c r="AG83" s="49" t="str">
        <f t="shared" si="23"/>
        <v/>
      </c>
      <c r="AH83" s="44">
        <f>SUM(AH81:AH82)</f>
        <v>0</v>
      </c>
      <c r="AI83" s="45">
        <f>SUM(AI81:AI82)</f>
        <v>5</v>
      </c>
      <c r="AJ83" s="45">
        <f>SUM(AJ81:AJ82)</f>
        <v>0</v>
      </c>
      <c r="AK83" s="45">
        <f>SUM(AK81:AK82)</f>
        <v>0</v>
      </c>
      <c r="AL83" s="45">
        <f>SUM(AL81:AL82)</f>
        <v>0</v>
      </c>
      <c r="AM83" s="50">
        <f>Juin!AM83</f>
        <v>-9.98</v>
      </c>
      <c r="AN83" s="51">
        <f>IF(A82="","",IF(A82&gt;NomMois,0,IF(A82&lt;$A$3,2.08,(NETWORKDAYS(A82,$A$2)/21.66667)*2.08)))</f>
        <v>2.08</v>
      </c>
      <c r="AO83" s="51">
        <f>IF( AN83="",0,+AN83+Novembre!AO83)</f>
        <v>14.56</v>
      </c>
      <c r="AP83" s="50"/>
      <c r="AQ83" s="45">
        <f>+AM83-AI83</f>
        <v>-14.98</v>
      </c>
      <c r="AR83" s="45">
        <f>+AP83-AJ83</f>
        <v>0</v>
      </c>
      <c r="AS83" s="102">
        <f t="shared" si="10"/>
        <v>-0.41999999999999993</v>
      </c>
    </row>
    <row r="84" spans="1:45" s="63" customFormat="1" ht="6.75" customHeight="1" x14ac:dyDescent="0.25">
      <c r="A84" s="64"/>
      <c r="B84" s="42"/>
      <c r="C84" s="64"/>
      <c r="D84" s="64"/>
      <c r="E84" s="64"/>
      <c r="F84" s="64"/>
      <c r="G84" s="64"/>
      <c r="H84" s="64"/>
      <c r="I84" s="64"/>
      <c r="J84" s="64"/>
      <c r="K84" s="64"/>
      <c r="L84" s="64"/>
      <c r="M84" s="64"/>
      <c r="N84" s="64"/>
      <c r="O84" s="64"/>
      <c r="P84" s="64"/>
      <c r="Q84" s="64"/>
      <c r="R84" s="64"/>
      <c r="S84" s="64"/>
      <c r="T84" s="64"/>
      <c r="U84" s="64"/>
      <c r="V84" s="64"/>
      <c r="W84" s="64"/>
      <c r="X84" s="64"/>
      <c r="Y84" s="64"/>
      <c r="Z84" s="64"/>
      <c r="AA84" s="64"/>
      <c r="AB84" s="64"/>
      <c r="AC84" s="64"/>
      <c r="AD84" s="64"/>
      <c r="AE84" s="64"/>
      <c r="AF84" s="64"/>
      <c r="AG84" s="64"/>
      <c r="AH84" s="65"/>
      <c r="AI84" s="65"/>
      <c r="AJ84" s="65"/>
      <c r="AK84" s="65"/>
      <c r="AL84" s="65"/>
      <c r="AM84" s="64"/>
      <c r="AN84" s="65"/>
      <c r="AO84" s="65"/>
      <c r="AP84" s="64"/>
      <c r="AQ84" s="69"/>
      <c r="AR84" s="69"/>
      <c r="AS84" s="65"/>
    </row>
    <row r="85" spans="1:45" s="63" customFormat="1" ht="12.95" customHeight="1" x14ac:dyDescent="0.25">
      <c r="A85" s="41"/>
      <c r="B85" s="42" t="s">
        <v>15</v>
      </c>
      <c r="C85" s="67"/>
      <c r="D85" s="43"/>
      <c r="E85" s="43"/>
      <c r="F85" s="43"/>
      <c r="G85" s="43"/>
      <c r="H85" s="43"/>
      <c r="I85" s="43"/>
      <c r="J85" s="43"/>
      <c r="K85" s="43"/>
      <c r="L85" s="43"/>
      <c r="M85" s="43"/>
      <c r="N85" s="43"/>
      <c r="O85" s="43"/>
      <c r="P85" s="43"/>
      <c r="Q85" s="43"/>
      <c r="R85" s="43"/>
      <c r="S85" s="43"/>
      <c r="T85" s="43"/>
      <c r="U85" s="43"/>
      <c r="V85" s="43"/>
      <c r="W85" s="43"/>
      <c r="X85" s="43"/>
      <c r="Y85" s="43"/>
      <c r="Z85" s="43"/>
      <c r="AA85" s="43" t="s">
        <v>7</v>
      </c>
      <c r="AB85" s="43" t="s">
        <v>7</v>
      </c>
      <c r="AC85" s="43" t="s">
        <v>7</v>
      </c>
      <c r="AD85" s="43" t="s">
        <v>7</v>
      </c>
      <c r="AE85" s="43" t="s">
        <v>7</v>
      </c>
      <c r="AF85" s="43"/>
      <c r="AG85" s="43"/>
      <c r="AH85" s="44">
        <f>COUNTA(Décembre!$C85:$AG85)</f>
        <v>5</v>
      </c>
      <c r="AI85" s="45">
        <f>(COUNTIFS(Décembre!$C85:$AG85,("cp")))/2+Novembre!AI85</f>
        <v>13</v>
      </c>
      <c r="AJ85" s="45">
        <f>COUNTIFS(Décembre!$C85:$AG85,"RTT")/2+Novembre!AJ85</f>
        <v>0</v>
      </c>
      <c r="AK85" s="45">
        <f>COUNTIFS(Décembre!$C85:$AG85,"m")/2+Novembre!AK85</f>
        <v>0</v>
      </c>
      <c r="AL85" s="45">
        <f>COUNTIFS(Décembre!$C85:$AG85,"a")/2+Novembre!AL85</f>
        <v>0</v>
      </c>
      <c r="AM85" s="46"/>
      <c r="AN85" s="47"/>
      <c r="AO85" s="47"/>
      <c r="AP85" s="46"/>
      <c r="AQ85" s="47"/>
      <c r="AR85" s="47"/>
      <c r="AS85" s="47"/>
    </row>
    <row r="86" spans="1:45" s="63" customFormat="1" ht="12.95" customHeight="1" x14ac:dyDescent="0.25">
      <c r="A86" s="48">
        <v>42303</v>
      </c>
      <c r="B86" s="42" t="s">
        <v>16</v>
      </c>
      <c r="C86" s="67"/>
      <c r="D86" s="43"/>
      <c r="E86" s="43"/>
      <c r="F86" s="43"/>
      <c r="G86" s="43"/>
      <c r="H86" s="43"/>
      <c r="I86" s="43"/>
      <c r="J86" s="43"/>
      <c r="K86" s="43"/>
      <c r="L86" s="43"/>
      <c r="M86" s="43"/>
      <c r="N86" s="43"/>
      <c r="O86" s="43"/>
      <c r="P86" s="43"/>
      <c r="Q86" s="43"/>
      <c r="R86" s="43"/>
      <c r="S86" s="43"/>
      <c r="T86" s="43"/>
      <c r="U86" s="43"/>
      <c r="V86" s="43"/>
      <c r="W86" s="43"/>
      <c r="X86" s="43"/>
      <c r="Y86" s="43"/>
      <c r="Z86" s="43"/>
      <c r="AA86" s="43" t="s">
        <v>7</v>
      </c>
      <c r="AB86" s="43" t="s">
        <v>7</v>
      </c>
      <c r="AC86" s="43" t="s">
        <v>7</v>
      </c>
      <c r="AD86" s="43" t="s">
        <v>7</v>
      </c>
      <c r="AE86" s="43" t="s">
        <v>7</v>
      </c>
      <c r="AF86" s="43"/>
      <c r="AG86" s="43"/>
      <c r="AH86" s="44">
        <f>COUNTA(Décembre!$C86:$AG86)</f>
        <v>5</v>
      </c>
      <c r="AI86" s="45">
        <f>(COUNTIFS(Décembre!$C86:$AG86,("cp")))/2+Novembre!AI86</f>
        <v>13</v>
      </c>
      <c r="AJ86" s="45">
        <f>COUNTIFS(Décembre!$C86:$AG86,"RTT")/2+Novembre!AJ86</f>
        <v>0</v>
      </c>
      <c r="AK86" s="45">
        <f>COUNTIFS(Décembre!$C86:$AG86,"m")/2+Novembre!AK86</f>
        <v>0</v>
      </c>
      <c r="AL86" s="45">
        <f>COUNTIFS(Décembre!$C86:$AG86,"a")/2+Novembre!AL86</f>
        <v>0</v>
      </c>
      <c r="AM86" s="46"/>
      <c r="AN86" s="47"/>
      <c r="AO86" s="47"/>
      <c r="AP86" s="46"/>
      <c r="AQ86" s="47"/>
      <c r="AR86" s="47"/>
      <c r="AS86" s="101"/>
    </row>
    <row r="87" spans="1:45" s="63" customFormat="1" ht="12.95" customHeight="1" x14ac:dyDescent="0.25">
      <c r="A87" s="41"/>
      <c r="B87" s="42"/>
      <c r="C87" s="49" t="str">
        <f t="shared" ref="C87:AG87" si="24">IF(C85&gt;0,C85,IF(C86&gt;0,C86,""))</f>
        <v/>
      </c>
      <c r="D87" s="49" t="str">
        <f t="shared" si="24"/>
        <v/>
      </c>
      <c r="E87" s="49" t="str">
        <f t="shared" si="24"/>
        <v/>
      </c>
      <c r="F87" s="49" t="str">
        <f t="shared" si="24"/>
        <v/>
      </c>
      <c r="G87" s="49" t="str">
        <f t="shared" si="24"/>
        <v/>
      </c>
      <c r="H87" s="49" t="str">
        <f t="shared" si="24"/>
        <v/>
      </c>
      <c r="I87" s="49" t="str">
        <f t="shared" si="24"/>
        <v/>
      </c>
      <c r="J87" s="49" t="str">
        <f t="shared" si="24"/>
        <v/>
      </c>
      <c r="K87" s="49" t="str">
        <f t="shared" si="24"/>
        <v/>
      </c>
      <c r="L87" s="49" t="str">
        <f t="shared" si="24"/>
        <v/>
      </c>
      <c r="M87" s="49" t="str">
        <f t="shared" si="24"/>
        <v/>
      </c>
      <c r="N87" s="49" t="str">
        <f t="shared" si="24"/>
        <v/>
      </c>
      <c r="O87" s="49" t="str">
        <f t="shared" si="24"/>
        <v/>
      </c>
      <c r="P87" s="49" t="str">
        <f t="shared" si="24"/>
        <v/>
      </c>
      <c r="Q87" s="49" t="str">
        <f t="shared" si="24"/>
        <v/>
      </c>
      <c r="R87" s="49" t="str">
        <f t="shared" si="24"/>
        <v/>
      </c>
      <c r="S87" s="49" t="str">
        <f t="shared" si="24"/>
        <v/>
      </c>
      <c r="T87" s="49" t="str">
        <f t="shared" si="24"/>
        <v/>
      </c>
      <c r="U87" s="49" t="str">
        <f t="shared" si="24"/>
        <v/>
      </c>
      <c r="V87" s="49" t="str">
        <f t="shared" si="24"/>
        <v/>
      </c>
      <c r="W87" s="49" t="str">
        <f t="shared" si="24"/>
        <v/>
      </c>
      <c r="X87" s="49" t="str">
        <f t="shared" si="24"/>
        <v/>
      </c>
      <c r="Y87" s="49" t="str">
        <f t="shared" si="24"/>
        <v/>
      </c>
      <c r="Z87" s="49" t="str">
        <f t="shared" si="24"/>
        <v/>
      </c>
      <c r="AA87" s="49" t="str">
        <f t="shared" si="24"/>
        <v>CP</v>
      </c>
      <c r="AB87" s="49" t="str">
        <f t="shared" si="24"/>
        <v>CP</v>
      </c>
      <c r="AC87" s="49" t="str">
        <f t="shared" si="24"/>
        <v>CP</v>
      </c>
      <c r="AD87" s="49" t="str">
        <f t="shared" si="24"/>
        <v>CP</v>
      </c>
      <c r="AE87" s="49" t="str">
        <f t="shared" si="24"/>
        <v>CP</v>
      </c>
      <c r="AF87" s="49" t="str">
        <f t="shared" si="24"/>
        <v/>
      </c>
      <c r="AG87" s="49" t="str">
        <f t="shared" si="24"/>
        <v/>
      </c>
      <c r="AH87" s="44">
        <f>SUM(AH85:AH86)</f>
        <v>10</v>
      </c>
      <c r="AI87" s="45">
        <f>SUM(AI85:AI86)</f>
        <v>26</v>
      </c>
      <c r="AJ87" s="45">
        <f>SUM(AJ85:AJ86)</f>
        <v>0</v>
      </c>
      <c r="AK87" s="45">
        <f>SUM(AK85:AK86)</f>
        <v>0</v>
      </c>
      <c r="AL87" s="45">
        <f>SUM(AL85:AL86)</f>
        <v>0</v>
      </c>
      <c r="AM87" s="50">
        <f>Juin!AM87</f>
        <v>12.02</v>
      </c>
      <c r="AN87" s="51">
        <f>IF(A86="","",IF(A86&gt;NomMois,0,IF(A86&lt;$A$3,2.5,(NETWORKDAYS(A86,$A$2)/21.66667)*2.5)))</f>
        <v>2.5</v>
      </c>
      <c r="AO87" s="51">
        <f>IF( AN87="",0,+AN87+Novembre!AO87)</f>
        <v>17.5</v>
      </c>
      <c r="AP87" s="50"/>
      <c r="AQ87" s="45">
        <f>+AM87-AI87</f>
        <v>-13.98</v>
      </c>
      <c r="AR87" s="45">
        <f>+AP87-AJ87</f>
        <v>0</v>
      </c>
      <c r="AS87" s="102">
        <f t="shared" si="10"/>
        <v>3.5199999999999996</v>
      </c>
    </row>
    <row r="88" spans="1:45" s="63" customFormat="1" ht="6.75" customHeight="1" x14ac:dyDescent="0.25">
      <c r="A88" s="64"/>
      <c r="B88" s="42"/>
      <c r="C88" s="64"/>
      <c r="D88" s="64"/>
      <c r="E88" s="64"/>
      <c r="F88" s="64"/>
      <c r="G88" s="64"/>
      <c r="H88" s="64"/>
      <c r="I88" s="64"/>
      <c r="J88" s="64"/>
      <c r="K88" s="64"/>
      <c r="L88" s="64"/>
      <c r="M88" s="64"/>
      <c r="N88" s="64"/>
      <c r="O88" s="64"/>
      <c r="P88" s="64"/>
      <c r="Q88" s="64"/>
      <c r="R88" s="64"/>
      <c r="S88" s="64"/>
      <c r="T88" s="64"/>
      <c r="U88" s="64"/>
      <c r="V88" s="64"/>
      <c r="W88" s="64"/>
      <c r="X88" s="64"/>
      <c r="Y88" s="64"/>
      <c r="Z88" s="64"/>
      <c r="AA88" s="64"/>
      <c r="AB88" s="64"/>
      <c r="AC88" s="64"/>
      <c r="AD88" s="64"/>
      <c r="AE88" s="64"/>
      <c r="AF88" s="64"/>
      <c r="AG88" s="64"/>
      <c r="AH88" s="65"/>
      <c r="AI88" s="65"/>
      <c r="AJ88" s="65"/>
      <c r="AK88" s="65"/>
      <c r="AL88" s="65"/>
      <c r="AM88" s="64"/>
      <c r="AN88" s="65"/>
      <c r="AO88" s="65"/>
      <c r="AP88" s="64"/>
      <c r="AQ88" s="69"/>
      <c r="AR88" s="69"/>
      <c r="AS88" s="65"/>
    </row>
    <row r="89" spans="1:45" s="63" customFormat="1" ht="12.95" customHeight="1" x14ac:dyDescent="0.25">
      <c r="A89" s="41"/>
      <c r="B89" s="42" t="s">
        <v>15</v>
      </c>
      <c r="C89" s="67"/>
      <c r="D89" s="43"/>
      <c r="E89" s="43"/>
      <c r="F89" s="43"/>
      <c r="G89" s="43"/>
      <c r="H89" s="43"/>
      <c r="I89" s="43"/>
      <c r="J89" s="43"/>
      <c r="K89" s="43"/>
      <c r="L89" s="43"/>
      <c r="M89" s="43"/>
      <c r="N89" s="43"/>
      <c r="O89" s="43"/>
      <c r="P89" s="43"/>
      <c r="Q89" s="43"/>
      <c r="R89" s="43"/>
      <c r="S89" s="43"/>
      <c r="T89" s="43" t="s">
        <v>7</v>
      </c>
      <c r="U89" s="43" t="s">
        <v>7</v>
      </c>
      <c r="V89" s="43" t="s">
        <v>7</v>
      </c>
      <c r="W89" s="43" t="s">
        <v>7</v>
      </c>
      <c r="X89" s="43" t="s">
        <v>7</v>
      </c>
      <c r="Y89" s="43"/>
      <c r="Z89" s="43"/>
      <c r="AA89" s="43"/>
      <c r="AB89" s="43" t="s">
        <v>7</v>
      </c>
      <c r="AC89" s="43" t="s">
        <v>7</v>
      </c>
      <c r="AD89" s="43" t="s">
        <v>7</v>
      </c>
      <c r="AE89" s="43" t="s">
        <v>7</v>
      </c>
      <c r="AF89" s="43"/>
      <c r="AG89" s="43"/>
      <c r="AH89" s="44">
        <f>COUNTA(Décembre!$C89:$AG89)</f>
        <v>9</v>
      </c>
      <c r="AI89" s="45">
        <f>(COUNTIFS(Décembre!$C89:$AG89,("cp")))/2+Novembre!AI89</f>
        <v>18.5</v>
      </c>
      <c r="AJ89" s="45">
        <f>COUNTIFS(Décembre!$C89:$AG89,"RTT")/2+Novembre!AJ89</f>
        <v>0</v>
      </c>
      <c r="AK89" s="45">
        <f>COUNTIFS(Décembre!$C89:$AG89,"m")/2+Novembre!AK89</f>
        <v>0</v>
      </c>
      <c r="AL89" s="45">
        <f>COUNTIFS(Décembre!$C89:$AG89,"a")/2+Novembre!AL89</f>
        <v>0</v>
      </c>
      <c r="AM89" s="46"/>
      <c r="AN89" s="47"/>
      <c r="AO89" s="47"/>
      <c r="AP89" s="46"/>
      <c r="AQ89" s="47"/>
      <c r="AR89" s="47"/>
      <c r="AS89" s="47"/>
    </row>
    <row r="90" spans="1:45" s="63" customFormat="1" ht="12.95" customHeight="1" x14ac:dyDescent="0.25">
      <c r="A90" s="48">
        <v>42303</v>
      </c>
      <c r="B90" s="42" t="s">
        <v>16</v>
      </c>
      <c r="C90" s="67"/>
      <c r="D90" s="43"/>
      <c r="E90" s="43"/>
      <c r="F90" s="43"/>
      <c r="G90" s="43"/>
      <c r="H90" s="43"/>
      <c r="I90" s="43"/>
      <c r="J90" s="43"/>
      <c r="K90" s="43"/>
      <c r="L90" s="43"/>
      <c r="M90" s="43"/>
      <c r="N90" s="43"/>
      <c r="O90" s="43"/>
      <c r="P90" s="43"/>
      <c r="Q90" s="43"/>
      <c r="R90" s="43"/>
      <c r="S90" s="43"/>
      <c r="T90" s="43" t="s">
        <v>7</v>
      </c>
      <c r="U90" s="43" t="s">
        <v>7</v>
      </c>
      <c r="V90" s="43" t="s">
        <v>7</v>
      </c>
      <c r="W90" s="43" t="s">
        <v>7</v>
      </c>
      <c r="X90" s="43" t="s">
        <v>7</v>
      </c>
      <c r="Y90" s="43"/>
      <c r="Z90" s="43"/>
      <c r="AA90" s="43"/>
      <c r="AB90" s="43" t="s">
        <v>7</v>
      </c>
      <c r="AC90" s="43" t="s">
        <v>7</v>
      </c>
      <c r="AD90" s="43" t="s">
        <v>7</v>
      </c>
      <c r="AE90" s="43" t="s">
        <v>7</v>
      </c>
      <c r="AF90" s="43"/>
      <c r="AG90" s="43"/>
      <c r="AH90" s="44">
        <f>COUNTA(Décembre!$C90:$AG90)</f>
        <v>9</v>
      </c>
      <c r="AI90" s="45">
        <f>(COUNTIFS(Décembre!$C90:$AG90,("cp")))/2+Novembre!AI90</f>
        <v>18.5</v>
      </c>
      <c r="AJ90" s="45">
        <f>COUNTIFS(Décembre!$C90:$AG90,"RTT")/2+Novembre!AJ90</f>
        <v>0</v>
      </c>
      <c r="AK90" s="45">
        <f>COUNTIFS(Décembre!$C90:$AG90,"m")/2+Novembre!AK90</f>
        <v>0</v>
      </c>
      <c r="AL90" s="45">
        <f>COUNTIFS(Décembre!$C90:$AG90,"a")/2+Novembre!AL90</f>
        <v>0</v>
      </c>
      <c r="AM90" s="46"/>
      <c r="AN90" s="47"/>
      <c r="AO90" s="47"/>
      <c r="AP90" s="46"/>
      <c r="AQ90" s="47"/>
      <c r="AR90" s="47"/>
      <c r="AS90" s="101"/>
    </row>
    <row r="91" spans="1:45" s="63" customFormat="1" ht="12.95" customHeight="1" x14ac:dyDescent="0.25">
      <c r="A91" s="41"/>
      <c r="B91" s="42"/>
      <c r="C91" s="49" t="str">
        <f t="shared" ref="C91:AG91" si="25">IF(C89&gt;0,C89,IF(C90&gt;0,C90,""))</f>
        <v/>
      </c>
      <c r="D91" s="49" t="str">
        <f t="shared" si="25"/>
        <v/>
      </c>
      <c r="E91" s="49" t="str">
        <f t="shared" si="25"/>
        <v/>
      </c>
      <c r="F91" s="49" t="str">
        <f t="shared" si="25"/>
        <v/>
      </c>
      <c r="G91" s="49" t="str">
        <f t="shared" si="25"/>
        <v/>
      </c>
      <c r="H91" s="49" t="str">
        <f t="shared" si="25"/>
        <v/>
      </c>
      <c r="I91" s="49" t="str">
        <f t="shared" si="25"/>
        <v/>
      </c>
      <c r="J91" s="49" t="str">
        <f t="shared" si="25"/>
        <v/>
      </c>
      <c r="K91" s="49" t="str">
        <f t="shared" si="25"/>
        <v/>
      </c>
      <c r="L91" s="49" t="str">
        <f t="shared" si="25"/>
        <v/>
      </c>
      <c r="M91" s="49" t="str">
        <f t="shared" si="25"/>
        <v/>
      </c>
      <c r="N91" s="49" t="str">
        <f t="shared" si="25"/>
        <v/>
      </c>
      <c r="O91" s="49" t="str">
        <f t="shared" si="25"/>
        <v/>
      </c>
      <c r="P91" s="49" t="str">
        <f t="shared" si="25"/>
        <v/>
      </c>
      <c r="Q91" s="49" t="str">
        <f t="shared" si="25"/>
        <v/>
      </c>
      <c r="R91" s="49" t="str">
        <f t="shared" si="25"/>
        <v/>
      </c>
      <c r="S91" s="49" t="str">
        <f t="shared" si="25"/>
        <v/>
      </c>
      <c r="T91" s="49" t="str">
        <f t="shared" si="25"/>
        <v>CP</v>
      </c>
      <c r="U91" s="49" t="str">
        <f t="shared" si="25"/>
        <v>CP</v>
      </c>
      <c r="V91" s="49" t="str">
        <f t="shared" si="25"/>
        <v>CP</v>
      </c>
      <c r="W91" s="49" t="str">
        <f t="shared" si="25"/>
        <v>CP</v>
      </c>
      <c r="X91" s="49" t="str">
        <f t="shared" si="25"/>
        <v>CP</v>
      </c>
      <c r="Y91" s="49" t="str">
        <f t="shared" si="25"/>
        <v/>
      </c>
      <c r="Z91" s="49" t="str">
        <f t="shared" si="25"/>
        <v/>
      </c>
      <c r="AA91" s="49" t="str">
        <f t="shared" si="25"/>
        <v/>
      </c>
      <c r="AB91" s="49" t="str">
        <f t="shared" si="25"/>
        <v>CP</v>
      </c>
      <c r="AC91" s="49" t="str">
        <f t="shared" si="25"/>
        <v>CP</v>
      </c>
      <c r="AD91" s="49" t="str">
        <f t="shared" si="25"/>
        <v>CP</v>
      </c>
      <c r="AE91" s="49" t="str">
        <f t="shared" si="25"/>
        <v>CP</v>
      </c>
      <c r="AF91" s="49" t="str">
        <f t="shared" si="25"/>
        <v/>
      </c>
      <c r="AG91" s="49" t="str">
        <f t="shared" si="25"/>
        <v/>
      </c>
      <c r="AH91" s="44">
        <f>SUM(AH89:AH90)</f>
        <v>18</v>
      </c>
      <c r="AI91" s="45">
        <f>SUM(AI89:AI90)</f>
        <v>37</v>
      </c>
      <c r="AJ91" s="45">
        <f>SUM(AJ89:AJ90)</f>
        <v>0</v>
      </c>
      <c r="AK91" s="45">
        <f>SUM(AK89:AK90)</f>
        <v>0</v>
      </c>
      <c r="AL91" s="45">
        <f>SUM(AL89:AL90)</f>
        <v>0</v>
      </c>
      <c r="AM91" s="50">
        <f>Juin!AM91</f>
        <v>-0.82</v>
      </c>
      <c r="AN91" s="51">
        <f>IF(A90="","",IF(A90&gt;NomMois,0,IF(A90&lt;$A$3,2.5,(NETWORKDAYS(A90,$A$2)/21.66667)*2.5)))</f>
        <v>2.5</v>
      </c>
      <c r="AO91" s="51">
        <f>IF( AN91="",0,+AN91+Novembre!AO91)</f>
        <v>17.5</v>
      </c>
      <c r="AP91" s="50"/>
      <c r="AQ91" s="45">
        <f>+AM91-AI91</f>
        <v>-37.82</v>
      </c>
      <c r="AR91" s="45">
        <f>+AP91-AJ91</f>
        <v>0</v>
      </c>
      <c r="AS91" s="102">
        <f t="shared" si="10"/>
        <v>-20.32</v>
      </c>
    </row>
    <row r="92" spans="1:45" s="63" customFormat="1" ht="6.75" customHeight="1" x14ac:dyDescent="0.25">
      <c r="A92" s="64"/>
      <c r="B92" s="42"/>
      <c r="C92" s="64"/>
      <c r="D92" s="64"/>
      <c r="E92" s="64"/>
      <c r="F92" s="64"/>
      <c r="G92" s="64"/>
      <c r="H92" s="64"/>
      <c r="I92" s="64"/>
      <c r="J92" s="64"/>
      <c r="K92" s="64"/>
      <c r="L92" s="64"/>
      <c r="M92" s="64"/>
      <c r="N92" s="64"/>
      <c r="O92" s="64"/>
      <c r="P92" s="64"/>
      <c r="Q92" s="64"/>
      <c r="R92" s="64"/>
      <c r="S92" s="64"/>
      <c r="T92" s="64"/>
      <c r="U92" s="64"/>
      <c r="V92" s="64"/>
      <c r="W92" s="64"/>
      <c r="X92" s="64"/>
      <c r="Y92" s="64"/>
      <c r="Z92" s="64"/>
      <c r="AA92" s="64"/>
      <c r="AB92" s="64"/>
      <c r="AC92" s="64"/>
      <c r="AD92" s="64"/>
      <c r="AE92" s="64"/>
      <c r="AF92" s="64"/>
      <c r="AG92" s="64"/>
      <c r="AH92" s="65"/>
      <c r="AI92" s="65"/>
      <c r="AJ92" s="65"/>
      <c r="AK92" s="65"/>
      <c r="AL92" s="65"/>
      <c r="AM92" s="64"/>
      <c r="AN92" s="65"/>
      <c r="AO92" s="65"/>
      <c r="AP92" s="64"/>
      <c r="AQ92" s="69"/>
      <c r="AR92" s="69"/>
      <c r="AS92" s="65"/>
    </row>
    <row r="93" spans="1:45" ht="12.95" customHeight="1" x14ac:dyDescent="0.25">
      <c r="A93" s="41"/>
      <c r="B93" s="42" t="s">
        <v>15</v>
      </c>
      <c r="C93" s="67"/>
      <c r="D93" s="43"/>
      <c r="E93" s="43"/>
      <c r="F93" s="43"/>
      <c r="G93" s="43"/>
      <c r="H93" s="43"/>
      <c r="I93" s="43"/>
      <c r="J93" s="43"/>
      <c r="K93" s="43"/>
      <c r="L93" s="43"/>
      <c r="M93" s="43"/>
      <c r="N93" s="43"/>
      <c r="O93" s="43"/>
      <c r="P93" s="43"/>
      <c r="Q93" s="43"/>
      <c r="R93" s="43"/>
      <c r="S93" s="43"/>
      <c r="T93" s="43"/>
      <c r="U93" s="43"/>
      <c r="V93" s="43"/>
      <c r="W93" s="43"/>
      <c r="X93" s="43"/>
      <c r="Y93" s="43"/>
      <c r="Z93" s="43"/>
      <c r="AA93" s="43"/>
      <c r="AB93" s="43"/>
      <c r="AC93" s="43"/>
      <c r="AD93" s="43"/>
      <c r="AE93" s="43"/>
      <c r="AF93" s="43"/>
      <c r="AG93" s="43"/>
      <c r="AH93" s="44">
        <f>COUNTA(Décembre!$C93:$AG93)</f>
        <v>0</v>
      </c>
      <c r="AI93" s="45">
        <f>(COUNTIFS(Décembre!$C93:$AG93,("cp")))/2+Novembre!AI93</f>
        <v>0</v>
      </c>
      <c r="AJ93" s="45">
        <f>COUNTIFS(Décembre!$C93:$AG93,"RTT")/2+Novembre!AJ93</f>
        <v>0</v>
      </c>
      <c r="AK93" s="45">
        <f>COUNTIFS(Décembre!$C93:$AG93,"m")/2+Novembre!AK93</f>
        <v>5</v>
      </c>
      <c r="AL93" s="45">
        <f>COUNTIFS(Décembre!$C93:$AG93,"a")/2+Novembre!AL93</f>
        <v>0</v>
      </c>
      <c r="AM93" s="46"/>
      <c r="AN93" s="47"/>
      <c r="AO93" s="47"/>
      <c r="AP93" s="46"/>
      <c r="AQ93" s="47"/>
      <c r="AR93" s="47"/>
      <c r="AS93" s="47"/>
    </row>
    <row r="94" spans="1:45" s="79" customFormat="1" ht="12.95" customHeight="1" x14ac:dyDescent="0.25">
      <c r="A94" s="48">
        <v>42921</v>
      </c>
      <c r="B94" s="42" t="s">
        <v>16</v>
      </c>
      <c r="C94" s="67"/>
      <c r="D94" s="43"/>
      <c r="E94" s="43"/>
      <c r="F94" s="43"/>
      <c r="G94" s="43"/>
      <c r="H94" s="43"/>
      <c r="I94" s="43"/>
      <c r="J94" s="43"/>
      <c r="K94" s="43"/>
      <c r="L94" s="43"/>
      <c r="M94" s="43"/>
      <c r="N94" s="43"/>
      <c r="O94" s="43"/>
      <c r="P94" s="43"/>
      <c r="Q94" s="43"/>
      <c r="R94" s="43"/>
      <c r="S94" s="43"/>
      <c r="T94" s="43"/>
      <c r="U94" s="43"/>
      <c r="V94" s="43"/>
      <c r="W94" s="43"/>
      <c r="X94" s="43"/>
      <c r="Y94" s="43"/>
      <c r="Z94" s="43"/>
      <c r="AA94" s="43"/>
      <c r="AB94" s="43"/>
      <c r="AC94" s="43"/>
      <c r="AD94" s="43"/>
      <c r="AE94" s="43"/>
      <c r="AF94" s="43"/>
      <c r="AG94" s="43"/>
      <c r="AH94" s="44">
        <f>COUNTA(Décembre!$C94:$AG94)</f>
        <v>0</v>
      </c>
      <c r="AI94" s="45">
        <f>(COUNTIFS(Décembre!$C94:$AG94,("cp")))/2+Novembre!AI94</f>
        <v>0</v>
      </c>
      <c r="AJ94" s="45">
        <f>COUNTIFS(Décembre!$C94:$AG94,"RTT")/2+Novembre!AJ94</f>
        <v>0</v>
      </c>
      <c r="AK94" s="45">
        <f>COUNTIFS(Décembre!$C94:$AG94,"m")/2+Novembre!AK94</f>
        <v>5</v>
      </c>
      <c r="AL94" s="45">
        <f>COUNTIFS(Décembre!$C94:$AG94,"a")/2+Novembre!AL94</f>
        <v>0</v>
      </c>
      <c r="AM94" s="46"/>
      <c r="AN94" s="47"/>
      <c r="AO94" s="47"/>
      <c r="AP94" s="46"/>
      <c r="AQ94" s="47"/>
      <c r="AR94" s="47"/>
      <c r="AS94" s="101"/>
    </row>
    <row r="95" spans="1:45" s="79" customFormat="1" ht="12.95" customHeight="1" x14ac:dyDescent="0.25">
      <c r="A95" s="41"/>
      <c r="B95" s="42"/>
      <c r="C95" s="49" t="str">
        <f t="shared" ref="C95:AG95" si="26">IF(C93&gt;0,C93,IF(C94&gt;0,C94,""))</f>
        <v/>
      </c>
      <c r="D95" s="49" t="str">
        <f t="shared" si="26"/>
        <v/>
      </c>
      <c r="E95" s="49" t="str">
        <f t="shared" si="26"/>
        <v/>
      </c>
      <c r="F95" s="49" t="str">
        <f t="shared" si="26"/>
        <v/>
      </c>
      <c r="G95" s="49" t="str">
        <f t="shared" si="26"/>
        <v/>
      </c>
      <c r="H95" s="49" t="str">
        <f t="shared" si="26"/>
        <v/>
      </c>
      <c r="I95" s="49" t="str">
        <f t="shared" si="26"/>
        <v/>
      </c>
      <c r="J95" s="49" t="str">
        <f t="shared" si="26"/>
        <v/>
      </c>
      <c r="K95" s="49" t="str">
        <f t="shared" si="26"/>
        <v/>
      </c>
      <c r="L95" s="49" t="str">
        <f t="shared" si="26"/>
        <v/>
      </c>
      <c r="M95" s="49" t="str">
        <f t="shared" si="26"/>
        <v/>
      </c>
      <c r="N95" s="49" t="str">
        <f t="shared" si="26"/>
        <v/>
      </c>
      <c r="O95" s="49" t="str">
        <f t="shared" si="26"/>
        <v/>
      </c>
      <c r="P95" s="49" t="str">
        <f t="shared" si="26"/>
        <v/>
      </c>
      <c r="Q95" s="49" t="str">
        <f t="shared" si="26"/>
        <v/>
      </c>
      <c r="R95" s="49" t="str">
        <f t="shared" si="26"/>
        <v/>
      </c>
      <c r="S95" s="49" t="str">
        <f t="shared" si="26"/>
        <v/>
      </c>
      <c r="T95" s="49" t="str">
        <f t="shared" si="26"/>
        <v/>
      </c>
      <c r="U95" s="49" t="str">
        <f t="shared" si="26"/>
        <v/>
      </c>
      <c r="V95" s="49" t="str">
        <f t="shared" si="26"/>
        <v/>
      </c>
      <c r="W95" s="49" t="str">
        <f t="shared" si="26"/>
        <v/>
      </c>
      <c r="X95" s="49" t="str">
        <f t="shared" si="26"/>
        <v/>
      </c>
      <c r="Y95" s="49" t="str">
        <f t="shared" si="26"/>
        <v/>
      </c>
      <c r="Z95" s="49" t="str">
        <f t="shared" si="26"/>
        <v/>
      </c>
      <c r="AA95" s="49" t="str">
        <f t="shared" si="26"/>
        <v/>
      </c>
      <c r="AB95" s="49" t="str">
        <f t="shared" si="26"/>
        <v/>
      </c>
      <c r="AC95" s="49" t="str">
        <f t="shared" si="26"/>
        <v/>
      </c>
      <c r="AD95" s="49" t="str">
        <f t="shared" si="26"/>
        <v/>
      </c>
      <c r="AE95" s="49" t="str">
        <f t="shared" si="26"/>
        <v/>
      </c>
      <c r="AF95" s="49" t="str">
        <f t="shared" si="26"/>
        <v/>
      </c>
      <c r="AG95" s="49" t="str">
        <f t="shared" si="26"/>
        <v/>
      </c>
      <c r="AH95" s="44">
        <f>SUM(AH93:AH94)</f>
        <v>0</v>
      </c>
      <c r="AI95" s="45">
        <f>SUM(AI93:AI94)</f>
        <v>0</v>
      </c>
      <c r="AJ95" s="45">
        <f>SUM(AJ93:AJ94)</f>
        <v>0</v>
      </c>
      <c r="AK95" s="45">
        <f>SUM(AK93:AK94)</f>
        <v>10</v>
      </c>
      <c r="AL95" s="45">
        <f>SUM(AL93:AL94)</f>
        <v>0</v>
      </c>
      <c r="AM95" s="50">
        <f>Juin!AM95</f>
        <v>0</v>
      </c>
      <c r="AN95" s="51">
        <f>IF(A94="","",IF(A94&gt;NomMois,0,IF(A94&lt;$A$3,2.08,(NETWORKDAYS(A94,$A$2)/21.66667)*2.08)))</f>
        <v>2.08</v>
      </c>
      <c r="AO95" s="51">
        <f>IF( AN95="",0,+AN95+Novembre!AO95)</f>
        <v>12.223999719384659</v>
      </c>
      <c r="AP95" s="50"/>
      <c r="AQ95" s="45">
        <f>+AM95-AI95</f>
        <v>0</v>
      </c>
      <c r="AR95" s="45">
        <f>+AP95-AJ95</f>
        <v>0</v>
      </c>
      <c r="AS95" s="102">
        <f t="shared" ref="AS95:AS123" si="27">+AO95+AQ95</f>
        <v>12.223999719384659</v>
      </c>
    </row>
    <row r="96" spans="1:45" s="63" customFormat="1" ht="6.75" customHeight="1" x14ac:dyDescent="0.25">
      <c r="A96" s="64"/>
      <c r="B96" s="42"/>
      <c r="C96" s="64"/>
      <c r="D96" s="64"/>
      <c r="E96" s="64"/>
      <c r="F96" s="64"/>
      <c r="G96" s="64"/>
      <c r="H96" s="64"/>
      <c r="I96" s="64"/>
      <c r="J96" s="64"/>
      <c r="K96" s="64"/>
      <c r="L96" s="64"/>
      <c r="M96" s="64"/>
      <c r="N96" s="64"/>
      <c r="O96" s="64"/>
      <c r="P96" s="64"/>
      <c r="Q96" s="64"/>
      <c r="R96" s="64"/>
      <c r="S96" s="64"/>
      <c r="T96" s="64"/>
      <c r="U96" s="64"/>
      <c r="V96" s="64"/>
      <c r="W96" s="64"/>
      <c r="X96" s="64"/>
      <c r="Y96" s="64"/>
      <c r="Z96" s="64"/>
      <c r="AA96" s="64"/>
      <c r="AB96" s="64"/>
      <c r="AC96" s="64"/>
      <c r="AD96" s="64"/>
      <c r="AE96" s="64"/>
      <c r="AF96" s="64"/>
      <c r="AG96" s="64"/>
      <c r="AH96" s="65"/>
      <c r="AI96" s="65"/>
      <c r="AJ96" s="65"/>
      <c r="AK96" s="65"/>
      <c r="AL96" s="65"/>
      <c r="AM96" s="64"/>
      <c r="AN96" s="65"/>
      <c r="AO96" s="65"/>
      <c r="AP96" s="64"/>
      <c r="AQ96" s="69"/>
      <c r="AR96" s="69"/>
      <c r="AS96" s="65"/>
    </row>
    <row r="97" spans="1:45" s="79" customFormat="1" ht="12.95" customHeight="1" x14ac:dyDescent="0.25">
      <c r="A97" s="70"/>
      <c r="B97" s="42" t="s">
        <v>15</v>
      </c>
      <c r="C97" s="71"/>
      <c r="D97" s="71"/>
      <c r="E97" s="71"/>
      <c r="F97" s="71"/>
      <c r="G97" s="71"/>
      <c r="H97" s="71"/>
      <c r="I97" s="71"/>
      <c r="J97" s="71"/>
      <c r="K97" s="71"/>
      <c r="L97" s="71"/>
      <c r="M97" s="71"/>
      <c r="N97" s="71"/>
      <c r="O97" s="71"/>
      <c r="P97" s="71"/>
      <c r="Q97" s="71"/>
      <c r="R97" s="71"/>
      <c r="S97" s="71"/>
      <c r="T97" s="71"/>
      <c r="U97" s="71"/>
      <c r="V97" s="71"/>
      <c r="W97" s="71"/>
      <c r="X97" s="71"/>
      <c r="Y97" s="71"/>
      <c r="Z97" s="71"/>
      <c r="AA97" s="71"/>
      <c r="AB97" s="71"/>
      <c r="AC97" s="71"/>
      <c r="AD97" s="71"/>
      <c r="AE97" s="71"/>
      <c r="AF97" s="71"/>
      <c r="AG97" s="71"/>
      <c r="AH97" s="72">
        <f>COUNTA(Décembre!$C97:$AG97)</f>
        <v>0</v>
      </c>
      <c r="AI97" s="45">
        <f>(COUNTIFS(Décembre!$C97:$AG97,("cp")))/2+Novembre!AI97</f>
        <v>14.5</v>
      </c>
      <c r="AJ97" s="45">
        <f>COUNTIFS(Décembre!$C97:$AG97,"RTT")/2+Novembre!AJ97</f>
        <v>0</v>
      </c>
      <c r="AK97" s="45">
        <f>COUNTIFS(Décembre!$C97:$AG97,"m")/2+Novembre!AK97</f>
        <v>0</v>
      </c>
      <c r="AL97" s="45">
        <f>COUNTIFS(Décembre!$C97:$AG97,"a")/2+Novembre!AL97</f>
        <v>0</v>
      </c>
      <c r="AM97" s="46"/>
      <c r="AN97" s="47"/>
      <c r="AO97" s="47"/>
      <c r="AP97" s="46"/>
      <c r="AQ97" s="47"/>
      <c r="AR97" s="47"/>
      <c r="AS97" s="47"/>
    </row>
    <row r="98" spans="1:45" s="79" customFormat="1" ht="12.95" customHeight="1" x14ac:dyDescent="0.25">
      <c r="A98" s="73">
        <v>42736</v>
      </c>
      <c r="B98" s="42" t="s">
        <v>16</v>
      </c>
      <c r="C98" s="71"/>
      <c r="D98" s="71"/>
      <c r="E98" s="71"/>
      <c r="F98" s="71"/>
      <c r="G98" s="71"/>
      <c r="H98" s="71"/>
      <c r="I98" s="71"/>
      <c r="J98" s="71"/>
      <c r="K98" s="71"/>
      <c r="L98" s="71"/>
      <c r="M98" s="71"/>
      <c r="N98" s="71"/>
      <c r="O98" s="71"/>
      <c r="P98" s="71"/>
      <c r="Q98" s="71"/>
      <c r="R98" s="71"/>
      <c r="S98" s="71"/>
      <c r="T98" s="71"/>
      <c r="U98" s="71"/>
      <c r="V98" s="71"/>
      <c r="W98" s="71"/>
      <c r="X98" s="71"/>
      <c r="Y98" s="71"/>
      <c r="Z98" s="71"/>
      <c r="AA98" s="71"/>
      <c r="AB98" s="71"/>
      <c r="AC98" s="71"/>
      <c r="AD98" s="71"/>
      <c r="AE98" s="71"/>
      <c r="AF98" s="71"/>
      <c r="AG98" s="71"/>
      <c r="AH98" s="72">
        <f>COUNTA(Décembre!$C98:$AG98)</f>
        <v>0</v>
      </c>
      <c r="AI98" s="45">
        <f>(COUNTIFS(Décembre!$C98:$AG98,("cp")))/2+Novembre!AI98</f>
        <v>14.5</v>
      </c>
      <c r="AJ98" s="45">
        <f>COUNTIFS(Décembre!$C98:$AG98,"RTT")/2+Novembre!AJ98</f>
        <v>0</v>
      </c>
      <c r="AK98" s="45">
        <f>COUNTIFS(Décembre!$C98:$AG98,"m")/2+Novembre!AK98</f>
        <v>0</v>
      </c>
      <c r="AL98" s="45">
        <f>COUNTIFS(Décembre!$C98:$AG98,"a")/2+Novembre!AL98</f>
        <v>0</v>
      </c>
      <c r="AM98" s="46"/>
      <c r="AN98" s="47"/>
      <c r="AO98" s="47"/>
      <c r="AP98" s="46"/>
      <c r="AQ98" s="47"/>
      <c r="AR98" s="47"/>
      <c r="AS98" s="101"/>
    </row>
    <row r="99" spans="1:45" s="79" customFormat="1" ht="12.95" customHeight="1" x14ac:dyDescent="0.25">
      <c r="A99" s="70"/>
      <c r="B99" s="42"/>
      <c r="C99" s="71" t="str">
        <f t="shared" ref="C99:AG99" si="28">IF(C97&gt;0,C97,IF(C98&gt;0,C98,""))</f>
        <v/>
      </c>
      <c r="D99" s="71" t="str">
        <f t="shared" si="28"/>
        <v/>
      </c>
      <c r="E99" s="71" t="str">
        <f t="shared" si="28"/>
        <v/>
      </c>
      <c r="F99" s="71" t="str">
        <f t="shared" si="28"/>
        <v/>
      </c>
      <c r="G99" s="71" t="str">
        <f t="shared" si="28"/>
        <v/>
      </c>
      <c r="H99" s="71" t="str">
        <f t="shared" si="28"/>
        <v/>
      </c>
      <c r="I99" s="71" t="str">
        <f t="shared" si="28"/>
        <v/>
      </c>
      <c r="J99" s="71" t="str">
        <f t="shared" si="28"/>
        <v/>
      </c>
      <c r="K99" s="71" t="str">
        <f t="shared" si="28"/>
        <v/>
      </c>
      <c r="L99" s="71" t="str">
        <f t="shared" si="28"/>
        <v/>
      </c>
      <c r="M99" s="71" t="str">
        <f t="shared" si="28"/>
        <v/>
      </c>
      <c r="N99" s="71" t="str">
        <f t="shared" si="28"/>
        <v/>
      </c>
      <c r="O99" s="71" t="str">
        <f t="shared" si="28"/>
        <v/>
      </c>
      <c r="P99" s="71" t="str">
        <f t="shared" si="28"/>
        <v/>
      </c>
      <c r="Q99" s="71" t="str">
        <f t="shared" si="28"/>
        <v/>
      </c>
      <c r="R99" s="71" t="str">
        <f t="shared" si="28"/>
        <v/>
      </c>
      <c r="S99" s="71" t="str">
        <f t="shared" si="28"/>
        <v/>
      </c>
      <c r="T99" s="71" t="str">
        <f t="shared" si="28"/>
        <v/>
      </c>
      <c r="U99" s="71" t="str">
        <f t="shared" si="28"/>
        <v/>
      </c>
      <c r="V99" s="71" t="str">
        <f t="shared" si="28"/>
        <v/>
      </c>
      <c r="W99" s="71" t="str">
        <f t="shared" si="28"/>
        <v/>
      </c>
      <c r="X99" s="71" t="str">
        <f t="shared" si="28"/>
        <v/>
      </c>
      <c r="Y99" s="71" t="str">
        <f t="shared" si="28"/>
        <v/>
      </c>
      <c r="Z99" s="71" t="str">
        <f t="shared" si="28"/>
        <v/>
      </c>
      <c r="AA99" s="71" t="str">
        <f t="shared" si="28"/>
        <v/>
      </c>
      <c r="AB99" s="71" t="str">
        <f t="shared" si="28"/>
        <v/>
      </c>
      <c r="AC99" s="71" t="str">
        <f t="shared" si="28"/>
        <v/>
      </c>
      <c r="AD99" s="71" t="str">
        <f t="shared" si="28"/>
        <v/>
      </c>
      <c r="AE99" s="71" t="str">
        <f t="shared" si="28"/>
        <v/>
      </c>
      <c r="AF99" s="71" t="str">
        <f t="shared" si="28"/>
        <v/>
      </c>
      <c r="AG99" s="71" t="str">
        <f t="shared" si="28"/>
        <v/>
      </c>
      <c r="AH99" s="72">
        <f>SUM(AH97:AH98)</f>
        <v>0</v>
      </c>
      <c r="AI99" s="45">
        <f>SUM(AI97:AI98)</f>
        <v>29</v>
      </c>
      <c r="AJ99" s="45">
        <f>SUM(AJ97:AJ98)</f>
        <v>0</v>
      </c>
      <c r="AK99" s="45">
        <f>SUM(AK97:AK98)</f>
        <v>0</v>
      </c>
      <c r="AL99" s="45">
        <f>SUM(AL97:AL98)</f>
        <v>0</v>
      </c>
      <c r="AM99" s="50">
        <f>Juin!AM99</f>
        <v>5.41</v>
      </c>
      <c r="AN99" s="51">
        <f>IF(A98="","",IF(A98&gt;NomMois,0,IF(A98&lt;$A$3,2.08,(NETWORKDAYS(A98,$A$2)/21.66667)*2.08)))</f>
        <v>2.08</v>
      </c>
      <c r="AO99" s="51">
        <f>IF( AN99="",0,+AN99+Novembre!AO99)</f>
        <v>14.56</v>
      </c>
      <c r="AP99" s="50"/>
      <c r="AQ99" s="45">
        <f>+AM99-AI99</f>
        <v>-23.59</v>
      </c>
      <c r="AR99" s="45">
        <f>+AP99-AJ99</f>
        <v>0</v>
      </c>
      <c r="AS99" s="102">
        <f t="shared" si="27"/>
        <v>-9.0299999999999994</v>
      </c>
    </row>
    <row r="100" spans="1:45" s="63" customFormat="1" ht="6.75" customHeight="1" x14ac:dyDescent="0.25">
      <c r="A100" s="64"/>
      <c r="B100" s="42"/>
      <c r="C100" s="64"/>
      <c r="D100" s="64"/>
      <c r="E100" s="64"/>
      <c r="F100" s="64"/>
      <c r="G100" s="64"/>
      <c r="H100" s="64"/>
      <c r="I100" s="64"/>
      <c r="J100" s="64"/>
      <c r="K100" s="64"/>
      <c r="L100" s="64"/>
      <c r="M100" s="64"/>
      <c r="N100" s="64"/>
      <c r="O100" s="64"/>
      <c r="P100" s="64"/>
      <c r="Q100" s="64"/>
      <c r="R100" s="64"/>
      <c r="S100" s="64"/>
      <c r="T100" s="64"/>
      <c r="U100" s="64"/>
      <c r="V100" s="64"/>
      <c r="W100" s="64"/>
      <c r="X100" s="64"/>
      <c r="Y100" s="64"/>
      <c r="Z100" s="64"/>
      <c r="AA100" s="64"/>
      <c r="AB100" s="64"/>
      <c r="AC100" s="64"/>
      <c r="AD100" s="64"/>
      <c r="AE100" s="64"/>
      <c r="AF100" s="64"/>
      <c r="AG100" s="64"/>
      <c r="AH100" s="65"/>
      <c r="AI100" s="65"/>
      <c r="AJ100" s="65"/>
      <c r="AK100" s="65"/>
      <c r="AL100" s="65"/>
      <c r="AM100" s="64"/>
      <c r="AN100" s="65"/>
      <c r="AO100" s="65"/>
      <c r="AP100" s="64"/>
      <c r="AQ100" s="69"/>
      <c r="AR100" s="69"/>
      <c r="AS100" s="65"/>
    </row>
    <row r="101" spans="1:45" s="79" customFormat="1" ht="12.95" customHeight="1" x14ac:dyDescent="0.25">
      <c r="A101" s="70"/>
      <c r="B101" s="42" t="s">
        <v>15</v>
      </c>
      <c r="C101" s="71"/>
      <c r="D101" s="71"/>
      <c r="E101" s="71"/>
      <c r="F101" s="71"/>
      <c r="G101" s="71"/>
      <c r="H101" s="71"/>
      <c r="I101" s="71"/>
      <c r="J101" s="71"/>
      <c r="K101" s="71"/>
      <c r="L101" s="71"/>
      <c r="M101" s="71"/>
      <c r="N101" s="71"/>
      <c r="O101" s="71"/>
      <c r="P101" s="71"/>
      <c r="Q101" s="71"/>
      <c r="R101" s="71"/>
      <c r="S101" s="71"/>
      <c r="T101" s="71"/>
      <c r="U101" s="71"/>
      <c r="V101" s="71"/>
      <c r="W101" s="71"/>
      <c r="X101" s="71"/>
      <c r="Y101" s="71"/>
      <c r="Z101" s="71"/>
      <c r="AA101" s="71"/>
      <c r="AB101" s="71" t="s">
        <v>7</v>
      </c>
      <c r="AC101" s="71" t="s">
        <v>7</v>
      </c>
      <c r="AD101" s="71" t="s">
        <v>7</v>
      </c>
      <c r="AE101" s="71" t="s">
        <v>7</v>
      </c>
      <c r="AF101" s="71"/>
      <c r="AG101" s="71"/>
      <c r="AH101" s="72">
        <f>COUNTA(Décembre!$C101:$AG101)</f>
        <v>4</v>
      </c>
      <c r="AI101" s="45">
        <f>(COUNTIFS(Décembre!$C101:$AG101,("cp")))/2+Novembre!AI101</f>
        <v>4</v>
      </c>
      <c r="AJ101" s="45">
        <f>COUNTIFS(Décembre!$C101:$AG101,"RTT")/2+Novembre!AJ101</f>
        <v>0</v>
      </c>
      <c r="AK101" s="45">
        <f>COUNTIFS(Décembre!$C101:$AG101,"m")/2+Novembre!AK101</f>
        <v>0</v>
      </c>
      <c r="AL101" s="45">
        <f>COUNTIFS(Décembre!$C101:$AG101,"a")/2+Novembre!AL101</f>
        <v>0</v>
      </c>
      <c r="AM101" s="46"/>
      <c r="AN101" s="47"/>
      <c r="AO101" s="47"/>
      <c r="AP101" s="46"/>
      <c r="AQ101" s="47"/>
      <c r="AR101" s="47"/>
      <c r="AS101" s="47"/>
    </row>
    <row r="102" spans="1:45" s="79" customFormat="1" ht="12.95" customHeight="1" x14ac:dyDescent="0.25">
      <c r="A102" s="73">
        <v>42814</v>
      </c>
      <c r="B102" s="42" t="s">
        <v>16</v>
      </c>
      <c r="C102" s="71"/>
      <c r="D102" s="71"/>
      <c r="E102" s="71"/>
      <c r="F102" s="71"/>
      <c r="G102" s="71"/>
      <c r="H102" s="71"/>
      <c r="I102" s="71"/>
      <c r="J102" s="71"/>
      <c r="K102" s="71"/>
      <c r="L102" s="71"/>
      <c r="M102" s="71"/>
      <c r="N102" s="71"/>
      <c r="O102" s="71"/>
      <c r="P102" s="71"/>
      <c r="Q102" s="71"/>
      <c r="R102" s="71"/>
      <c r="S102" s="71"/>
      <c r="T102" s="71"/>
      <c r="U102" s="71"/>
      <c r="V102" s="71"/>
      <c r="W102" s="71"/>
      <c r="X102" s="71"/>
      <c r="Y102" s="71"/>
      <c r="Z102" s="71"/>
      <c r="AA102" s="71"/>
      <c r="AB102" s="71" t="s">
        <v>7</v>
      </c>
      <c r="AC102" s="71" t="s">
        <v>7</v>
      </c>
      <c r="AD102" s="71" t="s">
        <v>7</v>
      </c>
      <c r="AE102" s="71" t="s">
        <v>7</v>
      </c>
      <c r="AF102" s="71"/>
      <c r="AG102" s="71"/>
      <c r="AH102" s="72">
        <f>COUNTA(Décembre!$C102:$AG102)</f>
        <v>4</v>
      </c>
      <c r="AI102" s="45">
        <f>(COUNTIFS(Décembre!$C102:$AG102,("cp")))/2+Novembre!AI102</f>
        <v>4</v>
      </c>
      <c r="AJ102" s="45">
        <f>COUNTIFS(Décembre!$C102:$AG102,"RTT")/2+Novembre!AJ102</f>
        <v>0</v>
      </c>
      <c r="AK102" s="45">
        <f>COUNTIFS(Décembre!$C102:$AG102,"m")/2+Novembre!AK102</f>
        <v>0</v>
      </c>
      <c r="AL102" s="45">
        <f>COUNTIFS(Décembre!$C102:$AG102,"a")/2+Novembre!AL102</f>
        <v>0</v>
      </c>
      <c r="AM102" s="46"/>
      <c r="AN102" s="47"/>
      <c r="AO102" s="47"/>
      <c r="AP102" s="46"/>
      <c r="AQ102" s="47"/>
      <c r="AR102" s="47"/>
      <c r="AS102" s="101"/>
    </row>
    <row r="103" spans="1:45" s="79" customFormat="1" ht="12.95" customHeight="1" x14ac:dyDescent="0.25">
      <c r="A103" s="70"/>
      <c r="B103" s="42"/>
      <c r="C103" s="71" t="str">
        <f t="shared" ref="C103:AG103" si="29">IF(C101&gt;0,C101,IF(C102&gt;0,C102,""))</f>
        <v/>
      </c>
      <c r="D103" s="71" t="str">
        <f t="shared" si="29"/>
        <v/>
      </c>
      <c r="E103" s="71" t="str">
        <f t="shared" si="29"/>
        <v/>
      </c>
      <c r="F103" s="71" t="str">
        <f t="shared" si="29"/>
        <v/>
      </c>
      <c r="G103" s="71" t="str">
        <f t="shared" si="29"/>
        <v/>
      </c>
      <c r="H103" s="71" t="str">
        <f t="shared" si="29"/>
        <v/>
      </c>
      <c r="I103" s="71" t="str">
        <f t="shared" si="29"/>
        <v/>
      </c>
      <c r="J103" s="71" t="str">
        <f t="shared" si="29"/>
        <v/>
      </c>
      <c r="K103" s="71" t="str">
        <f t="shared" si="29"/>
        <v/>
      </c>
      <c r="L103" s="71" t="str">
        <f t="shared" si="29"/>
        <v/>
      </c>
      <c r="M103" s="71" t="str">
        <f t="shared" si="29"/>
        <v/>
      </c>
      <c r="N103" s="71" t="str">
        <f t="shared" si="29"/>
        <v/>
      </c>
      <c r="O103" s="71" t="str">
        <f t="shared" si="29"/>
        <v/>
      </c>
      <c r="P103" s="71" t="str">
        <f t="shared" si="29"/>
        <v/>
      </c>
      <c r="Q103" s="71" t="str">
        <f t="shared" si="29"/>
        <v/>
      </c>
      <c r="R103" s="71" t="str">
        <f t="shared" si="29"/>
        <v/>
      </c>
      <c r="S103" s="71" t="str">
        <f t="shared" si="29"/>
        <v/>
      </c>
      <c r="T103" s="71" t="str">
        <f t="shared" si="29"/>
        <v/>
      </c>
      <c r="U103" s="71" t="str">
        <f t="shared" si="29"/>
        <v/>
      </c>
      <c r="V103" s="71" t="str">
        <f t="shared" si="29"/>
        <v/>
      </c>
      <c r="W103" s="71" t="str">
        <f t="shared" si="29"/>
        <v/>
      </c>
      <c r="X103" s="71" t="str">
        <f t="shared" si="29"/>
        <v/>
      </c>
      <c r="Y103" s="71" t="str">
        <f t="shared" si="29"/>
        <v/>
      </c>
      <c r="Z103" s="71" t="str">
        <f t="shared" si="29"/>
        <v/>
      </c>
      <c r="AA103" s="71" t="str">
        <f t="shared" si="29"/>
        <v/>
      </c>
      <c r="AB103" s="71" t="str">
        <f t="shared" si="29"/>
        <v>CP</v>
      </c>
      <c r="AC103" s="71" t="str">
        <f t="shared" si="29"/>
        <v>CP</v>
      </c>
      <c r="AD103" s="71" t="str">
        <f t="shared" si="29"/>
        <v>CP</v>
      </c>
      <c r="AE103" s="71" t="str">
        <f t="shared" si="29"/>
        <v>CP</v>
      </c>
      <c r="AF103" s="71" t="str">
        <f t="shared" si="29"/>
        <v/>
      </c>
      <c r="AG103" s="71" t="str">
        <f t="shared" si="29"/>
        <v/>
      </c>
      <c r="AH103" s="72">
        <f>SUM(AH101:AH102)</f>
        <v>8</v>
      </c>
      <c r="AI103" s="45">
        <f>SUM(AI101:AI102)</f>
        <v>8</v>
      </c>
      <c r="AJ103" s="45">
        <f>SUM(AJ101:AJ102)</f>
        <v>0</v>
      </c>
      <c r="AK103" s="45">
        <f>SUM(AK101:AK102)</f>
        <v>0</v>
      </c>
      <c r="AL103" s="45">
        <f>SUM(AL101:AL102)</f>
        <v>0</v>
      </c>
      <c r="AM103" s="50">
        <f>Juin!AM103</f>
        <v>2.65</v>
      </c>
      <c r="AN103" s="51">
        <f>IF(A102="","",IF(A102&gt;NomMois,0,IF(A102&lt;$A$3,2.08,(NETWORKDAYS(A102,$A$2)/21.66667)*2.08)))</f>
        <v>2.08</v>
      </c>
      <c r="AO103" s="51">
        <f>IF( AN103="",0,+AN103+Novembre!AO103)</f>
        <v>14.56</v>
      </c>
      <c r="AP103" s="50"/>
      <c r="AQ103" s="45">
        <f>+AM103-AI103</f>
        <v>-5.35</v>
      </c>
      <c r="AR103" s="45">
        <f>+AP103-AJ103</f>
        <v>0</v>
      </c>
      <c r="AS103" s="102">
        <f t="shared" si="27"/>
        <v>9.2100000000000009</v>
      </c>
    </row>
    <row r="104" spans="1:45" s="79" customFormat="1" ht="8.25" customHeight="1" x14ac:dyDescent="0.25">
      <c r="A104" s="64"/>
      <c r="B104" s="42"/>
      <c r="C104" s="64"/>
      <c r="D104" s="64"/>
      <c r="E104" s="64"/>
      <c r="F104" s="64"/>
      <c r="G104" s="64"/>
      <c r="H104" s="64"/>
      <c r="I104" s="64"/>
      <c r="J104" s="64"/>
      <c r="K104" s="64"/>
      <c r="L104" s="64"/>
      <c r="M104" s="64"/>
      <c r="N104" s="64"/>
      <c r="O104" s="64"/>
      <c r="P104" s="64"/>
      <c r="Q104" s="64"/>
      <c r="R104" s="64"/>
      <c r="S104" s="64"/>
      <c r="T104" s="64"/>
      <c r="U104" s="64"/>
      <c r="V104" s="64"/>
      <c r="W104" s="64"/>
      <c r="X104" s="64"/>
      <c r="Y104" s="64"/>
      <c r="Z104" s="64"/>
      <c r="AA104" s="64"/>
      <c r="AB104" s="64"/>
      <c r="AC104" s="64"/>
      <c r="AD104" s="64"/>
      <c r="AE104" s="64"/>
      <c r="AF104" s="64"/>
      <c r="AG104" s="64"/>
      <c r="AH104" s="65"/>
      <c r="AI104" s="65"/>
      <c r="AJ104" s="65"/>
      <c r="AK104" s="65"/>
      <c r="AL104" s="65"/>
      <c r="AM104" s="64"/>
      <c r="AN104" s="65"/>
      <c r="AO104" s="65"/>
      <c r="AP104" s="64"/>
      <c r="AQ104" s="69"/>
      <c r="AR104" s="69"/>
      <c r="AS104" s="65"/>
    </row>
    <row r="105" spans="1:45" s="79" customFormat="1" ht="12.95" customHeight="1" x14ac:dyDescent="0.25">
      <c r="A105" s="41"/>
      <c r="B105" s="42" t="s">
        <v>15</v>
      </c>
      <c r="C105" s="67"/>
      <c r="D105" s="43"/>
      <c r="E105" s="43"/>
      <c r="F105" s="43"/>
      <c r="G105" s="43"/>
      <c r="H105" s="43"/>
      <c r="I105" s="43"/>
      <c r="J105" s="43"/>
      <c r="K105" s="43"/>
      <c r="L105" s="43"/>
      <c r="M105" s="43"/>
      <c r="N105" s="43"/>
      <c r="O105" s="43"/>
      <c r="P105" s="43"/>
      <c r="Q105" s="43"/>
      <c r="R105" s="43"/>
      <c r="S105" s="43"/>
      <c r="T105" s="43"/>
      <c r="U105" s="43"/>
      <c r="V105" s="43"/>
      <c r="W105" s="43"/>
      <c r="X105" s="43"/>
      <c r="Y105" s="43"/>
      <c r="Z105" s="43"/>
      <c r="AA105" s="43"/>
      <c r="AB105" s="43"/>
      <c r="AC105" s="43"/>
      <c r="AD105" s="43"/>
      <c r="AE105" s="43"/>
      <c r="AF105" s="43"/>
      <c r="AG105" s="43"/>
      <c r="AH105" s="44">
        <f>COUNTA(Décembre!$C105:$AG105)</f>
        <v>0</v>
      </c>
      <c r="AI105" s="45">
        <f>(COUNTIFS(Décembre!$C105:$AG105,("cp")))/2+Novembre!AI105</f>
        <v>0</v>
      </c>
      <c r="AJ105" s="45">
        <f>COUNTIFS(Décembre!$C105:$AG105,"RTT")/2+Novembre!AJ105</f>
        <v>0</v>
      </c>
      <c r="AK105" s="45">
        <f>COUNTIFS(Décembre!$C105:$AG105,"m")/2+Novembre!AK105</f>
        <v>0</v>
      </c>
      <c r="AL105" s="45">
        <f>COUNTIFS(Décembre!$C105:$AG105,"a")/2+Novembre!AL105</f>
        <v>0</v>
      </c>
      <c r="AM105" s="46"/>
      <c r="AN105" s="47"/>
      <c r="AO105" s="47"/>
      <c r="AP105" s="46"/>
      <c r="AQ105" s="47"/>
      <c r="AR105" s="47"/>
      <c r="AS105" s="47"/>
    </row>
    <row r="106" spans="1:45" s="79" customFormat="1" ht="12.95" customHeight="1" x14ac:dyDescent="0.25">
      <c r="A106" s="48">
        <v>43037</v>
      </c>
      <c r="B106" s="42" t="s">
        <v>16</v>
      </c>
      <c r="C106" s="67"/>
      <c r="D106" s="43"/>
      <c r="E106" s="43"/>
      <c r="F106" s="43"/>
      <c r="G106" s="43"/>
      <c r="H106" s="43"/>
      <c r="I106" s="43"/>
      <c r="J106" s="43"/>
      <c r="K106" s="43"/>
      <c r="L106" s="43"/>
      <c r="M106" s="43"/>
      <c r="N106" s="43"/>
      <c r="O106" s="43"/>
      <c r="P106" s="43"/>
      <c r="Q106" s="43"/>
      <c r="R106" s="43"/>
      <c r="S106" s="43"/>
      <c r="T106" s="43"/>
      <c r="U106" s="43"/>
      <c r="V106" s="43"/>
      <c r="W106" s="43"/>
      <c r="X106" s="43"/>
      <c r="Y106" s="43"/>
      <c r="Z106" s="43"/>
      <c r="AA106" s="43"/>
      <c r="AB106" s="43"/>
      <c r="AC106" s="43"/>
      <c r="AD106" s="43"/>
      <c r="AE106" s="43"/>
      <c r="AF106" s="43"/>
      <c r="AG106" s="43"/>
      <c r="AH106" s="44">
        <f>COUNTA(Décembre!$C106:$AG106)</f>
        <v>0</v>
      </c>
      <c r="AI106" s="45">
        <f>(COUNTIFS(Décembre!$C106:$AG106,("cp")))/2+Novembre!AI106</f>
        <v>0</v>
      </c>
      <c r="AJ106" s="45">
        <f>COUNTIFS(Décembre!$C106:$AG106,"RTT")/2+Novembre!AJ106</f>
        <v>0</v>
      </c>
      <c r="AK106" s="45">
        <f>COUNTIFS(Décembre!$C106:$AG106,"m")/2+Novembre!AK106</f>
        <v>0</v>
      </c>
      <c r="AL106" s="45">
        <f>COUNTIFS(Décembre!$C106:$AG106,"a")/2+Novembre!AL106</f>
        <v>0</v>
      </c>
      <c r="AM106" s="46"/>
      <c r="AN106" s="47"/>
      <c r="AO106" s="47"/>
      <c r="AP106" s="46"/>
      <c r="AQ106" s="47"/>
      <c r="AR106" s="47"/>
      <c r="AS106" s="101"/>
    </row>
    <row r="107" spans="1:45" s="79" customFormat="1" ht="12.95" customHeight="1" x14ac:dyDescent="0.25">
      <c r="A107" s="41"/>
      <c r="B107" s="42"/>
      <c r="C107" s="49" t="str">
        <f t="shared" ref="C107:AG107" si="30">IF(C105&gt;0,C105,IF(C106&gt;0,C106,""))</f>
        <v/>
      </c>
      <c r="D107" s="49" t="str">
        <f t="shared" si="30"/>
        <v/>
      </c>
      <c r="E107" s="49" t="str">
        <f t="shared" si="30"/>
        <v/>
      </c>
      <c r="F107" s="49" t="str">
        <f t="shared" si="30"/>
        <v/>
      </c>
      <c r="G107" s="49" t="str">
        <f t="shared" si="30"/>
        <v/>
      </c>
      <c r="H107" s="49" t="str">
        <f t="shared" si="30"/>
        <v/>
      </c>
      <c r="I107" s="49" t="str">
        <f t="shared" si="30"/>
        <v/>
      </c>
      <c r="J107" s="49" t="str">
        <f t="shared" si="30"/>
        <v/>
      </c>
      <c r="K107" s="49" t="str">
        <f t="shared" si="30"/>
        <v/>
      </c>
      <c r="L107" s="49" t="str">
        <f t="shared" si="30"/>
        <v/>
      </c>
      <c r="M107" s="49" t="str">
        <f t="shared" si="30"/>
        <v/>
      </c>
      <c r="N107" s="49" t="str">
        <f t="shared" si="30"/>
        <v/>
      </c>
      <c r="O107" s="49" t="str">
        <f t="shared" si="30"/>
        <v/>
      </c>
      <c r="P107" s="49" t="str">
        <f t="shared" si="30"/>
        <v/>
      </c>
      <c r="Q107" s="49" t="str">
        <f t="shared" si="30"/>
        <v/>
      </c>
      <c r="R107" s="49" t="str">
        <f t="shared" si="30"/>
        <v/>
      </c>
      <c r="S107" s="49" t="str">
        <f t="shared" si="30"/>
        <v/>
      </c>
      <c r="T107" s="49" t="str">
        <f t="shared" si="30"/>
        <v/>
      </c>
      <c r="U107" s="49" t="str">
        <f t="shared" si="30"/>
        <v/>
      </c>
      <c r="V107" s="49" t="str">
        <f t="shared" si="30"/>
        <v/>
      </c>
      <c r="W107" s="49" t="str">
        <f t="shared" si="30"/>
        <v/>
      </c>
      <c r="X107" s="49" t="str">
        <f t="shared" si="30"/>
        <v/>
      </c>
      <c r="Y107" s="49" t="str">
        <f t="shared" si="30"/>
        <v/>
      </c>
      <c r="Z107" s="49" t="str">
        <f t="shared" si="30"/>
        <v/>
      </c>
      <c r="AA107" s="49" t="str">
        <f t="shared" si="30"/>
        <v/>
      </c>
      <c r="AB107" s="49" t="str">
        <f t="shared" si="30"/>
        <v/>
      </c>
      <c r="AC107" s="49" t="str">
        <f t="shared" si="30"/>
        <v/>
      </c>
      <c r="AD107" s="49" t="str">
        <f t="shared" si="30"/>
        <v/>
      </c>
      <c r="AE107" s="49" t="str">
        <f t="shared" si="30"/>
        <v/>
      </c>
      <c r="AF107" s="49" t="str">
        <f t="shared" si="30"/>
        <v/>
      </c>
      <c r="AG107" s="49" t="str">
        <f t="shared" si="30"/>
        <v/>
      </c>
      <c r="AH107" s="44">
        <f>SUM(AH105:AH106)</f>
        <v>0</v>
      </c>
      <c r="AI107" s="45">
        <f>SUM(AI105:AI106)</f>
        <v>0</v>
      </c>
      <c r="AJ107" s="45">
        <f>SUM(AJ105:AJ106)</f>
        <v>0</v>
      </c>
      <c r="AK107" s="45">
        <f>SUM(AK105:AK106)</f>
        <v>0</v>
      </c>
      <c r="AL107" s="45">
        <f>SUM(AL105:AL106)</f>
        <v>0</v>
      </c>
      <c r="AM107" s="50">
        <v>0</v>
      </c>
      <c r="AN107" s="51">
        <f>IF(A106="","",IF(A106&gt;NomMois,0,IF(A106&lt;$A$3,2.08,(NETWORKDAYS(A106,$A$2)/21.66667)*2.08)))</f>
        <v>2.08</v>
      </c>
      <c r="AO107" s="51">
        <f>IF( AN107="",0,+AN107+Novembre!AO107)</f>
        <v>4.3519999704615433</v>
      </c>
      <c r="AP107" s="50"/>
      <c r="AQ107" s="45">
        <f>+AM107-AI107</f>
        <v>0</v>
      </c>
      <c r="AR107" s="45">
        <f>+AP107-AJ107</f>
        <v>0</v>
      </c>
      <c r="AS107" s="102">
        <f t="shared" si="27"/>
        <v>4.3519999704615433</v>
      </c>
    </row>
    <row r="108" spans="1:45" s="79" customFormat="1" ht="6.75" customHeight="1" x14ac:dyDescent="0.25">
      <c r="A108" s="64"/>
      <c r="B108" s="42"/>
      <c r="C108" s="64"/>
      <c r="D108" s="64"/>
      <c r="E108" s="64"/>
      <c r="F108" s="64"/>
      <c r="G108" s="64"/>
      <c r="H108" s="64"/>
      <c r="I108" s="64"/>
      <c r="J108" s="64"/>
      <c r="K108" s="64"/>
      <c r="L108" s="64"/>
      <c r="M108" s="64"/>
      <c r="N108" s="64"/>
      <c r="O108" s="64"/>
      <c r="P108" s="64"/>
      <c r="Q108" s="64"/>
      <c r="R108" s="64"/>
      <c r="S108" s="64"/>
      <c r="T108" s="64"/>
      <c r="U108" s="64"/>
      <c r="V108" s="64"/>
      <c r="W108" s="64"/>
      <c r="X108" s="64"/>
      <c r="Y108" s="64"/>
      <c r="Z108" s="64"/>
      <c r="AA108" s="64"/>
      <c r="AB108" s="64"/>
      <c r="AC108" s="64"/>
      <c r="AD108" s="64"/>
      <c r="AE108" s="64"/>
      <c r="AF108" s="64"/>
      <c r="AG108" s="64"/>
      <c r="AH108" s="65"/>
      <c r="AI108" s="65"/>
      <c r="AJ108" s="65"/>
      <c r="AK108" s="65"/>
      <c r="AL108" s="65"/>
      <c r="AM108" s="64"/>
      <c r="AN108" s="65"/>
      <c r="AO108" s="65"/>
      <c r="AP108" s="64"/>
      <c r="AQ108" s="69"/>
      <c r="AR108" s="69"/>
      <c r="AS108" s="65"/>
    </row>
    <row r="109" spans="1:45" s="79" customFormat="1" ht="12.95" customHeight="1" x14ac:dyDescent="0.25">
      <c r="A109" s="41"/>
      <c r="B109" s="42" t="s">
        <v>15</v>
      </c>
      <c r="C109" s="67"/>
      <c r="D109" s="43"/>
      <c r="E109" s="43"/>
      <c r="F109" s="43"/>
      <c r="G109" s="43"/>
      <c r="H109" s="43"/>
      <c r="I109" s="43"/>
      <c r="J109" s="43"/>
      <c r="K109" s="43"/>
      <c r="L109" s="43"/>
      <c r="M109" s="43"/>
      <c r="N109" s="43"/>
      <c r="O109" s="43"/>
      <c r="P109" s="43"/>
      <c r="Q109" s="43"/>
      <c r="R109" s="43"/>
      <c r="S109" s="43"/>
      <c r="T109" s="43"/>
      <c r="U109" s="43"/>
      <c r="V109" s="43"/>
      <c r="W109" s="43"/>
      <c r="X109" s="43"/>
      <c r="Y109" s="43"/>
      <c r="Z109" s="43"/>
      <c r="AA109" s="43"/>
      <c r="AB109" s="43"/>
      <c r="AC109" s="43"/>
      <c r="AD109" s="43"/>
      <c r="AE109" s="43"/>
      <c r="AF109" s="43"/>
      <c r="AG109" s="43"/>
      <c r="AH109" s="44">
        <f>COUNTA(Décembre!$C109:$AG109)</f>
        <v>0</v>
      </c>
      <c r="AI109" s="45">
        <f>(COUNTIFS(Décembre!$C109:$AG109,("cp")))/2+Novembre!AI109</f>
        <v>0</v>
      </c>
      <c r="AJ109" s="45">
        <f>COUNTIFS(Décembre!$C109:$AG109,"RTT")/2+Novembre!AJ109</f>
        <v>0</v>
      </c>
      <c r="AK109" s="45">
        <f>COUNTIFS(Décembre!$C109:$AG109,"m")/2+Novembre!AK109</f>
        <v>0</v>
      </c>
      <c r="AL109" s="45">
        <f>COUNTIFS(Décembre!$C109:$AG109,"a")/2+Novembre!AL109</f>
        <v>0</v>
      </c>
      <c r="AM109" s="46"/>
      <c r="AN109" s="47"/>
      <c r="AO109" s="47"/>
      <c r="AP109" s="46"/>
      <c r="AQ109" s="47"/>
      <c r="AR109" s="47"/>
      <c r="AS109" s="47"/>
    </row>
    <row r="110" spans="1:45" s="79" customFormat="1" ht="12.95" customHeight="1" x14ac:dyDescent="0.25">
      <c r="A110" s="48">
        <v>42991</v>
      </c>
      <c r="B110" s="42" t="s">
        <v>16</v>
      </c>
      <c r="C110" s="67"/>
      <c r="D110" s="43"/>
      <c r="E110" s="43"/>
      <c r="F110" s="43"/>
      <c r="G110" s="43"/>
      <c r="H110" s="43"/>
      <c r="I110" s="43"/>
      <c r="J110" s="43"/>
      <c r="K110" s="43"/>
      <c r="L110" s="43"/>
      <c r="M110" s="43"/>
      <c r="N110" s="43"/>
      <c r="O110" s="43"/>
      <c r="P110" s="43"/>
      <c r="Q110" s="43"/>
      <c r="R110" s="43"/>
      <c r="S110" s="43"/>
      <c r="T110" s="43"/>
      <c r="U110" s="43"/>
      <c r="V110" s="43"/>
      <c r="W110" s="43"/>
      <c r="X110" s="43"/>
      <c r="Y110" s="43"/>
      <c r="Z110" s="43"/>
      <c r="AA110" s="43"/>
      <c r="AB110" s="43"/>
      <c r="AC110" s="43"/>
      <c r="AD110" s="43"/>
      <c r="AE110" s="43"/>
      <c r="AF110" s="43"/>
      <c r="AG110" s="43"/>
      <c r="AH110" s="44">
        <f>COUNTA(Décembre!$C110:$AG110)</f>
        <v>0</v>
      </c>
      <c r="AI110" s="45">
        <f>(COUNTIFS(Décembre!$C110:$AG110,("cp")))/2+Novembre!AI110</f>
        <v>0</v>
      </c>
      <c r="AJ110" s="45">
        <f>COUNTIFS(Décembre!$C110:$AG110,"RTT")/2+Novembre!AJ110</f>
        <v>0</v>
      </c>
      <c r="AK110" s="45">
        <f>COUNTIFS(Décembre!$C110:$AG110,"m")/2+Novembre!AK110</f>
        <v>0</v>
      </c>
      <c r="AL110" s="45">
        <f>COUNTIFS(Décembre!$C110:$AG110,"a")/2+Novembre!AL110</f>
        <v>0</v>
      </c>
      <c r="AM110" s="46"/>
      <c r="AN110" s="47"/>
      <c r="AO110" s="47"/>
      <c r="AP110" s="46"/>
      <c r="AQ110" s="47"/>
      <c r="AR110" s="47"/>
      <c r="AS110" s="101"/>
    </row>
    <row r="111" spans="1:45" s="79" customFormat="1" ht="12.95" customHeight="1" x14ac:dyDescent="0.25">
      <c r="A111" s="41"/>
      <c r="B111" s="42"/>
      <c r="C111" s="49" t="str">
        <f t="shared" ref="C111:AG111" si="31">IF(C109&gt;0,C109,IF(C110&gt;0,C110,""))</f>
        <v/>
      </c>
      <c r="D111" s="49" t="str">
        <f t="shared" si="31"/>
        <v/>
      </c>
      <c r="E111" s="49" t="str">
        <f t="shared" si="31"/>
        <v/>
      </c>
      <c r="F111" s="49" t="str">
        <f t="shared" si="31"/>
        <v/>
      </c>
      <c r="G111" s="49" t="str">
        <f t="shared" si="31"/>
        <v/>
      </c>
      <c r="H111" s="49" t="str">
        <f t="shared" si="31"/>
        <v/>
      </c>
      <c r="I111" s="49" t="str">
        <f t="shared" si="31"/>
        <v/>
      </c>
      <c r="J111" s="49" t="str">
        <f t="shared" si="31"/>
        <v/>
      </c>
      <c r="K111" s="49" t="str">
        <f t="shared" si="31"/>
        <v/>
      </c>
      <c r="L111" s="49" t="str">
        <f t="shared" si="31"/>
        <v/>
      </c>
      <c r="M111" s="49" t="str">
        <f t="shared" si="31"/>
        <v/>
      </c>
      <c r="N111" s="49" t="str">
        <f t="shared" si="31"/>
        <v/>
      </c>
      <c r="O111" s="49" t="str">
        <f t="shared" si="31"/>
        <v/>
      </c>
      <c r="P111" s="49" t="str">
        <f t="shared" si="31"/>
        <v/>
      </c>
      <c r="Q111" s="49" t="str">
        <f t="shared" si="31"/>
        <v/>
      </c>
      <c r="R111" s="49" t="str">
        <f t="shared" si="31"/>
        <v/>
      </c>
      <c r="S111" s="49" t="str">
        <f t="shared" si="31"/>
        <v/>
      </c>
      <c r="T111" s="49" t="str">
        <f t="shared" si="31"/>
        <v/>
      </c>
      <c r="U111" s="49" t="str">
        <f t="shared" si="31"/>
        <v/>
      </c>
      <c r="V111" s="49" t="str">
        <f t="shared" si="31"/>
        <v/>
      </c>
      <c r="W111" s="49" t="str">
        <f t="shared" si="31"/>
        <v/>
      </c>
      <c r="X111" s="49" t="str">
        <f t="shared" si="31"/>
        <v/>
      </c>
      <c r="Y111" s="49" t="str">
        <f t="shared" si="31"/>
        <v/>
      </c>
      <c r="Z111" s="49" t="str">
        <f t="shared" si="31"/>
        <v/>
      </c>
      <c r="AA111" s="49" t="str">
        <f t="shared" si="31"/>
        <v/>
      </c>
      <c r="AB111" s="49" t="str">
        <f t="shared" si="31"/>
        <v/>
      </c>
      <c r="AC111" s="49" t="str">
        <f t="shared" si="31"/>
        <v/>
      </c>
      <c r="AD111" s="49" t="str">
        <f t="shared" si="31"/>
        <v/>
      </c>
      <c r="AE111" s="49" t="str">
        <f t="shared" si="31"/>
        <v/>
      </c>
      <c r="AF111" s="49" t="str">
        <f t="shared" si="31"/>
        <v/>
      </c>
      <c r="AG111" s="49" t="str">
        <f t="shared" si="31"/>
        <v/>
      </c>
      <c r="AH111" s="44">
        <f>SUM(AH109:AH110)</f>
        <v>0</v>
      </c>
      <c r="AI111" s="45">
        <f>SUM(AI109:AI110)</f>
        <v>0</v>
      </c>
      <c r="AJ111" s="45">
        <f>SUM(AJ109:AJ110)</f>
        <v>0</v>
      </c>
      <c r="AK111" s="45">
        <f>SUM(AK109:AK110)</f>
        <v>0</v>
      </c>
      <c r="AL111" s="45">
        <f>SUM(AL109:AL110)</f>
        <v>0</v>
      </c>
      <c r="AM111" s="50">
        <v>0</v>
      </c>
      <c r="AN111" s="51">
        <f>IF(A110="","",IF(A110&gt;NomMois,0,IF(A110&lt;$A$3,2.08,(NETWORKDAYS(A110,$A$2)/21.66667)*2.08)))</f>
        <v>2.08</v>
      </c>
      <c r="AO111" s="51">
        <f>IF( AN111="",0,+AN111+Novembre!AO111)</f>
        <v>7.4879998080000298</v>
      </c>
      <c r="AP111" s="50"/>
      <c r="AQ111" s="45">
        <f>+AM111-AI111</f>
        <v>0</v>
      </c>
      <c r="AR111" s="45">
        <f>+AP111-AJ111</f>
        <v>0</v>
      </c>
      <c r="AS111" s="102">
        <f t="shared" si="27"/>
        <v>7.4879998080000298</v>
      </c>
    </row>
    <row r="112" spans="1:45" s="79" customFormat="1" ht="6.75" customHeight="1" x14ac:dyDescent="0.25">
      <c r="A112" s="64"/>
      <c r="B112" s="42"/>
      <c r="C112" s="64"/>
      <c r="D112" s="64"/>
      <c r="E112" s="64"/>
      <c r="F112" s="64"/>
      <c r="G112" s="64"/>
      <c r="H112" s="64"/>
      <c r="I112" s="64"/>
      <c r="J112" s="64"/>
      <c r="K112" s="64"/>
      <c r="L112" s="64"/>
      <c r="M112" s="64"/>
      <c r="N112" s="64"/>
      <c r="O112" s="64"/>
      <c r="P112" s="64"/>
      <c r="Q112" s="64"/>
      <c r="R112" s="64"/>
      <c r="S112" s="64"/>
      <c r="T112" s="64"/>
      <c r="U112" s="64"/>
      <c r="V112" s="64"/>
      <c r="W112" s="64"/>
      <c r="X112" s="64"/>
      <c r="Y112" s="64"/>
      <c r="Z112" s="64"/>
      <c r="AA112" s="64"/>
      <c r="AB112" s="64"/>
      <c r="AC112" s="64"/>
      <c r="AD112" s="64"/>
      <c r="AE112" s="64"/>
      <c r="AF112" s="64"/>
      <c r="AG112" s="64"/>
      <c r="AH112" s="65"/>
      <c r="AI112" s="65"/>
      <c r="AJ112" s="65"/>
      <c r="AK112" s="65"/>
      <c r="AL112" s="65"/>
      <c r="AM112" s="64"/>
      <c r="AN112" s="65"/>
      <c r="AO112" s="65"/>
      <c r="AP112" s="64"/>
      <c r="AQ112" s="69"/>
      <c r="AR112" s="69"/>
      <c r="AS112" s="65"/>
    </row>
    <row r="113" spans="1:45" s="79" customFormat="1" ht="12.95" customHeight="1" x14ac:dyDescent="0.25">
      <c r="A113" s="41"/>
      <c r="B113" s="42" t="s">
        <v>15</v>
      </c>
      <c r="C113" s="67"/>
      <c r="D113" s="43"/>
      <c r="E113" s="43"/>
      <c r="F113" s="43"/>
      <c r="G113" s="43"/>
      <c r="H113" s="43"/>
      <c r="I113" s="43"/>
      <c r="J113" s="43"/>
      <c r="K113" s="43"/>
      <c r="L113" s="43"/>
      <c r="M113" s="43"/>
      <c r="N113" s="43"/>
      <c r="O113" s="43"/>
      <c r="P113" s="43"/>
      <c r="Q113" s="43"/>
      <c r="R113" s="43"/>
      <c r="S113" s="43"/>
      <c r="T113" s="43"/>
      <c r="U113" s="43"/>
      <c r="V113" s="43"/>
      <c r="W113" s="43"/>
      <c r="X113" s="43"/>
      <c r="Y113" s="43"/>
      <c r="Z113" s="43"/>
      <c r="AA113" s="43"/>
      <c r="AB113" s="43"/>
      <c r="AC113" s="43"/>
      <c r="AD113" s="43"/>
      <c r="AE113" s="43"/>
      <c r="AF113" s="43"/>
      <c r="AG113" s="43"/>
      <c r="AH113" s="44">
        <f>COUNTA(Décembre!$C113:$AG113)</f>
        <v>0</v>
      </c>
      <c r="AI113" s="45">
        <f>(COUNTIFS(Décembre!$C113:$AG113,("cp")))/2+Novembre!AI113</f>
        <v>0</v>
      </c>
      <c r="AJ113" s="45">
        <f>COUNTIFS(Décembre!$C113:$AG113,"RTT")/2+Novembre!AJ113</f>
        <v>0</v>
      </c>
      <c r="AK113" s="45">
        <f>COUNTIFS(Décembre!$C113:$AG113,"m")/2+Novembre!AK113</f>
        <v>0</v>
      </c>
      <c r="AL113" s="45">
        <f>COUNTIFS(Décembre!$C113:$AG113,"a")/2+Novembre!AL113</f>
        <v>0</v>
      </c>
      <c r="AM113" s="46"/>
      <c r="AN113" s="47"/>
      <c r="AO113" s="47"/>
      <c r="AP113" s="46"/>
      <c r="AQ113" s="47"/>
      <c r="AR113" s="47"/>
      <c r="AS113" s="47"/>
    </row>
    <row r="114" spans="1:45" s="79" customFormat="1" ht="12.95" customHeight="1" x14ac:dyDescent="0.25">
      <c r="A114" s="48">
        <v>43052</v>
      </c>
      <c r="B114" s="42" t="s">
        <v>16</v>
      </c>
      <c r="C114" s="67"/>
      <c r="D114" s="43"/>
      <c r="E114" s="43"/>
      <c r="F114" s="43"/>
      <c r="G114" s="43"/>
      <c r="H114" s="43"/>
      <c r="I114" s="43"/>
      <c r="J114" s="43"/>
      <c r="K114" s="43"/>
      <c r="L114" s="43"/>
      <c r="M114" s="43"/>
      <c r="N114" s="43"/>
      <c r="O114" s="43"/>
      <c r="P114" s="43"/>
      <c r="Q114" s="43"/>
      <c r="R114" s="43"/>
      <c r="S114" s="43"/>
      <c r="T114" s="43"/>
      <c r="U114" s="43"/>
      <c r="V114" s="43"/>
      <c r="W114" s="43"/>
      <c r="X114" s="43"/>
      <c r="Y114" s="43"/>
      <c r="Z114" s="43"/>
      <c r="AA114" s="43"/>
      <c r="AB114" s="43"/>
      <c r="AC114" s="43"/>
      <c r="AD114" s="43"/>
      <c r="AE114" s="43"/>
      <c r="AF114" s="43"/>
      <c r="AG114" s="43"/>
      <c r="AH114" s="44">
        <f>COUNTA(Décembre!$C114:$AG114)</f>
        <v>0</v>
      </c>
      <c r="AI114" s="45">
        <f>(COUNTIFS(Décembre!$C114:$AG114,("cp")))/2+Novembre!AI114</f>
        <v>0</v>
      </c>
      <c r="AJ114" s="45">
        <f>COUNTIFS(Décembre!$C114:$AG114,"RTT")/2+Novembre!AJ114</f>
        <v>0</v>
      </c>
      <c r="AK114" s="45">
        <f>COUNTIFS(Décembre!$C114:$AG114,"m")/2+Novembre!AK114</f>
        <v>0</v>
      </c>
      <c r="AL114" s="45">
        <f>COUNTIFS(Décembre!$C114:$AG114,"a")/2+Novembre!AL114</f>
        <v>0</v>
      </c>
      <c r="AM114" s="46"/>
      <c r="AN114" s="47"/>
      <c r="AO114" s="47"/>
      <c r="AP114" s="46"/>
      <c r="AQ114" s="47"/>
      <c r="AR114" s="47"/>
      <c r="AS114" s="101"/>
    </row>
    <row r="115" spans="1:45" s="79" customFormat="1" ht="12.95" customHeight="1" x14ac:dyDescent="0.25">
      <c r="A115" s="41"/>
      <c r="B115" s="42"/>
      <c r="C115" s="49" t="str">
        <f t="shared" ref="C115:AG115" si="32">IF(C113&gt;0,C113,IF(C114&gt;0,C114,""))</f>
        <v/>
      </c>
      <c r="D115" s="49" t="str">
        <f t="shared" si="32"/>
        <v/>
      </c>
      <c r="E115" s="49" t="str">
        <f t="shared" si="32"/>
        <v/>
      </c>
      <c r="F115" s="49" t="str">
        <f t="shared" si="32"/>
        <v/>
      </c>
      <c r="G115" s="49" t="str">
        <f t="shared" si="32"/>
        <v/>
      </c>
      <c r="H115" s="49" t="str">
        <f t="shared" si="32"/>
        <v/>
      </c>
      <c r="I115" s="49" t="str">
        <f t="shared" si="32"/>
        <v/>
      </c>
      <c r="J115" s="49" t="str">
        <f t="shared" si="32"/>
        <v/>
      </c>
      <c r="K115" s="49" t="str">
        <f t="shared" si="32"/>
        <v/>
      </c>
      <c r="L115" s="49" t="str">
        <f t="shared" si="32"/>
        <v/>
      </c>
      <c r="M115" s="49" t="str">
        <f t="shared" si="32"/>
        <v/>
      </c>
      <c r="N115" s="49" t="str">
        <f t="shared" si="32"/>
        <v/>
      </c>
      <c r="O115" s="49" t="str">
        <f t="shared" si="32"/>
        <v/>
      </c>
      <c r="P115" s="49" t="str">
        <f t="shared" si="32"/>
        <v/>
      </c>
      <c r="Q115" s="49" t="str">
        <f t="shared" si="32"/>
        <v/>
      </c>
      <c r="R115" s="49" t="str">
        <f t="shared" si="32"/>
        <v/>
      </c>
      <c r="S115" s="49" t="str">
        <f t="shared" si="32"/>
        <v/>
      </c>
      <c r="T115" s="49" t="str">
        <f t="shared" si="32"/>
        <v/>
      </c>
      <c r="U115" s="49" t="str">
        <f t="shared" si="32"/>
        <v/>
      </c>
      <c r="V115" s="49" t="str">
        <f t="shared" si="32"/>
        <v/>
      </c>
      <c r="W115" s="49" t="str">
        <f t="shared" si="32"/>
        <v/>
      </c>
      <c r="X115" s="49" t="str">
        <f t="shared" si="32"/>
        <v/>
      </c>
      <c r="Y115" s="49" t="str">
        <f t="shared" si="32"/>
        <v/>
      </c>
      <c r="Z115" s="49" t="str">
        <f t="shared" si="32"/>
        <v/>
      </c>
      <c r="AA115" s="49" t="str">
        <f t="shared" si="32"/>
        <v/>
      </c>
      <c r="AB115" s="49" t="str">
        <f t="shared" si="32"/>
        <v/>
      </c>
      <c r="AC115" s="49" t="str">
        <f t="shared" si="32"/>
        <v/>
      </c>
      <c r="AD115" s="49" t="str">
        <f t="shared" si="32"/>
        <v/>
      </c>
      <c r="AE115" s="49" t="str">
        <f t="shared" si="32"/>
        <v/>
      </c>
      <c r="AF115" s="49" t="str">
        <f t="shared" si="32"/>
        <v/>
      </c>
      <c r="AG115" s="49" t="str">
        <f t="shared" si="32"/>
        <v/>
      </c>
      <c r="AH115" s="44">
        <f>SUM(AH113:AH114)</f>
        <v>0</v>
      </c>
      <c r="AI115" s="45">
        <f>SUM(AI113:AI114)</f>
        <v>0</v>
      </c>
      <c r="AJ115" s="45">
        <f>SUM(AJ113:AJ114)</f>
        <v>0</v>
      </c>
      <c r="AK115" s="45">
        <f>SUM(AK113:AK114)</f>
        <v>0</v>
      </c>
      <c r="AL115" s="45">
        <f>SUM(AL113:AL114)</f>
        <v>0</v>
      </c>
      <c r="AM115" s="50">
        <v>0</v>
      </c>
      <c r="AN115" s="51">
        <f>IF(A114="","",IF(A114&gt;NomMois,0,IF(A114&lt;$A$3,2.08,(NETWORKDAYS(A114,$A$2)/21.66667)*2.08)))</f>
        <v>2.08</v>
      </c>
      <c r="AO115" s="51">
        <f>IF( AN115="",0,+AN115+Novembre!AO115)</f>
        <v>3.4239997932308013</v>
      </c>
      <c r="AP115" s="50"/>
      <c r="AQ115" s="45">
        <f>+AM115-AI115</f>
        <v>0</v>
      </c>
      <c r="AR115" s="45">
        <f>+AP115-AJ115</f>
        <v>0</v>
      </c>
      <c r="AS115" s="102">
        <f t="shared" si="27"/>
        <v>3.4239997932308013</v>
      </c>
    </row>
    <row r="116" spans="1:45" s="79" customFormat="1" ht="6.75" customHeight="1" x14ac:dyDescent="0.25">
      <c r="A116" s="64"/>
      <c r="B116" s="42"/>
      <c r="C116" s="64"/>
      <c r="D116" s="64"/>
      <c r="E116" s="64"/>
      <c r="F116" s="64"/>
      <c r="G116" s="64"/>
      <c r="H116" s="64"/>
      <c r="I116" s="64"/>
      <c r="J116" s="64"/>
      <c r="K116" s="64"/>
      <c r="L116" s="64"/>
      <c r="M116" s="64"/>
      <c r="N116" s="64"/>
      <c r="O116" s="64"/>
      <c r="P116" s="64"/>
      <c r="Q116" s="64"/>
      <c r="R116" s="64"/>
      <c r="S116" s="64"/>
      <c r="T116" s="64"/>
      <c r="U116" s="64"/>
      <c r="V116" s="64"/>
      <c r="W116" s="64"/>
      <c r="X116" s="64"/>
      <c r="Y116" s="64"/>
      <c r="Z116" s="64"/>
      <c r="AA116" s="64"/>
      <c r="AB116" s="64"/>
      <c r="AC116" s="64"/>
      <c r="AD116" s="64"/>
      <c r="AE116" s="64"/>
      <c r="AF116" s="64"/>
      <c r="AG116" s="64"/>
      <c r="AH116" s="65"/>
      <c r="AI116" s="65"/>
      <c r="AJ116" s="65"/>
      <c r="AK116" s="65"/>
      <c r="AL116" s="65"/>
      <c r="AM116" s="64"/>
      <c r="AN116" s="65"/>
      <c r="AO116" s="65"/>
      <c r="AP116" s="64"/>
      <c r="AQ116" s="69"/>
      <c r="AR116" s="69"/>
      <c r="AS116" s="65"/>
    </row>
    <row r="117" spans="1:45" s="79" customFormat="1" ht="12.95" customHeight="1" x14ac:dyDescent="0.25">
      <c r="A117" s="41"/>
      <c r="B117" s="42" t="s">
        <v>15</v>
      </c>
      <c r="C117" s="67"/>
      <c r="D117" s="43"/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  <c r="S117" s="43"/>
      <c r="T117" s="43"/>
      <c r="U117" s="43"/>
      <c r="V117" s="43"/>
      <c r="W117" s="43"/>
      <c r="X117" s="43"/>
      <c r="Y117" s="43"/>
      <c r="Z117" s="43"/>
      <c r="AA117" s="43"/>
      <c r="AB117" s="43"/>
      <c r="AC117" s="43"/>
      <c r="AD117" s="43"/>
      <c r="AE117" s="43"/>
      <c r="AF117" s="43"/>
      <c r="AG117" s="43"/>
      <c r="AH117" s="44">
        <f>COUNTA(Décembre!$C117:$AG117)</f>
        <v>0</v>
      </c>
      <c r="AI117" s="45">
        <f>(COUNTIFS(Décembre!$C117:$AG117,("cp")))/2+Novembre!AI117</f>
        <v>0</v>
      </c>
      <c r="AJ117" s="45">
        <f>COUNTIFS(Décembre!$C117:$AG117,"RTT")/2+Novembre!AJ117</f>
        <v>0</v>
      </c>
      <c r="AK117" s="45">
        <f>COUNTIFS(Décembre!$C117:$AG117,"m")/2+Novembre!AK117</f>
        <v>0</v>
      </c>
      <c r="AL117" s="45">
        <f>COUNTIFS(Décembre!$C117:$AG117,"a")/2+Novembre!AL117</f>
        <v>0</v>
      </c>
      <c r="AM117" s="46"/>
      <c r="AN117" s="47"/>
      <c r="AO117" s="47"/>
      <c r="AP117" s="46"/>
      <c r="AQ117" s="47"/>
      <c r="AR117" s="47"/>
      <c r="AS117" s="47"/>
    </row>
    <row r="118" spans="1:45" s="79" customFormat="1" ht="12.95" customHeight="1" x14ac:dyDescent="0.25">
      <c r="A118" s="48"/>
      <c r="B118" s="42" t="s">
        <v>16</v>
      </c>
      <c r="C118" s="67"/>
      <c r="D118" s="43"/>
      <c r="E118" s="43"/>
      <c r="F118" s="43"/>
      <c r="G118" s="43"/>
      <c r="H118" s="43"/>
      <c r="I118" s="43"/>
      <c r="J118" s="43"/>
      <c r="K118" s="43"/>
      <c r="L118" s="43"/>
      <c r="M118" s="43"/>
      <c r="N118" s="43"/>
      <c r="O118" s="43"/>
      <c r="P118" s="43"/>
      <c r="Q118" s="43"/>
      <c r="R118" s="43"/>
      <c r="S118" s="43"/>
      <c r="T118" s="43"/>
      <c r="U118" s="43"/>
      <c r="V118" s="43"/>
      <c r="W118" s="43"/>
      <c r="X118" s="43"/>
      <c r="Y118" s="43"/>
      <c r="Z118" s="43"/>
      <c r="AA118" s="43"/>
      <c r="AB118" s="43"/>
      <c r="AC118" s="43"/>
      <c r="AD118" s="43"/>
      <c r="AE118" s="43"/>
      <c r="AF118" s="43"/>
      <c r="AG118" s="43"/>
      <c r="AH118" s="44">
        <f>COUNTA(Décembre!$C118:$AG118)</f>
        <v>0</v>
      </c>
      <c r="AI118" s="45">
        <f>(COUNTIFS(Décembre!$C118:$AG118,("cp")))/2+Novembre!AI118</f>
        <v>0</v>
      </c>
      <c r="AJ118" s="45">
        <f>COUNTIFS(Décembre!$C118:$AG118,"RTT")/2+Novembre!AJ118</f>
        <v>0</v>
      </c>
      <c r="AK118" s="45">
        <f>COUNTIFS(Décembre!$C118:$AG118,"m")/2+Novembre!AK118</f>
        <v>0</v>
      </c>
      <c r="AL118" s="45">
        <f>COUNTIFS(Décembre!$C118:$AG118,"a")/2+Novembre!AL118</f>
        <v>0</v>
      </c>
      <c r="AM118" s="46"/>
      <c r="AN118" s="47"/>
      <c r="AO118" s="47"/>
      <c r="AP118" s="46"/>
      <c r="AQ118" s="47"/>
      <c r="AR118" s="47"/>
      <c r="AS118" s="101"/>
    </row>
    <row r="119" spans="1:45" s="79" customFormat="1" ht="12.95" customHeight="1" x14ac:dyDescent="0.25">
      <c r="A119" s="41"/>
      <c r="B119" s="42"/>
      <c r="C119" s="49" t="str">
        <f t="shared" ref="C119:AG119" si="33">IF(C117&gt;0,C117,IF(C118&gt;0,C118,""))</f>
        <v/>
      </c>
      <c r="D119" s="49" t="str">
        <f t="shared" si="33"/>
        <v/>
      </c>
      <c r="E119" s="49" t="str">
        <f t="shared" si="33"/>
        <v/>
      </c>
      <c r="F119" s="49" t="str">
        <f t="shared" si="33"/>
        <v/>
      </c>
      <c r="G119" s="49" t="str">
        <f t="shared" si="33"/>
        <v/>
      </c>
      <c r="H119" s="49" t="str">
        <f t="shared" si="33"/>
        <v/>
      </c>
      <c r="I119" s="49" t="str">
        <f t="shared" si="33"/>
        <v/>
      </c>
      <c r="J119" s="49" t="str">
        <f t="shared" si="33"/>
        <v/>
      </c>
      <c r="K119" s="49" t="str">
        <f t="shared" si="33"/>
        <v/>
      </c>
      <c r="L119" s="49" t="str">
        <f t="shared" si="33"/>
        <v/>
      </c>
      <c r="M119" s="49" t="str">
        <f t="shared" si="33"/>
        <v/>
      </c>
      <c r="N119" s="49" t="str">
        <f t="shared" si="33"/>
        <v/>
      </c>
      <c r="O119" s="49" t="str">
        <f t="shared" si="33"/>
        <v/>
      </c>
      <c r="P119" s="49" t="str">
        <f t="shared" si="33"/>
        <v/>
      </c>
      <c r="Q119" s="49" t="str">
        <f t="shared" si="33"/>
        <v/>
      </c>
      <c r="R119" s="49" t="str">
        <f t="shared" si="33"/>
        <v/>
      </c>
      <c r="S119" s="49" t="str">
        <f t="shared" si="33"/>
        <v/>
      </c>
      <c r="T119" s="49" t="str">
        <f t="shared" si="33"/>
        <v/>
      </c>
      <c r="U119" s="49" t="str">
        <f t="shared" si="33"/>
        <v/>
      </c>
      <c r="V119" s="49" t="str">
        <f t="shared" si="33"/>
        <v/>
      </c>
      <c r="W119" s="49" t="str">
        <f t="shared" si="33"/>
        <v/>
      </c>
      <c r="X119" s="49" t="str">
        <f t="shared" si="33"/>
        <v/>
      </c>
      <c r="Y119" s="49" t="str">
        <f t="shared" si="33"/>
        <v/>
      </c>
      <c r="Z119" s="49" t="str">
        <f t="shared" si="33"/>
        <v/>
      </c>
      <c r="AA119" s="49" t="str">
        <f t="shared" si="33"/>
        <v/>
      </c>
      <c r="AB119" s="49" t="str">
        <f t="shared" si="33"/>
        <v/>
      </c>
      <c r="AC119" s="49" t="str">
        <f t="shared" si="33"/>
        <v/>
      </c>
      <c r="AD119" s="49" t="str">
        <f t="shared" si="33"/>
        <v/>
      </c>
      <c r="AE119" s="49" t="str">
        <f t="shared" si="33"/>
        <v/>
      </c>
      <c r="AF119" s="49" t="str">
        <f t="shared" si="33"/>
        <v/>
      </c>
      <c r="AG119" s="49" t="str">
        <f t="shared" si="33"/>
        <v/>
      </c>
      <c r="AH119" s="44">
        <f>SUM(AH117:AH118)</f>
        <v>0</v>
      </c>
      <c r="AI119" s="45">
        <f>SUM(AI117:AI118)</f>
        <v>0</v>
      </c>
      <c r="AJ119" s="45">
        <f>SUM(AJ117:AJ118)</f>
        <v>0</v>
      </c>
      <c r="AK119" s="45">
        <f>SUM(AK117:AK118)</f>
        <v>0</v>
      </c>
      <c r="AL119" s="45">
        <f>SUM(AL117:AL118)</f>
        <v>0</v>
      </c>
      <c r="AM119" s="50">
        <v>0</v>
      </c>
      <c r="AN119" s="51" t="str">
        <f>IF(A118="","",IF(A118&gt;NomMois,0,IF(A118&lt;$A$3,2.08,(NETWORKDAYS(A118,$A$2)/21.66667)*2.08)))</f>
        <v/>
      </c>
      <c r="AO119" s="51">
        <f>IF( AN119="",0,+AN119+Novembre!AO119)</f>
        <v>0</v>
      </c>
      <c r="AP119" s="50"/>
      <c r="AQ119" s="45">
        <f>+AM119-AI119</f>
        <v>0</v>
      </c>
      <c r="AR119" s="45">
        <f>+AP119-AJ119</f>
        <v>0</v>
      </c>
      <c r="AS119" s="102">
        <f t="shared" si="27"/>
        <v>0</v>
      </c>
    </row>
    <row r="120" spans="1:45" s="79" customFormat="1" ht="6.75" customHeight="1" x14ac:dyDescent="0.25">
      <c r="A120" s="64"/>
      <c r="B120" s="42"/>
      <c r="C120" s="64"/>
      <c r="D120" s="64"/>
      <c r="E120" s="64"/>
      <c r="F120" s="64"/>
      <c r="G120" s="64"/>
      <c r="H120" s="64"/>
      <c r="I120" s="64"/>
      <c r="J120" s="64"/>
      <c r="K120" s="64"/>
      <c r="L120" s="64"/>
      <c r="M120" s="64"/>
      <c r="N120" s="64"/>
      <c r="O120" s="64"/>
      <c r="P120" s="64"/>
      <c r="Q120" s="64"/>
      <c r="R120" s="64"/>
      <c r="S120" s="64"/>
      <c r="T120" s="64"/>
      <c r="U120" s="64"/>
      <c r="V120" s="64"/>
      <c r="W120" s="64"/>
      <c r="X120" s="64"/>
      <c r="Y120" s="64"/>
      <c r="Z120" s="64"/>
      <c r="AA120" s="64"/>
      <c r="AB120" s="64"/>
      <c r="AC120" s="64"/>
      <c r="AD120" s="64"/>
      <c r="AE120" s="64"/>
      <c r="AF120" s="64"/>
      <c r="AG120" s="64"/>
      <c r="AH120" s="65"/>
      <c r="AI120" s="65"/>
      <c r="AJ120" s="65"/>
      <c r="AK120" s="65"/>
      <c r="AL120" s="65"/>
      <c r="AM120" s="64"/>
      <c r="AN120" s="65"/>
      <c r="AO120" s="65"/>
      <c r="AP120" s="64"/>
      <c r="AQ120" s="69"/>
      <c r="AR120" s="69"/>
      <c r="AS120" s="65"/>
    </row>
    <row r="121" spans="1:45" s="79" customFormat="1" ht="12.95" customHeight="1" x14ac:dyDescent="0.25">
      <c r="A121" s="41"/>
      <c r="B121" s="42" t="s">
        <v>15</v>
      </c>
      <c r="C121" s="67"/>
      <c r="D121" s="43"/>
      <c r="E121" s="43"/>
      <c r="F121" s="43"/>
      <c r="G121" s="43"/>
      <c r="H121" s="43"/>
      <c r="I121" s="43"/>
      <c r="J121" s="43"/>
      <c r="K121" s="43"/>
      <c r="L121" s="43"/>
      <c r="M121" s="43"/>
      <c r="N121" s="43"/>
      <c r="O121" s="43"/>
      <c r="P121" s="43"/>
      <c r="Q121" s="43"/>
      <c r="R121" s="43"/>
      <c r="S121" s="43"/>
      <c r="T121" s="43"/>
      <c r="U121" s="43"/>
      <c r="V121" s="43"/>
      <c r="W121" s="43"/>
      <c r="X121" s="43"/>
      <c r="Y121" s="43"/>
      <c r="Z121" s="43"/>
      <c r="AA121" s="43"/>
      <c r="AB121" s="43"/>
      <c r="AC121" s="43"/>
      <c r="AD121" s="43"/>
      <c r="AE121" s="43"/>
      <c r="AF121" s="43"/>
      <c r="AG121" s="43"/>
      <c r="AH121" s="44">
        <f>COUNTA(Décembre!$C121:$AG121)</f>
        <v>0</v>
      </c>
      <c r="AI121" s="45">
        <f>(COUNTIFS(Décembre!$C121:$AG121,("cp")))/2+Novembre!AI121</f>
        <v>0</v>
      </c>
      <c r="AJ121" s="45">
        <f>COUNTIFS(Décembre!$C121:$AG121,"RTT")/2+Novembre!AJ121</f>
        <v>0</v>
      </c>
      <c r="AK121" s="45">
        <f>COUNTIFS(Décembre!$C121:$AG121,"m")/2+Novembre!AK121</f>
        <v>0</v>
      </c>
      <c r="AL121" s="45">
        <f>COUNTIFS(Décembre!$C121:$AG121,"a")/2+Novembre!AL121</f>
        <v>0</v>
      </c>
      <c r="AM121" s="46"/>
      <c r="AN121" s="47"/>
      <c r="AO121" s="47"/>
      <c r="AP121" s="46"/>
      <c r="AQ121" s="47"/>
      <c r="AR121" s="47"/>
      <c r="AS121" s="47"/>
    </row>
    <row r="122" spans="1:45" s="79" customFormat="1" ht="12.95" customHeight="1" x14ac:dyDescent="0.25">
      <c r="A122" s="48"/>
      <c r="B122" s="42" t="s">
        <v>16</v>
      </c>
      <c r="C122" s="67"/>
      <c r="D122" s="43"/>
      <c r="E122" s="43"/>
      <c r="F122" s="43"/>
      <c r="G122" s="43"/>
      <c r="H122" s="43"/>
      <c r="I122" s="43"/>
      <c r="J122" s="43"/>
      <c r="K122" s="43"/>
      <c r="L122" s="43"/>
      <c r="M122" s="43"/>
      <c r="N122" s="43"/>
      <c r="O122" s="43"/>
      <c r="P122" s="43"/>
      <c r="Q122" s="43"/>
      <c r="R122" s="43"/>
      <c r="S122" s="43"/>
      <c r="T122" s="43"/>
      <c r="U122" s="43"/>
      <c r="V122" s="43"/>
      <c r="W122" s="43"/>
      <c r="X122" s="43"/>
      <c r="Y122" s="43"/>
      <c r="Z122" s="43"/>
      <c r="AA122" s="43"/>
      <c r="AB122" s="43"/>
      <c r="AC122" s="43"/>
      <c r="AD122" s="43"/>
      <c r="AE122" s="43"/>
      <c r="AF122" s="43"/>
      <c r="AG122" s="43"/>
      <c r="AH122" s="44">
        <f>COUNTA(Décembre!$C122:$AG122)</f>
        <v>0</v>
      </c>
      <c r="AI122" s="45">
        <f>(COUNTIFS(Décembre!$C122:$AG122,("cp")))/2+Novembre!AI122</f>
        <v>0</v>
      </c>
      <c r="AJ122" s="45">
        <f>COUNTIFS(Décembre!$C122:$AG122,"RTT")/2+Novembre!AJ122</f>
        <v>0</v>
      </c>
      <c r="AK122" s="45">
        <f>COUNTIFS(Décembre!$C122:$AG122,"m")/2+Novembre!AK122</f>
        <v>0</v>
      </c>
      <c r="AL122" s="45">
        <f>COUNTIFS(Décembre!$C122:$AG122,"a")/2+Novembre!AL122</f>
        <v>0</v>
      </c>
      <c r="AM122" s="46"/>
      <c r="AN122" s="47"/>
      <c r="AO122" s="47"/>
      <c r="AP122" s="46"/>
      <c r="AQ122" s="47"/>
      <c r="AR122" s="47"/>
      <c r="AS122" s="101"/>
    </row>
    <row r="123" spans="1:45" s="79" customFormat="1" ht="12.95" customHeight="1" x14ac:dyDescent="0.25">
      <c r="A123" s="41"/>
      <c r="B123" s="42"/>
      <c r="C123" s="49" t="str">
        <f t="shared" ref="C123:AG123" si="34">IF(C121&gt;0,C121,IF(C122&gt;0,C122,""))</f>
        <v/>
      </c>
      <c r="D123" s="49" t="str">
        <f t="shared" si="34"/>
        <v/>
      </c>
      <c r="E123" s="49" t="str">
        <f t="shared" si="34"/>
        <v/>
      </c>
      <c r="F123" s="49" t="str">
        <f t="shared" si="34"/>
        <v/>
      </c>
      <c r="G123" s="49" t="str">
        <f t="shared" si="34"/>
        <v/>
      </c>
      <c r="H123" s="49" t="str">
        <f t="shared" si="34"/>
        <v/>
      </c>
      <c r="I123" s="49" t="str">
        <f t="shared" si="34"/>
        <v/>
      </c>
      <c r="J123" s="49" t="str">
        <f t="shared" si="34"/>
        <v/>
      </c>
      <c r="K123" s="49" t="str">
        <f t="shared" si="34"/>
        <v/>
      </c>
      <c r="L123" s="49" t="str">
        <f t="shared" si="34"/>
        <v/>
      </c>
      <c r="M123" s="49" t="str">
        <f t="shared" si="34"/>
        <v/>
      </c>
      <c r="N123" s="49" t="str">
        <f t="shared" si="34"/>
        <v/>
      </c>
      <c r="O123" s="49" t="str">
        <f t="shared" si="34"/>
        <v/>
      </c>
      <c r="P123" s="49" t="str">
        <f t="shared" si="34"/>
        <v/>
      </c>
      <c r="Q123" s="49" t="str">
        <f t="shared" si="34"/>
        <v/>
      </c>
      <c r="R123" s="49" t="str">
        <f t="shared" si="34"/>
        <v/>
      </c>
      <c r="S123" s="49" t="str">
        <f t="shared" si="34"/>
        <v/>
      </c>
      <c r="T123" s="49" t="str">
        <f t="shared" si="34"/>
        <v/>
      </c>
      <c r="U123" s="49" t="str">
        <f t="shared" si="34"/>
        <v/>
      </c>
      <c r="V123" s="49" t="str">
        <f t="shared" si="34"/>
        <v/>
      </c>
      <c r="W123" s="49" t="str">
        <f t="shared" si="34"/>
        <v/>
      </c>
      <c r="X123" s="49" t="str">
        <f t="shared" si="34"/>
        <v/>
      </c>
      <c r="Y123" s="49" t="str">
        <f t="shared" si="34"/>
        <v/>
      </c>
      <c r="Z123" s="49" t="str">
        <f t="shared" si="34"/>
        <v/>
      </c>
      <c r="AA123" s="49" t="str">
        <f t="shared" si="34"/>
        <v/>
      </c>
      <c r="AB123" s="49" t="str">
        <f t="shared" si="34"/>
        <v/>
      </c>
      <c r="AC123" s="49" t="str">
        <f t="shared" si="34"/>
        <v/>
      </c>
      <c r="AD123" s="49" t="str">
        <f t="shared" si="34"/>
        <v/>
      </c>
      <c r="AE123" s="49" t="str">
        <f t="shared" si="34"/>
        <v/>
      </c>
      <c r="AF123" s="49" t="str">
        <f t="shared" si="34"/>
        <v/>
      </c>
      <c r="AG123" s="49" t="str">
        <f t="shared" si="34"/>
        <v/>
      </c>
      <c r="AH123" s="44">
        <f>SUM(AH121:AH122)</f>
        <v>0</v>
      </c>
      <c r="AI123" s="45">
        <f>SUM(AI121:AI122)</f>
        <v>0</v>
      </c>
      <c r="AJ123" s="45">
        <f>SUM(AJ121:AJ122)</f>
        <v>0</v>
      </c>
      <c r="AK123" s="45">
        <f>SUM(AK121:AK122)</f>
        <v>0</v>
      </c>
      <c r="AL123" s="45">
        <f>SUM(AL121:AL122)</f>
        <v>0</v>
      </c>
      <c r="AM123" s="50">
        <v>0</v>
      </c>
      <c r="AN123" s="51" t="str">
        <f>IF(A122="","",IF(A122&gt;NomMois,0,IF(A122&lt;$A$3,2.08,(NETWORKDAYS(A122,$A$2)/21.66667)*2.08)))</f>
        <v/>
      </c>
      <c r="AO123" s="51">
        <f>IF( AN123="",0,+AN123+Novembre!AO123)</f>
        <v>0</v>
      </c>
      <c r="AP123" s="50"/>
      <c r="AQ123" s="45">
        <f>+AM123-AI123</f>
        <v>0</v>
      </c>
      <c r="AR123" s="45">
        <f>+AP123-AJ123</f>
        <v>0</v>
      </c>
      <c r="AS123" s="102">
        <f t="shared" si="27"/>
        <v>0</v>
      </c>
    </row>
    <row r="124" spans="1:45" s="79" customFormat="1" ht="6.75" customHeight="1" x14ac:dyDescent="0.25">
      <c r="A124" s="64"/>
      <c r="B124" s="64"/>
      <c r="C124" s="64"/>
      <c r="D124" s="64"/>
      <c r="E124" s="64"/>
      <c r="F124" s="64"/>
      <c r="G124" s="64"/>
      <c r="H124" s="64"/>
      <c r="I124" s="64"/>
      <c r="J124" s="64"/>
      <c r="K124" s="64"/>
      <c r="L124" s="64"/>
      <c r="M124" s="64"/>
      <c r="N124" s="64"/>
      <c r="O124" s="64"/>
      <c r="P124" s="64"/>
      <c r="Q124" s="64"/>
      <c r="R124" s="64"/>
      <c r="S124" s="64"/>
      <c r="T124" s="64"/>
      <c r="U124" s="64"/>
      <c r="V124" s="64"/>
      <c r="W124" s="64"/>
      <c r="X124" s="64"/>
      <c r="Y124" s="64"/>
      <c r="Z124" s="64"/>
      <c r="AA124" s="64"/>
      <c r="AB124" s="64"/>
      <c r="AC124" s="64"/>
      <c r="AD124" s="64"/>
      <c r="AE124" s="64"/>
      <c r="AF124" s="64"/>
      <c r="AG124" s="64"/>
      <c r="AH124" s="64"/>
      <c r="AI124" s="64"/>
      <c r="AJ124" s="64"/>
      <c r="AK124" s="64"/>
      <c r="AL124" s="64"/>
      <c r="AM124" s="64"/>
      <c r="AN124" s="64"/>
      <c r="AO124" s="64"/>
      <c r="AP124" s="64"/>
      <c r="AQ124" s="74"/>
      <c r="AR124" s="74"/>
      <c r="AS124" s="65"/>
    </row>
    <row r="125" spans="1:45" s="79" customFormat="1" x14ac:dyDescent="0.25">
      <c r="A125" s="100"/>
      <c r="B125" s="100"/>
      <c r="C125" s="100"/>
      <c r="D125" s="100"/>
      <c r="E125" s="100"/>
      <c r="F125" s="100"/>
      <c r="G125" s="100"/>
      <c r="H125" s="100"/>
      <c r="I125" s="100"/>
      <c r="J125" s="100"/>
      <c r="K125" s="100"/>
      <c r="L125" s="100"/>
      <c r="M125" s="100"/>
      <c r="N125" s="100"/>
      <c r="O125" s="100"/>
      <c r="P125" s="100"/>
      <c r="Q125" s="100"/>
      <c r="R125" s="100"/>
      <c r="S125" s="100"/>
      <c r="T125" s="100"/>
      <c r="U125" s="100"/>
      <c r="V125" s="100"/>
      <c r="W125" s="100"/>
      <c r="X125" s="100"/>
      <c r="Y125" s="100"/>
      <c r="Z125" s="100"/>
      <c r="AA125" s="100"/>
      <c r="AB125" s="100"/>
      <c r="AC125" s="100"/>
      <c r="AD125" s="100"/>
      <c r="AE125" s="100"/>
      <c r="AF125" s="100"/>
      <c r="AG125" s="100"/>
      <c r="AH125" s="100"/>
      <c r="AM125" s="8"/>
      <c r="AN125" s="8"/>
      <c r="AO125" s="8"/>
    </row>
    <row r="126" spans="1:45" s="79" customFormat="1" x14ac:dyDescent="0.25">
      <c r="A126" s="100"/>
      <c r="B126" s="100"/>
      <c r="C126" s="100"/>
      <c r="D126" s="100"/>
      <c r="E126" s="100"/>
      <c r="F126" s="100"/>
      <c r="G126" s="100"/>
      <c r="H126" s="100"/>
      <c r="I126" s="100"/>
      <c r="J126" s="100"/>
      <c r="K126" s="100"/>
      <c r="L126" s="100"/>
      <c r="M126" s="100"/>
      <c r="N126" s="100"/>
      <c r="O126" s="100"/>
      <c r="P126" s="100"/>
      <c r="Q126" s="100"/>
      <c r="R126" s="100"/>
      <c r="S126" s="100"/>
      <c r="T126" s="100"/>
      <c r="U126" s="100"/>
      <c r="V126" s="100"/>
      <c r="W126" s="100"/>
      <c r="X126" s="100"/>
      <c r="Y126" s="100"/>
      <c r="Z126" s="100"/>
      <c r="AA126" s="100"/>
      <c r="AB126" s="100"/>
      <c r="AC126" s="100"/>
      <c r="AD126" s="100"/>
      <c r="AE126" s="100"/>
      <c r="AF126" s="100"/>
      <c r="AG126" s="100"/>
      <c r="AH126" s="100"/>
      <c r="AM126" s="8"/>
      <c r="AN126" s="8"/>
      <c r="AO126" s="8"/>
    </row>
    <row r="127" spans="1:45" s="79" customFormat="1" x14ac:dyDescent="0.25">
      <c r="A127" s="80"/>
      <c r="B127" s="80"/>
      <c r="C127" s="82" t="s">
        <v>17</v>
      </c>
      <c r="D127" s="82"/>
      <c r="E127" s="82"/>
      <c r="F127" s="82"/>
      <c r="G127" s="83"/>
      <c r="H127" s="84" t="s">
        <v>7</v>
      </c>
      <c r="I127" s="85" t="s">
        <v>18</v>
      </c>
      <c r="J127" s="86"/>
      <c r="K127" s="86"/>
      <c r="L127" s="87" t="s">
        <v>8</v>
      </c>
      <c r="M127" s="85" t="s">
        <v>8</v>
      </c>
      <c r="N127" s="86"/>
      <c r="O127" s="86"/>
      <c r="P127" s="88" t="s">
        <v>9</v>
      </c>
      <c r="Q127" s="85" t="s">
        <v>19</v>
      </c>
      <c r="R127" s="86"/>
      <c r="S127" s="86"/>
      <c r="T127" s="89" t="s">
        <v>10</v>
      </c>
      <c r="U127" s="90" t="s">
        <v>20</v>
      </c>
      <c r="V127" s="91"/>
      <c r="W127" s="86"/>
      <c r="X127" s="93"/>
      <c r="Y127" s="92"/>
      <c r="Z127" s="90" t="s">
        <v>21</v>
      </c>
      <c r="AA127" s="86"/>
      <c r="AB127" s="91"/>
      <c r="AC127" s="93"/>
      <c r="AD127" s="93"/>
      <c r="AE127" s="93"/>
      <c r="AF127" s="93"/>
      <c r="AG127" s="93"/>
      <c r="AH127" s="94"/>
      <c r="AM127" s="8"/>
      <c r="AN127" s="8"/>
      <c r="AO127" s="8"/>
    </row>
    <row r="128" spans="1:45" s="79" customFormat="1" x14ac:dyDescent="0.25"/>
    <row r="129" s="79" customFormat="1" x14ac:dyDescent="0.25"/>
    <row r="130" s="79" customFormat="1" x14ac:dyDescent="0.25"/>
    <row r="131" s="79" customFormat="1" ht="15" customHeight="1" x14ac:dyDescent="0.25"/>
    <row r="132" s="79" customFormat="1" ht="15" customHeight="1" x14ac:dyDescent="0.25"/>
    <row r="133" s="79" customFormat="1" ht="15" customHeight="1" x14ac:dyDescent="0.25"/>
    <row r="134" s="79" customFormat="1" ht="15" customHeight="1" x14ac:dyDescent="0.25"/>
    <row r="135" s="79" customFormat="1" ht="15" customHeight="1" x14ac:dyDescent="0.25"/>
    <row r="136" s="79" customFormat="1" ht="15" customHeight="1" x14ac:dyDescent="0.25"/>
    <row r="137" s="79" customFormat="1" ht="15" customHeight="1" x14ac:dyDescent="0.25"/>
    <row r="138" s="79" customFormat="1" ht="15" customHeight="1" x14ac:dyDescent="0.25"/>
    <row r="139" s="79" customFormat="1" ht="15" customHeight="1" x14ac:dyDescent="0.25"/>
    <row r="140" s="79" customFormat="1" ht="15" customHeight="1" x14ac:dyDescent="0.25"/>
    <row r="141" s="79" customFormat="1" ht="15" customHeight="1" x14ac:dyDescent="0.25"/>
    <row r="142" s="79" customFormat="1" ht="15" customHeight="1" x14ac:dyDescent="0.25"/>
    <row r="143" s="79" customFormat="1" ht="15" customHeight="1" x14ac:dyDescent="0.25"/>
    <row r="144" s="79" customFormat="1" ht="15" customHeight="1" x14ac:dyDescent="0.25"/>
    <row r="145" s="79" customFormat="1" ht="15" customHeight="1" x14ac:dyDescent="0.25"/>
    <row r="146" s="79" customFormat="1" ht="15" customHeight="1" x14ac:dyDescent="0.25"/>
    <row r="147" s="79" customFormat="1" ht="15" customHeight="1" x14ac:dyDescent="0.25"/>
    <row r="148" s="79" customFormat="1" ht="15" customHeight="1" x14ac:dyDescent="0.25"/>
    <row r="149" s="79" customFormat="1" ht="15" customHeight="1" x14ac:dyDescent="0.25"/>
    <row r="150" s="79" customFormat="1" ht="15" customHeight="1" x14ac:dyDescent="0.25"/>
    <row r="151" s="79" customFormat="1" ht="15" customHeight="1" x14ac:dyDescent="0.25"/>
    <row r="152" s="79" customFormat="1" ht="15" customHeight="1" x14ac:dyDescent="0.25"/>
    <row r="153" s="79" customFormat="1" ht="15" customHeight="1" x14ac:dyDescent="0.25"/>
    <row r="154" s="79" customFormat="1" ht="15" customHeight="1" x14ac:dyDescent="0.25"/>
    <row r="155" s="79" customFormat="1" ht="15" customHeight="1" x14ac:dyDescent="0.25"/>
    <row r="156" s="79" customFormat="1" ht="15" customHeight="1" x14ac:dyDescent="0.25"/>
    <row r="157" s="79" customFormat="1" ht="15" customHeight="1" x14ac:dyDescent="0.25"/>
    <row r="158" s="79" customFormat="1" ht="15" customHeight="1" x14ac:dyDescent="0.25"/>
    <row r="159" s="79" customFormat="1" ht="15" customHeight="1" x14ac:dyDescent="0.25"/>
    <row r="160" s="79" customFormat="1" ht="15" customHeight="1" x14ac:dyDescent="0.25"/>
    <row r="161" s="79" customFormat="1" ht="15" customHeight="1" x14ac:dyDescent="0.25"/>
    <row r="162" s="79" customFormat="1" ht="15" customHeight="1" x14ac:dyDescent="0.25"/>
    <row r="163" s="79" customFormat="1" ht="15" customHeight="1" x14ac:dyDescent="0.25"/>
    <row r="164" s="79" customFormat="1" ht="15" customHeight="1" x14ac:dyDescent="0.25"/>
    <row r="165" s="79" customFormat="1" ht="15" customHeight="1" x14ac:dyDescent="0.25"/>
    <row r="166" s="79" customFormat="1" ht="15" customHeight="1" x14ac:dyDescent="0.25"/>
    <row r="167" s="79" customFormat="1" ht="15" customHeight="1" x14ac:dyDescent="0.25"/>
    <row r="168" s="79" customFormat="1" ht="15" customHeight="1" x14ac:dyDescent="0.25"/>
    <row r="169" s="79" customFormat="1" ht="15" customHeight="1" x14ac:dyDescent="0.25"/>
    <row r="170" s="79" customFormat="1" ht="15" customHeight="1" x14ac:dyDescent="0.25"/>
    <row r="171" s="79" customFormat="1" ht="15" customHeight="1" x14ac:dyDescent="0.25"/>
    <row r="172" s="79" customFormat="1" ht="15" customHeight="1" x14ac:dyDescent="0.25"/>
    <row r="173" s="79" customFormat="1" ht="15" customHeight="1" x14ac:dyDescent="0.25"/>
    <row r="174" s="79" customFormat="1" ht="15" customHeight="1" x14ac:dyDescent="0.25"/>
    <row r="175" s="79" customFormat="1" ht="15" customHeight="1" x14ac:dyDescent="0.25"/>
    <row r="176" s="79" customFormat="1" ht="15" customHeight="1" x14ac:dyDescent="0.25"/>
    <row r="177" s="79" customFormat="1" ht="15" customHeight="1" x14ac:dyDescent="0.25"/>
    <row r="178" s="79" customFormat="1" ht="15" customHeight="1" x14ac:dyDescent="0.25"/>
    <row r="179" s="79" customFormat="1" ht="15" customHeight="1" x14ac:dyDescent="0.25"/>
    <row r="180" s="79" customFormat="1" ht="15" customHeight="1" x14ac:dyDescent="0.25"/>
    <row r="181" s="79" customFormat="1" ht="15" customHeight="1" x14ac:dyDescent="0.25"/>
    <row r="182" s="79" customFormat="1" ht="15" customHeight="1" x14ac:dyDescent="0.25"/>
    <row r="183" s="79" customFormat="1" ht="15" customHeight="1" x14ac:dyDescent="0.25"/>
    <row r="184" s="79" customFormat="1" ht="15" customHeight="1" x14ac:dyDescent="0.25"/>
    <row r="185" s="79" customFormat="1" ht="15" customHeight="1" x14ac:dyDescent="0.25"/>
    <row r="186" s="79" customFormat="1" ht="15" customHeight="1" x14ac:dyDescent="0.25"/>
    <row r="187" s="79" customFormat="1" ht="15" customHeight="1" x14ac:dyDescent="0.25"/>
    <row r="188" s="79" customFormat="1" ht="15" customHeight="1" x14ac:dyDescent="0.25"/>
    <row r="189" s="79" customFormat="1" ht="15" customHeight="1" x14ac:dyDescent="0.25"/>
    <row r="190" s="79" customFormat="1" ht="15" customHeight="1" x14ac:dyDescent="0.25"/>
    <row r="191" s="79" customFormat="1" ht="15" customHeight="1" x14ac:dyDescent="0.25"/>
    <row r="192" s="79" customFormat="1" ht="15" customHeight="1" x14ac:dyDescent="0.25"/>
    <row r="193" s="79" customFormat="1" ht="15" customHeight="1" x14ac:dyDescent="0.25"/>
    <row r="194" s="79" customFormat="1" ht="15" customHeight="1" x14ac:dyDescent="0.25"/>
    <row r="195" s="79" customFormat="1" ht="15" customHeight="1" x14ac:dyDescent="0.25"/>
    <row r="196" s="79" customFormat="1" ht="15" customHeight="1" x14ac:dyDescent="0.25"/>
    <row r="197" s="79" customFormat="1" ht="15" customHeight="1" x14ac:dyDescent="0.25"/>
    <row r="198" s="79" customFormat="1" ht="15" customHeight="1" x14ac:dyDescent="0.25"/>
    <row r="199" s="79" customFormat="1" ht="15" customHeight="1" x14ac:dyDescent="0.25"/>
    <row r="200" s="79" customFormat="1" ht="15" customHeight="1" x14ac:dyDescent="0.25"/>
    <row r="201" s="79" customFormat="1" ht="15" customHeight="1" x14ac:dyDescent="0.25"/>
    <row r="202" s="79" customFormat="1" ht="15" customHeight="1" x14ac:dyDescent="0.25"/>
    <row r="203" s="79" customFormat="1" ht="15" customHeight="1" x14ac:dyDescent="0.25"/>
    <row r="204" s="79" customFormat="1" ht="15" customHeight="1" x14ac:dyDescent="0.25"/>
    <row r="205" s="79" customFormat="1" ht="15" customHeight="1" x14ac:dyDescent="0.25"/>
    <row r="206" s="79" customFormat="1" ht="15" customHeight="1" x14ac:dyDescent="0.25"/>
    <row r="207" s="79" customFormat="1" ht="15" customHeight="1" x14ac:dyDescent="0.25"/>
    <row r="208" s="79" customFormat="1" ht="15" customHeight="1" x14ac:dyDescent="0.25"/>
    <row r="209" s="79" customFormat="1" ht="15" customHeight="1" x14ac:dyDescent="0.25"/>
    <row r="210" s="79" customFormat="1" ht="15" customHeight="1" x14ac:dyDescent="0.25"/>
    <row r="211" s="79" customFormat="1" ht="15" customHeight="1" x14ac:dyDescent="0.25"/>
    <row r="212" s="79" customFormat="1" ht="15" customHeight="1" x14ac:dyDescent="0.25"/>
    <row r="213" s="79" customFormat="1" ht="15" customHeight="1" x14ac:dyDescent="0.25"/>
    <row r="214" s="79" customFormat="1" ht="15" customHeight="1" x14ac:dyDescent="0.25"/>
    <row r="215" s="79" customFormat="1" ht="15" customHeight="1" x14ac:dyDescent="0.25"/>
    <row r="216" s="79" customFormat="1" ht="15" customHeight="1" x14ac:dyDescent="0.25"/>
    <row r="217" s="79" customFormat="1" ht="15" customHeight="1" x14ac:dyDescent="0.25"/>
    <row r="218" s="79" customFormat="1" ht="15" customHeight="1" x14ac:dyDescent="0.25"/>
    <row r="219" s="79" customFormat="1" ht="15" customHeight="1" x14ac:dyDescent="0.25"/>
    <row r="220" s="79" customFormat="1" ht="15" customHeight="1" x14ac:dyDescent="0.25"/>
    <row r="221" s="79" customFormat="1" ht="15" customHeight="1" x14ac:dyDescent="0.25"/>
    <row r="222" s="79" customFormat="1" ht="15" customHeight="1" x14ac:dyDescent="0.25"/>
    <row r="223" s="79" customFormat="1" ht="15" customHeight="1" x14ac:dyDescent="0.25"/>
    <row r="224" s="79" customFormat="1" ht="15" customHeight="1" x14ac:dyDescent="0.25"/>
    <row r="225" s="79" customFormat="1" ht="15" customHeight="1" x14ac:dyDescent="0.25"/>
    <row r="226" s="79" customFormat="1" ht="15" customHeight="1" x14ac:dyDescent="0.25"/>
    <row r="227" s="79" customFormat="1" ht="15" customHeight="1" x14ac:dyDescent="0.25"/>
    <row r="228" s="79" customFormat="1" ht="15" customHeight="1" x14ac:dyDescent="0.25"/>
    <row r="229" s="79" customFormat="1" ht="15" customHeight="1" x14ac:dyDescent="0.25"/>
    <row r="230" s="79" customFormat="1" ht="15" customHeight="1" x14ac:dyDescent="0.25"/>
    <row r="231" s="79" customFormat="1" ht="15" customHeight="1" x14ac:dyDescent="0.25"/>
    <row r="232" s="79" customFormat="1" ht="15" customHeight="1" x14ac:dyDescent="0.25"/>
    <row r="233" s="79" customFormat="1" ht="15" customHeight="1" x14ac:dyDescent="0.25"/>
    <row r="234" s="79" customFormat="1" ht="15" customHeight="1" x14ac:dyDescent="0.25"/>
    <row r="235" s="79" customFormat="1" ht="15" customHeight="1" x14ac:dyDescent="0.25"/>
    <row r="236" s="79" customFormat="1" ht="15" customHeight="1" x14ac:dyDescent="0.25"/>
    <row r="237" s="79" customFormat="1" ht="15" customHeight="1" x14ac:dyDescent="0.25"/>
    <row r="238" s="79" customFormat="1" ht="15" customHeight="1" x14ac:dyDescent="0.25"/>
    <row r="239" s="79" customFormat="1" ht="15" customHeight="1" x14ac:dyDescent="0.25"/>
    <row r="240" s="79" customFormat="1" ht="15" customHeight="1" x14ac:dyDescent="0.25"/>
    <row r="241" s="79" customFormat="1" ht="15" customHeight="1" x14ac:dyDescent="0.25"/>
    <row r="242" s="79" customFormat="1" ht="15" customHeight="1" x14ac:dyDescent="0.25"/>
    <row r="243" s="79" customFormat="1" ht="15" customHeight="1" x14ac:dyDescent="0.25"/>
    <row r="244" s="79" customFormat="1" ht="15" customHeight="1" x14ac:dyDescent="0.25"/>
    <row r="245" s="79" customFormat="1" ht="15" customHeight="1" x14ac:dyDescent="0.25"/>
    <row r="246" s="79" customFormat="1" ht="15" customHeight="1" x14ac:dyDescent="0.25"/>
    <row r="247" s="79" customFormat="1" ht="15" customHeight="1" x14ac:dyDescent="0.25"/>
    <row r="248" s="79" customFormat="1" ht="15" customHeight="1" x14ac:dyDescent="0.25"/>
    <row r="249" s="79" customFormat="1" ht="15" customHeight="1" x14ac:dyDescent="0.25"/>
    <row r="250" s="79" customFormat="1" ht="15" customHeight="1" x14ac:dyDescent="0.25"/>
    <row r="251" s="79" customFormat="1" ht="15" customHeight="1" x14ac:dyDescent="0.25"/>
    <row r="252" s="79" customFormat="1" ht="15" customHeight="1" x14ac:dyDescent="0.25"/>
    <row r="253" s="79" customFormat="1" ht="15" customHeight="1" x14ac:dyDescent="0.25"/>
    <row r="254" s="79" customFormat="1" ht="15" customHeight="1" x14ac:dyDescent="0.25"/>
    <row r="255" s="79" customFormat="1" ht="15" customHeight="1" x14ac:dyDescent="0.25"/>
    <row r="256" s="79" customFormat="1" ht="15" customHeight="1" x14ac:dyDescent="0.25"/>
    <row r="257" s="79" customFormat="1" ht="15" customHeight="1" x14ac:dyDescent="0.25"/>
    <row r="258" s="79" customFormat="1" ht="15" customHeight="1" x14ac:dyDescent="0.25"/>
    <row r="259" s="79" customFormat="1" ht="15" customHeight="1" x14ac:dyDescent="0.25"/>
    <row r="260" s="79" customFormat="1" ht="15" customHeight="1" x14ac:dyDescent="0.25"/>
    <row r="261" s="79" customFormat="1" ht="15" customHeight="1" x14ac:dyDescent="0.25"/>
    <row r="262" s="79" customFormat="1" ht="15" customHeight="1" x14ac:dyDescent="0.25"/>
    <row r="263" s="79" customFormat="1" ht="15" customHeight="1" x14ac:dyDescent="0.25"/>
    <row r="264" s="79" customFormat="1" ht="15" customHeight="1" x14ac:dyDescent="0.25"/>
    <row r="265" s="79" customFormat="1" ht="15" customHeight="1" x14ac:dyDescent="0.25"/>
    <row r="266" s="79" customFormat="1" ht="15" customHeight="1" x14ac:dyDescent="0.25"/>
    <row r="267" s="79" customFormat="1" ht="15" customHeight="1" x14ac:dyDescent="0.25"/>
    <row r="268" s="79" customFormat="1" ht="15" customHeight="1" x14ac:dyDescent="0.25"/>
    <row r="269" s="79" customFormat="1" ht="15" customHeight="1" x14ac:dyDescent="0.25"/>
    <row r="270" s="79" customFormat="1" ht="15" customHeight="1" x14ac:dyDescent="0.25"/>
    <row r="271" s="79" customFormat="1" ht="15" customHeight="1" x14ac:dyDescent="0.25"/>
    <row r="272" s="79" customFormat="1" ht="15" customHeight="1" x14ac:dyDescent="0.25"/>
    <row r="273" s="79" customFormat="1" ht="15" customHeight="1" x14ac:dyDescent="0.25"/>
    <row r="274" s="79" customFormat="1" ht="15" customHeight="1" x14ac:dyDescent="0.25"/>
    <row r="275" s="79" customFormat="1" ht="15" customHeight="1" x14ac:dyDescent="0.25"/>
    <row r="276" s="79" customFormat="1" ht="15" customHeight="1" x14ac:dyDescent="0.25"/>
    <row r="277" s="79" customFormat="1" ht="15" customHeight="1" x14ac:dyDescent="0.25"/>
    <row r="278" s="79" customFormat="1" ht="15" customHeight="1" x14ac:dyDescent="0.25"/>
    <row r="279" s="79" customFormat="1" ht="15" customHeight="1" x14ac:dyDescent="0.25"/>
    <row r="280" s="79" customFormat="1" ht="15" customHeight="1" x14ac:dyDescent="0.25"/>
    <row r="281" s="79" customFormat="1" ht="15" customHeight="1" x14ac:dyDescent="0.25"/>
    <row r="282" s="79" customFormat="1" ht="15" customHeight="1" x14ac:dyDescent="0.25"/>
    <row r="283" s="79" customFormat="1" ht="15" customHeight="1" x14ac:dyDescent="0.25"/>
    <row r="284" s="79" customFormat="1" ht="15" customHeight="1" x14ac:dyDescent="0.25"/>
    <row r="285" s="79" customFormat="1" ht="15" customHeight="1" x14ac:dyDescent="0.25"/>
    <row r="286" s="79" customFormat="1" ht="15" customHeight="1" x14ac:dyDescent="0.25"/>
    <row r="287" s="79" customFormat="1" ht="15" customHeight="1" x14ac:dyDescent="0.25"/>
    <row r="288" s="79" customFormat="1" ht="15" customHeight="1" x14ac:dyDescent="0.25"/>
    <row r="289" s="79" customFormat="1" ht="15" customHeight="1" x14ac:dyDescent="0.25"/>
    <row r="290" s="79" customFormat="1" ht="15" customHeight="1" x14ac:dyDescent="0.25"/>
    <row r="291" s="79" customFormat="1" ht="15" customHeight="1" x14ac:dyDescent="0.25"/>
    <row r="292" s="79" customFormat="1" ht="15" customHeight="1" x14ac:dyDescent="0.25"/>
    <row r="293" s="79" customFormat="1" ht="15" customHeight="1" x14ac:dyDescent="0.25"/>
    <row r="294" s="79" customFormat="1" ht="15" customHeight="1" x14ac:dyDescent="0.25"/>
    <row r="295" s="79" customFormat="1" ht="15" customHeight="1" x14ac:dyDescent="0.25"/>
    <row r="296" s="79" customFormat="1" ht="15" customHeight="1" x14ac:dyDescent="0.25"/>
    <row r="297" s="79" customFormat="1" ht="15" customHeight="1" x14ac:dyDescent="0.25"/>
    <row r="298" s="79" customFormat="1" ht="15" customHeight="1" x14ac:dyDescent="0.25"/>
    <row r="299" s="79" customFormat="1" ht="15" customHeight="1" x14ac:dyDescent="0.25"/>
    <row r="300" s="79" customFormat="1" ht="15" customHeight="1" x14ac:dyDescent="0.25"/>
    <row r="301" s="79" customFormat="1" ht="15" customHeight="1" x14ac:dyDescent="0.25"/>
    <row r="302" s="79" customFormat="1" ht="15" customHeight="1" x14ac:dyDescent="0.25"/>
    <row r="303" s="79" customFormat="1" ht="15" customHeight="1" x14ac:dyDescent="0.25"/>
    <row r="304" s="79" customFormat="1" ht="15" customHeight="1" x14ac:dyDescent="0.25"/>
    <row r="305" s="79" customFormat="1" ht="15" customHeight="1" x14ac:dyDescent="0.25"/>
    <row r="306" s="79" customFormat="1" ht="15" customHeight="1" x14ac:dyDescent="0.25"/>
    <row r="307" s="79" customFormat="1" ht="15" customHeight="1" x14ac:dyDescent="0.25"/>
    <row r="308" s="79" customFormat="1" ht="15" customHeight="1" x14ac:dyDescent="0.25"/>
    <row r="309" s="79" customFormat="1" ht="15" customHeight="1" x14ac:dyDescent="0.25"/>
    <row r="310" s="79" customFormat="1" ht="15" customHeight="1" x14ac:dyDescent="0.25"/>
    <row r="311" s="79" customFormat="1" ht="15" customHeight="1" x14ac:dyDescent="0.25"/>
    <row r="312" s="79" customFormat="1" ht="15" customHeight="1" x14ac:dyDescent="0.25"/>
    <row r="313" s="79" customFormat="1" ht="15" customHeight="1" x14ac:dyDescent="0.25"/>
    <row r="314" s="79" customFormat="1" ht="15" customHeight="1" x14ac:dyDescent="0.25"/>
    <row r="315" s="79" customFormat="1" ht="15" customHeight="1" x14ac:dyDescent="0.25"/>
    <row r="316" s="79" customFormat="1" ht="15" customHeight="1" x14ac:dyDescent="0.25"/>
    <row r="317" s="79" customFormat="1" ht="15" customHeight="1" x14ac:dyDescent="0.25"/>
    <row r="318" s="79" customFormat="1" ht="15" customHeight="1" x14ac:dyDescent="0.25"/>
    <row r="319" s="79" customFormat="1" ht="15" customHeight="1" x14ac:dyDescent="0.25"/>
    <row r="320" s="79" customFormat="1" ht="15" customHeight="1" x14ac:dyDescent="0.25"/>
    <row r="321" s="79" customFormat="1" ht="15" customHeight="1" x14ac:dyDescent="0.25"/>
    <row r="322" s="79" customFormat="1" ht="15" customHeight="1" x14ac:dyDescent="0.25"/>
    <row r="323" s="79" customFormat="1" ht="15" customHeight="1" x14ac:dyDescent="0.25"/>
    <row r="324" s="79" customFormat="1" ht="15" customHeight="1" x14ac:dyDescent="0.25"/>
    <row r="325" s="79" customFormat="1" ht="15" customHeight="1" x14ac:dyDescent="0.25"/>
    <row r="326" s="79" customFormat="1" ht="15" customHeight="1" x14ac:dyDescent="0.25"/>
    <row r="327" s="79" customFormat="1" ht="15" customHeight="1" x14ac:dyDescent="0.25"/>
    <row r="328" s="79" customFormat="1" ht="15" customHeight="1" x14ac:dyDescent="0.25"/>
    <row r="329" s="79" customFormat="1" ht="15" customHeight="1" x14ac:dyDescent="0.25"/>
    <row r="330" s="79" customFormat="1" ht="15" customHeight="1" x14ac:dyDescent="0.25"/>
    <row r="331" s="79" customFormat="1" ht="15" customHeight="1" x14ac:dyDescent="0.25"/>
    <row r="332" s="79" customFormat="1" ht="15" customHeight="1" x14ac:dyDescent="0.25"/>
    <row r="333" s="79" customFormat="1" ht="15" customHeight="1" x14ac:dyDescent="0.25"/>
    <row r="334" s="79" customFormat="1" ht="15" customHeight="1" x14ac:dyDescent="0.25"/>
    <row r="335" s="79" customFormat="1" ht="15" customHeight="1" x14ac:dyDescent="0.25"/>
    <row r="336" s="79" customFormat="1" ht="15" customHeight="1" x14ac:dyDescent="0.25"/>
    <row r="337" s="79" customFormat="1" ht="15" customHeight="1" x14ac:dyDescent="0.25"/>
    <row r="338" s="79" customFormat="1" ht="15" customHeight="1" x14ac:dyDescent="0.25"/>
    <row r="339" s="79" customFormat="1" ht="15" customHeight="1" x14ac:dyDescent="0.25"/>
    <row r="340" s="79" customFormat="1" ht="15" customHeight="1" x14ac:dyDescent="0.25"/>
    <row r="341" s="79" customFormat="1" ht="15" customHeight="1" x14ac:dyDescent="0.25"/>
    <row r="342" s="79" customFormat="1" ht="15" customHeight="1" x14ac:dyDescent="0.25"/>
    <row r="343" s="79" customFormat="1" ht="15" customHeight="1" x14ac:dyDescent="0.25"/>
    <row r="344" s="79" customFormat="1" ht="15" customHeight="1" x14ac:dyDescent="0.25"/>
    <row r="345" s="79" customFormat="1" ht="15" customHeight="1" x14ac:dyDescent="0.25"/>
    <row r="346" s="79" customFormat="1" ht="15" customHeight="1" x14ac:dyDescent="0.25"/>
    <row r="347" s="79" customFormat="1" ht="15" customHeight="1" x14ac:dyDescent="0.25"/>
    <row r="348" s="79" customFormat="1" ht="15" customHeight="1" x14ac:dyDescent="0.25"/>
    <row r="349" s="79" customFormat="1" ht="15" customHeight="1" x14ac:dyDescent="0.25"/>
    <row r="350" s="79" customFormat="1" ht="15" customHeight="1" x14ac:dyDescent="0.25"/>
    <row r="351" s="79" customFormat="1" ht="15" customHeight="1" x14ac:dyDescent="0.25"/>
    <row r="352" s="79" customFormat="1" ht="15" customHeight="1" x14ac:dyDescent="0.25"/>
    <row r="353" s="79" customFormat="1" ht="15" customHeight="1" x14ac:dyDescent="0.25"/>
    <row r="354" s="79" customFormat="1" ht="15" customHeight="1" x14ac:dyDescent="0.25"/>
    <row r="355" s="79" customFormat="1" ht="15" customHeight="1" x14ac:dyDescent="0.25"/>
    <row r="356" s="79" customFormat="1" ht="15" customHeight="1" x14ac:dyDescent="0.25"/>
    <row r="357" s="79" customFormat="1" ht="15" customHeight="1" x14ac:dyDescent="0.25"/>
    <row r="358" s="79" customFormat="1" ht="15" customHeight="1" x14ac:dyDescent="0.25"/>
    <row r="359" s="79" customFormat="1" ht="15" customHeight="1" x14ac:dyDescent="0.25"/>
    <row r="360" s="79" customFormat="1" ht="15" customHeight="1" x14ac:dyDescent="0.25"/>
    <row r="361" s="79" customFormat="1" ht="15" customHeight="1" x14ac:dyDescent="0.25"/>
    <row r="362" s="79" customFormat="1" ht="15" customHeight="1" x14ac:dyDescent="0.25"/>
    <row r="363" s="79" customFormat="1" ht="15" customHeight="1" x14ac:dyDescent="0.25"/>
    <row r="364" s="79" customFormat="1" ht="15" customHeight="1" x14ac:dyDescent="0.25"/>
    <row r="365" s="79" customFormat="1" ht="15" customHeight="1" x14ac:dyDescent="0.25"/>
    <row r="366" s="79" customFormat="1" ht="15" customHeight="1" x14ac:dyDescent="0.25"/>
    <row r="367" s="79" customFormat="1" ht="15" customHeight="1" x14ac:dyDescent="0.25"/>
    <row r="368" s="79" customFormat="1" ht="15" customHeight="1" x14ac:dyDescent="0.25"/>
    <row r="369" s="79" customFormat="1" ht="15" customHeight="1" x14ac:dyDescent="0.25"/>
    <row r="370" s="79" customFormat="1" ht="15" customHeight="1" x14ac:dyDescent="0.25"/>
    <row r="371" s="79" customFormat="1" ht="15" customHeight="1" x14ac:dyDescent="0.25"/>
    <row r="372" s="79" customFormat="1" ht="15" customHeight="1" x14ac:dyDescent="0.25"/>
    <row r="373" s="79" customFormat="1" ht="15" customHeight="1" x14ac:dyDescent="0.25"/>
    <row r="374" s="79" customFormat="1" ht="15" customHeight="1" x14ac:dyDescent="0.25"/>
    <row r="375" s="79" customFormat="1" ht="15" customHeight="1" x14ac:dyDescent="0.25"/>
    <row r="376" s="79" customFormat="1" ht="15" customHeight="1" x14ac:dyDescent="0.25"/>
    <row r="377" s="79" customFormat="1" ht="15" customHeight="1" x14ac:dyDescent="0.25"/>
    <row r="378" s="79" customFormat="1" ht="15" customHeight="1" x14ac:dyDescent="0.25"/>
    <row r="379" s="79" customFormat="1" ht="15" customHeight="1" x14ac:dyDescent="0.25"/>
    <row r="380" s="79" customFormat="1" ht="15" customHeight="1" x14ac:dyDescent="0.25"/>
    <row r="381" s="79" customFormat="1" ht="15" customHeight="1" x14ac:dyDescent="0.25"/>
    <row r="382" s="79" customFormat="1" ht="15" customHeight="1" x14ac:dyDescent="0.25"/>
    <row r="383" s="79" customFormat="1" ht="15" customHeight="1" x14ac:dyDescent="0.25"/>
    <row r="384" s="79" customFormat="1" ht="15" customHeight="1" x14ac:dyDescent="0.25"/>
    <row r="385" s="79" customFormat="1" ht="15" customHeight="1" x14ac:dyDescent="0.25"/>
    <row r="386" s="79" customFormat="1" ht="15" customHeight="1" x14ac:dyDescent="0.25"/>
    <row r="387" s="79" customFormat="1" ht="15" customHeight="1" x14ac:dyDescent="0.25"/>
    <row r="388" s="79" customFormat="1" ht="15" customHeight="1" x14ac:dyDescent="0.25"/>
    <row r="389" s="79" customFormat="1" ht="15" customHeight="1" x14ac:dyDescent="0.25"/>
    <row r="390" s="79" customFormat="1" ht="15" customHeight="1" x14ac:dyDescent="0.25"/>
    <row r="391" s="79" customFormat="1" ht="15" customHeight="1" x14ac:dyDescent="0.25"/>
    <row r="392" s="79" customFormat="1" ht="15" customHeight="1" x14ac:dyDescent="0.25"/>
    <row r="393" s="79" customFormat="1" ht="15" customHeight="1" x14ac:dyDescent="0.25"/>
    <row r="394" s="79" customFormat="1" ht="15" customHeight="1" x14ac:dyDescent="0.25"/>
    <row r="395" s="79" customFormat="1" ht="15" customHeight="1" x14ac:dyDescent="0.25"/>
    <row r="396" s="79" customFormat="1" ht="15" customHeight="1" x14ac:dyDescent="0.25"/>
    <row r="397" s="79" customFormat="1" ht="15" customHeight="1" x14ac:dyDescent="0.25"/>
    <row r="398" s="79" customFormat="1" ht="15" customHeight="1" x14ac:dyDescent="0.25"/>
    <row r="399" s="79" customFormat="1" ht="15" customHeight="1" x14ac:dyDescent="0.25"/>
    <row r="400" s="79" customFormat="1" ht="15" customHeight="1" x14ac:dyDescent="0.25"/>
    <row r="401" s="79" customFormat="1" ht="15" customHeight="1" x14ac:dyDescent="0.25"/>
    <row r="402" s="79" customFormat="1" ht="15" customHeight="1" x14ac:dyDescent="0.25"/>
    <row r="403" s="79" customFormat="1" ht="15" customHeight="1" x14ac:dyDescent="0.25"/>
    <row r="404" s="79" customFormat="1" ht="15" customHeight="1" x14ac:dyDescent="0.25"/>
    <row r="405" s="79" customFormat="1" ht="15" customHeight="1" x14ac:dyDescent="0.25"/>
    <row r="406" s="79" customFormat="1" ht="15" customHeight="1" x14ac:dyDescent="0.25"/>
    <row r="407" s="79" customFormat="1" ht="15" customHeight="1" x14ac:dyDescent="0.25"/>
    <row r="408" s="79" customFormat="1" ht="15" customHeight="1" x14ac:dyDescent="0.25"/>
    <row r="409" s="79" customFormat="1" ht="15" customHeight="1" x14ac:dyDescent="0.25"/>
    <row r="410" s="79" customFormat="1" ht="15" customHeight="1" x14ac:dyDescent="0.25"/>
    <row r="411" s="79" customFormat="1" ht="15" customHeight="1" x14ac:dyDescent="0.25"/>
    <row r="412" s="79" customFormat="1" ht="15" customHeight="1" x14ac:dyDescent="0.25"/>
    <row r="413" s="79" customFormat="1" ht="15" customHeight="1" x14ac:dyDescent="0.25"/>
    <row r="414" s="79" customFormat="1" ht="15" customHeight="1" x14ac:dyDescent="0.25"/>
    <row r="415" s="79" customFormat="1" ht="15" customHeight="1" x14ac:dyDescent="0.25"/>
    <row r="416" s="79" customFormat="1" ht="15" customHeight="1" x14ac:dyDescent="0.25"/>
    <row r="417" s="79" customFormat="1" ht="15" customHeight="1" x14ac:dyDescent="0.25"/>
    <row r="418" s="79" customFormat="1" ht="15" customHeight="1" x14ac:dyDescent="0.25"/>
    <row r="419" s="79" customFormat="1" ht="15" customHeight="1" x14ac:dyDescent="0.25"/>
    <row r="420" s="79" customFormat="1" ht="15" customHeight="1" x14ac:dyDescent="0.25"/>
    <row r="421" s="79" customFormat="1" ht="15" customHeight="1" x14ac:dyDescent="0.25"/>
    <row r="422" s="79" customFormat="1" ht="15" customHeight="1" x14ac:dyDescent="0.25"/>
    <row r="423" s="79" customFormat="1" ht="15" customHeight="1" x14ac:dyDescent="0.25"/>
    <row r="424" s="79" customFormat="1" ht="15" customHeight="1" x14ac:dyDescent="0.25"/>
    <row r="425" s="79" customFormat="1" ht="15" customHeight="1" x14ac:dyDescent="0.25"/>
    <row r="426" s="79" customFormat="1" ht="15" customHeight="1" x14ac:dyDescent="0.25"/>
    <row r="427" s="79" customFormat="1" ht="15" customHeight="1" x14ac:dyDescent="0.25"/>
    <row r="428" s="79" customFormat="1" ht="15" customHeight="1" x14ac:dyDescent="0.25"/>
    <row r="429" s="79" customFormat="1" ht="15" customHeight="1" x14ac:dyDescent="0.25"/>
    <row r="430" s="79" customFormat="1" ht="15" customHeight="1" x14ac:dyDescent="0.25"/>
    <row r="431" s="79" customFormat="1" ht="15" customHeight="1" x14ac:dyDescent="0.25"/>
    <row r="432" s="79" customFormat="1" ht="15" customHeight="1" x14ac:dyDescent="0.25"/>
    <row r="433" s="79" customFormat="1" ht="15" customHeight="1" x14ac:dyDescent="0.25"/>
    <row r="434" s="79" customFormat="1" ht="15" customHeight="1" x14ac:dyDescent="0.25"/>
    <row r="435" s="79" customFormat="1" ht="15" customHeight="1" x14ac:dyDescent="0.25"/>
    <row r="436" s="79" customFormat="1" ht="15" customHeight="1" x14ac:dyDescent="0.25"/>
    <row r="437" s="79" customFormat="1" ht="15" customHeight="1" x14ac:dyDescent="0.25"/>
    <row r="438" s="79" customFormat="1" ht="15" customHeight="1" x14ac:dyDescent="0.25"/>
    <row r="439" s="79" customFormat="1" ht="15" customHeight="1" x14ac:dyDescent="0.25"/>
    <row r="440" s="79" customFormat="1" ht="15" customHeight="1" x14ac:dyDescent="0.25"/>
    <row r="441" s="79" customFormat="1" ht="15" customHeight="1" x14ac:dyDescent="0.25"/>
    <row r="442" s="79" customFormat="1" ht="15" customHeight="1" x14ac:dyDescent="0.25"/>
    <row r="443" s="79" customFormat="1" ht="15" customHeight="1" x14ac:dyDescent="0.25"/>
    <row r="444" s="79" customFormat="1" ht="15" customHeight="1" x14ac:dyDescent="0.25"/>
    <row r="445" s="79" customFormat="1" ht="15" customHeight="1" x14ac:dyDescent="0.25"/>
    <row r="446" s="79" customFormat="1" ht="15" customHeight="1" x14ac:dyDescent="0.25"/>
    <row r="447" s="79" customFormat="1" ht="15" customHeight="1" x14ac:dyDescent="0.25"/>
    <row r="448" s="79" customFormat="1" ht="15" customHeight="1" x14ac:dyDescent="0.25"/>
    <row r="449" s="79" customFormat="1" ht="15" customHeight="1" x14ac:dyDescent="0.25"/>
    <row r="450" s="79" customFormat="1" ht="15" customHeight="1" x14ac:dyDescent="0.25"/>
    <row r="451" s="79" customFormat="1" ht="15" customHeight="1" x14ac:dyDescent="0.25"/>
    <row r="452" s="79" customFormat="1" ht="15" customHeight="1" x14ac:dyDescent="0.25"/>
    <row r="453" s="79" customFormat="1" ht="15" customHeight="1" x14ac:dyDescent="0.25"/>
    <row r="454" s="79" customFormat="1" ht="15" customHeight="1" x14ac:dyDescent="0.25"/>
    <row r="455" s="79" customFormat="1" ht="15" customHeight="1" x14ac:dyDescent="0.25"/>
    <row r="456" s="79" customFormat="1" ht="15" customHeight="1" x14ac:dyDescent="0.25"/>
    <row r="457" s="79" customFormat="1" ht="15" customHeight="1" x14ac:dyDescent="0.25"/>
    <row r="458" s="79" customFormat="1" ht="15" customHeight="1" x14ac:dyDescent="0.25"/>
    <row r="459" s="79" customFormat="1" ht="15" customHeight="1" x14ac:dyDescent="0.25"/>
    <row r="460" s="79" customFormat="1" ht="15" customHeight="1" x14ac:dyDescent="0.25"/>
    <row r="461" s="79" customFormat="1" ht="15" customHeight="1" x14ac:dyDescent="0.25"/>
    <row r="462" s="79" customFormat="1" ht="15" customHeight="1" x14ac:dyDescent="0.25"/>
    <row r="463" s="79" customFormat="1" ht="15" customHeight="1" x14ac:dyDescent="0.25"/>
    <row r="464" s="79" customFormat="1" ht="15" customHeight="1" x14ac:dyDescent="0.25"/>
    <row r="465" s="79" customFormat="1" ht="15" customHeight="1" x14ac:dyDescent="0.25"/>
    <row r="466" s="79" customFormat="1" ht="15" customHeight="1" x14ac:dyDescent="0.25"/>
    <row r="467" s="79" customFormat="1" ht="15" customHeight="1" x14ac:dyDescent="0.25"/>
    <row r="468" s="79" customFormat="1" ht="15" customHeight="1" x14ac:dyDescent="0.25"/>
    <row r="469" s="79" customFormat="1" ht="15" customHeight="1" x14ac:dyDescent="0.25"/>
    <row r="470" s="79" customFormat="1" ht="15" customHeight="1" x14ac:dyDescent="0.25"/>
    <row r="471" s="79" customFormat="1" ht="15" customHeight="1" x14ac:dyDescent="0.25"/>
    <row r="472" s="79" customFormat="1" ht="15" customHeight="1" x14ac:dyDescent="0.25"/>
    <row r="473" s="79" customFormat="1" ht="15" customHeight="1" x14ac:dyDescent="0.25"/>
    <row r="474" s="79" customFormat="1" ht="15" customHeight="1" x14ac:dyDescent="0.25"/>
    <row r="475" s="79" customFormat="1" ht="15" customHeight="1" x14ac:dyDescent="0.25"/>
    <row r="476" s="79" customFormat="1" ht="15" customHeight="1" x14ac:dyDescent="0.25"/>
    <row r="477" s="79" customFormat="1" ht="15" customHeight="1" x14ac:dyDescent="0.25"/>
    <row r="478" s="79" customFormat="1" ht="15" customHeight="1" x14ac:dyDescent="0.25"/>
    <row r="479" s="79" customFormat="1" ht="15" customHeight="1" x14ac:dyDescent="0.25"/>
    <row r="480" s="79" customFormat="1" ht="15" customHeight="1" x14ac:dyDescent="0.25"/>
    <row r="481" s="79" customFormat="1" ht="15" customHeight="1" x14ac:dyDescent="0.25"/>
    <row r="482" s="79" customFormat="1" ht="15" customHeight="1" x14ac:dyDescent="0.25"/>
    <row r="483" s="79" customFormat="1" ht="15" customHeight="1" x14ac:dyDescent="0.25"/>
    <row r="484" s="79" customFormat="1" ht="15" customHeight="1" x14ac:dyDescent="0.25"/>
    <row r="485" s="79" customFormat="1" ht="15" customHeight="1" x14ac:dyDescent="0.25"/>
    <row r="486" s="79" customFormat="1" ht="15" customHeight="1" x14ac:dyDescent="0.25"/>
    <row r="487" s="79" customFormat="1" ht="15" customHeight="1" x14ac:dyDescent="0.25"/>
    <row r="488" s="79" customFormat="1" ht="15" customHeight="1" x14ac:dyDescent="0.25"/>
    <row r="489" s="79" customFormat="1" ht="15" customHeight="1" x14ac:dyDescent="0.25"/>
    <row r="490" s="79" customFormat="1" ht="15" customHeight="1" x14ac:dyDescent="0.25"/>
    <row r="491" s="79" customFormat="1" ht="15" customHeight="1" x14ac:dyDescent="0.25"/>
    <row r="492" s="79" customFormat="1" ht="15" customHeight="1" x14ac:dyDescent="0.25"/>
    <row r="493" s="79" customFormat="1" ht="15" customHeight="1" x14ac:dyDescent="0.25"/>
    <row r="494" s="79" customFormat="1" ht="15" customHeight="1" x14ac:dyDescent="0.25"/>
    <row r="495" s="79" customFormat="1" ht="15" customHeight="1" x14ac:dyDescent="0.25"/>
    <row r="496" s="79" customFormat="1" ht="15" customHeight="1" x14ac:dyDescent="0.25"/>
    <row r="497" s="79" customFormat="1" ht="15" customHeight="1" x14ac:dyDescent="0.25"/>
    <row r="498" s="79" customFormat="1" ht="15" customHeight="1" x14ac:dyDescent="0.25"/>
    <row r="499" s="79" customFormat="1" ht="15" customHeight="1" x14ac:dyDescent="0.25"/>
    <row r="500" s="79" customFormat="1" ht="15" customHeight="1" x14ac:dyDescent="0.25"/>
    <row r="501" s="79" customFormat="1" ht="15" customHeight="1" x14ac:dyDescent="0.25"/>
    <row r="502" s="79" customFormat="1" ht="15" customHeight="1" x14ac:dyDescent="0.25"/>
    <row r="503" s="79" customFormat="1" ht="15" customHeight="1" x14ac:dyDescent="0.25"/>
    <row r="504" s="79" customFormat="1" ht="15" customHeight="1" x14ac:dyDescent="0.25"/>
    <row r="505" s="79" customFormat="1" ht="15" customHeight="1" x14ac:dyDescent="0.25"/>
    <row r="506" s="79" customFormat="1" ht="15" customHeight="1" x14ac:dyDescent="0.25"/>
    <row r="507" s="79" customFormat="1" ht="15" customHeight="1" x14ac:dyDescent="0.25"/>
    <row r="508" s="79" customFormat="1" ht="15" customHeight="1" x14ac:dyDescent="0.25"/>
    <row r="509" s="79" customFormat="1" ht="15" customHeight="1" x14ac:dyDescent="0.25"/>
    <row r="510" s="79" customFormat="1" ht="15" customHeight="1" x14ac:dyDescent="0.25"/>
    <row r="511" s="79" customFormat="1" ht="15" customHeight="1" x14ac:dyDescent="0.25"/>
    <row r="512" s="79" customFormat="1" ht="15" customHeight="1" x14ac:dyDescent="0.25"/>
    <row r="513" s="79" customFormat="1" ht="15" customHeight="1" x14ac:dyDescent="0.25"/>
    <row r="514" s="79" customFormat="1" ht="15" customHeight="1" x14ac:dyDescent="0.25"/>
    <row r="515" s="79" customFormat="1" ht="15" customHeight="1" x14ac:dyDescent="0.25"/>
    <row r="516" s="79" customFormat="1" ht="15" customHeight="1" x14ac:dyDescent="0.25"/>
    <row r="517" s="79" customFormat="1" ht="15" customHeight="1" x14ac:dyDescent="0.25"/>
    <row r="518" s="79" customFormat="1" ht="15" customHeight="1" x14ac:dyDescent="0.25"/>
    <row r="519" s="79" customFormat="1" ht="15" customHeight="1" x14ac:dyDescent="0.25"/>
    <row r="520" s="79" customFormat="1" ht="15" customHeight="1" x14ac:dyDescent="0.25"/>
    <row r="521" s="79" customFormat="1" ht="15" customHeight="1" x14ac:dyDescent="0.25"/>
    <row r="522" s="79" customFormat="1" ht="15" customHeight="1" x14ac:dyDescent="0.25"/>
    <row r="523" s="79" customFormat="1" ht="15" customHeight="1" x14ac:dyDescent="0.25"/>
    <row r="524" s="79" customFormat="1" ht="15" customHeight="1" x14ac:dyDescent="0.25"/>
    <row r="525" s="79" customFormat="1" ht="15" customHeight="1" x14ac:dyDescent="0.25"/>
    <row r="526" s="79" customFormat="1" ht="15" customHeight="1" x14ac:dyDescent="0.25"/>
    <row r="527" s="79" customFormat="1" ht="15" customHeight="1" x14ac:dyDescent="0.25"/>
    <row r="528" s="79" customFormat="1" ht="15" customHeight="1" x14ac:dyDescent="0.25"/>
    <row r="529" s="79" customFormat="1" ht="15" customHeight="1" x14ac:dyDescent="0.25"/>
    <row r="530" s="79" customFormat="1" ht="15" customHeight="1" x14ac:dyDescent="0.25"/>
    <row r="531" s="79" customFormat="1" ht="15" customHeight="1" x14ac:dyDescent="0.25"/>
    <row r="532" s="79" customFormat="1" ht="15" customHeight="1" x14ac:dyDescent="0.25"/>
    <row r="533" s="79" customFormat="1" ht="15" customHeight="1" x14ac:dyDescent="0.25"/>
    <row r="534" s="79" customFormat="1" ht="15" customHeight="1" x14ac:dyDescent="0.25"/>
    <row r="535" s="79" customFormat="1" ht="15" customHeight="1" x14ac:dyDescent="0.25"/>
    <row r="536" s="79" customFormat="1" ht="15" customHeight="1" x14ac:dyDescent="0.25"/>
    <row r="537" s="79" customFormat="1" ht="15" customHeight="1" x14ac:dyDescent="0.25"/>
    <row r="538" s="79" customFormat="1" ht="15" customHeight="1" x14ac:dyDescent="0.25"/>
    <row r="539" s="79" customFormat="1" ht="15" customHeight="1" x14ac:dyDescent="0.25"/>
    <row r="540" s="79" customFormat="1" ht="15" customHeight="1" x14ac:dyDescent="0.25"/>
    <row r="541" s="79" customFormat="1" ht="15" customHeight="1" x14ac:dyDescent="0.25"/>
    <row r="542" s="79" customFormat="1" ht="15" customHeight="1" x14ac:dyDescent="0.25"/>
    <row r="543" s="79" customFormat="1" ht="15" customHeight="1" x14ac:dyDescent="0.25"/>
    <row r="544" s="79" customFormat="1" ht="15" customHeight="1" x14ac:dyDescent="0.25"/>
    <row r="545" s="79" customFormat="1" ht="15" customHeight="1" x14ac:dyDescent="0.25"/>
    <row r="546" s="79" customFormat="1" ht="15" customHeight="1" x14ac:dyDescent="0.25"/>
    <row r="547" s="79" customFormat="1" ht="15" customHeight="1" x14ac:dyDescent="0.25"/>
    <row r="548" s="79" customFormat="1" ht="15" customHeight="1" x14ac:dyDescent="0.25"/>
    <row r="549" s="79" customFormat="1" ht="15" customHeight="1" x14ac:dyDescent="0.25"/>
    <row r="550" s="79" customFormat="1" ht="15" customHeight="1" x14ac:dyDescent="0.25"/>
    <row r="551" s="79" customFormat="1" ht="15" customHeight="1" x14ac:dyDescent="0.25"/>
    <row r="552" s="79" customFormat="1" ht="15" customHeight="1" x14ac:dyDescent="0.25"/>
    <row r="553" s="79" customFormat="1" ht="15" customHeight="1" x14ac:dyDescent="0.25"/>
    <row r="554" s="79" customFormat="1" ht="15" customHeight="1" x14ac:dyDescent="0.25"/>
    <row r="555" s="79" customFormat="1" ht="15" customHeight="1" x14ac:dyDescent="0.25"/>
    <row r="556" s="79" customFormat="1" ht="15" customHeight="1" x14ac:dyDescent="0.25"/>
    <row r="557" s="79" customFormat="1" ht="15" customHeight="1" x14ac:dyDescent="0.25"/>
    <row r="558" s="79" customFormat="1" ht="15" customHeight="1" x14ac:dyDescent="0.25"/>
    <row r="559" s="79" customFormat="1" ht="15" customHeight="1" x14ac:dyDescent="0.25"/>
    <row r="560" s="79" customFormat="1" ht="15" customHeight="1" x14ac:dyDescent="0.25"/>
    <row r="561" s="79" customFormat="1" ht="15" customHeight="1" x14ac:dyDescent="0.25"/>
    <row r="562" s="79" customFormat="1" ht="15" customHeight="1" x14ac:dyDescent="0.25"/>
    <row r="563" s="79" customFormat="1" ht="15" customHeight="1" x14ac:dyDescent="0.25"/>
    <row r="564" s="79" customFormat="1" ht="15" customHeight="1" x14ac:dyDescent="0.25"/>
    <row r="565" s="79" customFormat="1" ht="15" customHeight="1" x14ac:dyDescent="0.25"/>
    <row r="566" s="79" customFormat="1" ht="15" customHeight="1" x14ac:dyDescent="0.25"/>
    <row r="567" s="79" customFormat="1" ht="15" customHeight="1" x14ac:dyDescent="0.25"/>
    <row r="568" s="79" customFormat="1" ht="15" customHeight="1" x14ac:dyDescent="0.25"/>
    <row r="569" s="79" customFormat="1" ht="15" customHeight="1" x14ac:dyDescent="0.25"/>
    <row r="570" s="79" customFormat="1" ht="15" customHeight="1" x14ac:dyDescent="0.25"/>
    <row r="571" s="79" customFormat="1" ht="15" customHeight="1" x14ac:dyDescent="0.25"/>
    <row r="572" s="79" customFormat="1" ht="15" customHeight="1" x14ac:dyDescent="0.25"/>
    <row r="573" s="79" customFormat="1" ht="15" customHeight="1" x14ac:dyDescent="0.25"/>
    <row r="574" s="79" customFormat="1" ht="15" customHeight="1" x14ac:dyDescent="0.25"/>
    <row r="575" s="79" customFormat="1" ht="15" customHeight="1" x14ac:dyDescent="0.25"/>
    <row r="576" s="79" customFormat="1" ht="15" customHeight="1" x14ac:dyDescent="0.25"/>
    <row r="577" s="79" customFormat="1" ht="15" customHeight="1" x14ac:dyDescent="0.25"/>
    <row r="578" s="79" customFormat="1" ht="15" customHeight="1" x14ac:dyDescent="0.25"/>
    <row r="579" s="79" customFormat="1" ht="15" customHeight="1" x14ac:dyDescent="0.25"/>
    <row r="580" s="79" customFormat="1" ht="15" customHeight="1" x14ac:dyDescent="0.25"/>
    <row r="581" s="79" customFormat="1" ht="15" customHeight="1" x14ac:dyDescent="0.25"/>
    <row r="582" s="79" customFormat="1" ht="15" customHeight="1" x14ac:dyDescent="0.25"/>
    <row r="583" s="79" customFormat="1" ht="15" customHeight="1" x14ac:dyDescent="0.25"/>
    <row r="584" s="79" customFormat="1" ht="15" customHeight="1" x14ac:dyDescent="0.25"/>
    <row r="585" s="79" customFormat="1" ht="15" customHeight="1" x14ac:dyDescent="0.25"/>
    <row r="586" s="79" customFormat="1" ht="15" customHeight="1" x14ac:dyDescent="0.25"/>
    <row r="587" s="79" customFormat="1" ht="15" customHeight="1" x14ac:dyDescent="0.25"/>
    <row r="588" s="79" customFormat="1" ht="15" customHeight="1" x14ac:dyDescent="0.25"/>
    <row r="589" s="79" customFormat="1" ht="15" customHeight="1" x14ac:dyDescent="0.25"/>
    <row r="590" s="79" customFormat="1" ht="15" customHeight="1" x14ac:dyDescent="0.25"/>
    <row r="591" s="79" customFormat="1" ht="15" customHeight="1" x14ac:dyDescent="0.25"/>
    <row r="592" s="79" customFormat="1" ht="15" customHeight="1" x14ac:dyDescent="0.25"/>
    <row r="593" s="79" customFormat="1" ht="15" customHeight="1" x14ac:dyDescent="0.25"/>
    <row r="594" s="79" customFormat="1" ht="15" customHeight="1" x14ac:dyDescent="0.25"/>
    <row r="595" s="79" customFormat="1" ht="15" customHeight="1" x14ac:dyDescent="0.25"/>
    <row r="596" s="79" customFormat="1" ht="15" customHeight="1" x14ac:dyDescent="0.25"/>
    <row r="597" s="79" customFormat="1" ht="15" customHeight="1" x14ac:dyDescent="0.25"/>
    <row r="598" s="79" customFormat="1" ht="15" customHeight="1" x14ac:dyDescent="0.25"/>
    <row r="599" s="79" customFormat="1" ht="15" customHeight="1" x14ac:dyDescent="0.25"/>
    <row r="600" s="79" customFormat="1" ht="15" customHeight="1" x14ac:dyDescent="0.25"/>
    <row r="601" s="79" customFormat="1" ht="15" customHeight="1" x14ac:dyDescent="0.25"/>
    <row r="602" s="79" customFormat="1" ht="15" customHeight="1" x14ac:dyDescent="0.25"/>
    <row r="603" s="79" customFormat="1" ht="15" customHeight="1" x14ac:dyDescent="0.25"/>
    <row r="604" s="79" customFormat="1" ht="15" customHeight="1" x14ac:dyDescent="0.25"/>
    <row r="605" s="79" customFormat="1" ht="15" customHeight="1" x14ac:dyDescent="0.25"/>
    <row r="606" s="79" customFormat="1" ht="15" customHeight="1" x14ac:dyDescent="0.25"/>
    <row r="607" s="79" customFormat="1" ht="15" customHeight="1" x14ac:dyDescent="0.25"/>
    <row r="608" s="79" customFormat="1" ht="15" customHeight="1" x14ac:dyDescent="0.25"/>
    <row r="609" s="79" customFormat="1" ht="15" customHeight="1" x14ac:dyDescent="0.25"/>
    <row r="610" s="79" customFormat="1" ht="15" customHeight="1" x14ac:dyDescent="0.25"/>
    <row r="611" s="79" customFormat="1" ht="15" customHeight="1" x14ac:dyDescent="0.25"/>
    <row r="612" s="79" customFormat="1" ht="15" customHeight="1" x14ac:dyDescent="0.25"/>
    <row r="613" s="79" customFormat="1" ht="15" customHeight="1" x14ac:dyDescent="0.25"/>
    <row r="614" s="79" customFormat="1" ht="15" customHeight="1" x14ac:dyDescent="0.25"/>
    <row r="615" s="79" customFormat="1" ht="15" customHeight="1" x14ac:dyDescent="0.25"/>
    <row r="616" s="79" customFormat="1" ht="15" customHeight="1" x14ac:dyDescent="0.25"/>
    <row r="617" s="79" customFormat="1" ht="15" customHeight="1" x14ac:dyDescent="0.25"/>
    <row r="618" s="79" customFormat="1" ht="15" customHeight="1" x14ac:dyDescent="0.25"/>
    <row r="619" s="79" customFormat="1" ht="15" customHeight="1" x14ac:dyDescent="0.25"/>
    <row r="620" s="79" customFormat="1" ht="15" customHeight="1" x14ac:dyDescent="0.25"/>
    <row r="621" s="79" customFormat="1" ht="15" customHeight="1" x14ac:dyDescent="0.25"/>
    <row r="622" s="79" customFormat="1" ht="15" customHeight="1" x14ac:dyDescent="0.25"/>
    <row r="623" s="79" customFormat="1" ht="15" customHeight="1" x14ac:dyDescent="0.25"/>
    <row r="624" s="79" customFormat="1" ht="15" customHeight="1" x14ac:dyDescent="0.25"/>
    <row r="625" s="79" customFormat="1" ht="15" customHeight="1" x14ac:dyDescent="0.25"/>
    <row r="626" s="79" customFormat="1" ht="15" customHeight="1" x14ac:dyDescent="0.25"/>
    <row r="627" s="79" customFormat="1" ht="15" customHeight="1" x14ac:dyDescent="0.25"/>
    <row r="628" s="79" customFormat="1" ht="15" customHeight="1" x14ac:dyDescent="0.25"/>
    <row r="629" s="79" customFormat="1" ht="15" customHeight="1" x14ac:dyDescent="0.25"/>
    <row r="630" s="79" customFormat="1" ht="15" customHeight="1" x14ac:dyDescent="0.25"/>
    <row r="631" s="79" customFormat="1" ht="15" customHeight="1" x14ac:dyDescent="0.25"/>
    <row r="632" s="79" customFormat="1" ht="15" customHeight="1" x14ac:dyDescent="0.25"/>
    <row r="633" s="79" customFormat="1" ht="15" customHeight="1" x14ac:dyDescent="0.25"/>
    <row r="634" s="79" customFormat="1" ht="15" customHeight="1" x14ac:dyDescent="0.25"/>
    <row r="635" s="79" customFormat="1" ht="15" customHeight="1" x14ac:dyDescent="0.25"/>
    <row r="636" s="79" customFormat="1" ht="15" customHeight="1" x14ac:dyDescent="0.25"/>
    <row r="637" s="79" customFormat="1" ht="15" customHeight="1" x14ac:dyDescent="0.25"/>
    <row r="638" s="79" customFormat="1" ht="15" customHeight="1" x14ac:dyDescent="0.25"/>
    <row r="639" s="79" customFormat="1" ht="15" customHeight="1" x14ac:dyDescent="0.25"/>
    <row r="640" s="79" customFormat="1" ht="15" customHeight="1" x14ac:dyDescent="0.25"/>
    <row r="641" s="79" customFormat="1" ht="15" customHeight="1" x14ac:dyDescent="0.25"/>
    <row r="642" s="79" customFormat="1" ht="15" customHeight="1" x14ac:dyDescent="0.25"/>
    <row r="643" s="79" customFormat="1" ht="15" customHeight="1" x14ac:dyDescent="0.25"/>
    <row r="644" s="79" customFormat="1" ht="15" customHeight="1" x14ac:dyDescent="0.25"/>
    <row r="645" s="79" customFormat="1" ht="15" customHeight="1" x14ac:dyDescent="0.25"/>
    <row r="646" s="79" customFormat="1" ht="15" customHeight="1" x14ac:dyDescent="0.25"/>
    <row r="647" s="79" customFormat="1" ht="15" customHeight="1" x14ac:dyDescent="0.25"/>
    <row r="648" s="79" customFormat="1" ht="15" customHeight="1" x14ac:dyDescent="0.25"/>
    <row r="649" s="79" customFormat="1" ht="15" customHeight="1" x14ac:dyDescent="0.25"/>
    <row r="650" s="79" customFormat="1" ht="15" customHeight="1" x14ac:dyDescent="0.25"/>
    <row r="651" s="79" customFormat="1" ht="15" customHeight="1" x14ac:dyDescent="0.25"/>
    <row r="652" s="79" customFormat="1" ht="15" customHeight="1" x14ac:dyDescent="0.25"/>
    <row r="653" s="79" customFormat="1" ht="15" customHeight="1" x14ac:dyDescent="0.25"/>
    <row r="654" s="79" customFormat="1" ht="15" customHeight="1" x14ac:dyDescent="0.25"/>
    <row r="655" s="79" customFormat="1" ht="15" customHeight="1" x14ac:dyDescent="0.25"/>
    <row r="656" s="79" customFormat="1" ht="15" customHeight="1" x14ac:dyDescent="0.25"/>
    <row r="657" s="79" customFormat="1" ht="15" customHeight="1" x14ac:dyDescent="0.25"/>
    <row r="658" s="79" customFormat="1" ht="15" customHeight="1" x14ac:dyDescent="0.25"/>
    <row r="659" s="79" customFormat="1" ht="15" customHeight="1" x14ac:dyDescent="0.25"/>
    <row r="660" s="79" customFormat="1" ht="15" customHeight="1" x14ac:dyDescent="0.25"/>
    <row r="661" s="79" customFormat="1" ht="15" customHeight="1" x14ac:dyDescent="0.25"/>
    <row r="662" s="79" customFormat="1" ht="15" customHeight="1" x14ac:dyDescent="0.25"/>
    <row r="663" s="79" customFormat="1" ht="15" customHeight="1" x14ac:dyDescent="0.25"/>
    <row r="664" s="79" customFormat="1" ht="15" customHeight="1" x14ac:dyDescent="0.25"/>
    <row r="665" s="79" customFormat="1" ht="15" customHeight="1" x14ac:dyDescent="0.25"/>
    <row r="666" s="79" customFormat="1" ht="15" customHeight="1" x14ac:dyDescent="0.25"/>
    <row r="667" s="79" customFormat="1" ht="15" customHeight="1" x14ac:dyDescent="0.25"/>
    <row r="668" s="79" customFormat="1" ht="15" customHeight="1" x14ac:dyDescent="0.25"/>
    <row r="669" s="79" customFormat="1" ht="15" customHeight="1" x14ac:dyDescent="0.25"/>
    <row r="670" s="79" customFormat="1" ht="15" customHeight="1" x14ac:dyDescent="0.25"/>
    <row r="671" s="79" customFormat="1" ht="15" customHeight="1" x14ac:dyDescent="0.25"/>
    <row r="672" s="79" customFormat="1" ht="15" customHeight="1" x14ac:dyDescent="0.25"/>
    <row r="673" s="79" customFormat="1" ht="15" customHeight="1" x14ac:dyDescent="0.25"/>
    <row r="674" s="79" customFormat="1" ht="15" customHeight="1" x14ac:dyDescent="0.25"/>
    <row r="675" s="79" customFormat="1" ht="15" customHeight="1" x14ac:dyDescent="0.25"/>
    <row r="676" s="79" customFormat="1" ht="15" customHeight="1" x14ac:dyDescent="0.25"/>
    <row r="677" s="79" customFormat="1" ht="15" customHeight="1" x14ac:dyDescent="0.25"/>
    <row r="678" s="79" customFormat="1" ht="15" customHeight="1" x14ac:dyDescent="0.25"/>
    <row r="679" s="79" customFormat="1" ht="15" customHeight="1" x14ac:dyDescent="0.25"/>
    <row r="680" s="79" customFormat="1" ht="15" customHeight="1" x14ac:dyDescent="0.25"/>
    <row r="681" s="79" customFormat="1" ht="15" customHeight="1" x14ac:dyDescent="0.25"/>
    <row r="682" s="79" customFormat="1" ht="15" customHeight="1" x14ac:dyDescent="0.25"/>
    <row r="683" s="79" customFormat="1" ht="15" customHeight="1" x14ac:dyDescent="0.25"/>
    <row r="684" s="79" customFormat="1" ht="15" customHeight="1" x14ac:dyDescent="0.25"/>
    <row r="685" s="79" customFormat="1" ht="15" customHeight="1" x14ac:dyDescent="0.25"/>
    <row r="686" s="79" customFormat="1" ht="15" customHeight="1" x14ac:dyDescent="0.25"/>
    <row r="687" s="79" customFormat="1" ht="15" customHeight="1" x14ac:dyDescent="0.25"/>
    <row r="688" s="79" customFormat="1" ht="15" customHeight="1" x14ac:dyDescent="0.25"/>
    <row r="689" s="79" customFormat="1" ht="15" customHeight="1" x14ac:dyDescent="0.25"/>
    <row r="690" s="79" customFormat="1" ht="15" customHeight="1" x14ac:dyDescent="0.25"/>
    <row r="691" s="79" customFormat="1" ht="15" customHeight="1" x14ac:dyDescent="0.25"/>
    <row r="692" s="79" customFormat="1" ht="15" customHeight="1" x14ac:dyDescent="0.25"/>
    <row r="693" s="79" customFormat="1" ht="15" customHeight="1" x14ac:dyDescent="0.25"/>
    <row r="694" s="79" customFormat="1" ht="15" customHeight="1" x14ac:dyDescent="0.25"/>
    <row r="695" s="79" customFormat="1" ht="15" customHeight="1" x14ac:dyDescent="0.25"/>
    <row r="696" s="79" customFormat="1" ht="15" customHeight="1" x14ac:dyDescent="0.25"/>
    <row r="697" s="79" customFormat="1" ht="15" customHeight="1" x14ac:dyDescent="0.25"/>
    <row r="698" s="79" customFormat="1" ht="15" customHeight="1" x14ac:dyDescent="0.25"/>
    <row r="699" s="79" customFormat="1" ht="15" customHeight="1" x14ac:dyDescent="0.25"/>
    <row r="700" s="79" customFormat="1" ht="15" customHeight="1" x14ac:dyDescent="0.25"/>
    <row r="701" s="79" customFormat="1" ht="15" customHeight="1" x14ac:dyDescent="0.25"/>
    <row r="702" s="79" customFormat="1" ht="15" customHeight="1" x14ac:dyDescent="0.25"/>
    <row r="703" s="79" customFormat="1" ht="15" customHeight="1" x14ac:dyDescent="0.25"/>
    <row r="704" s="79" customFormat="1" ht="15" customHeight="1" x14ac:dyDescent="0.25"/>
    <row r="705" s="79" customFormat="1" ht="15" customHeight="1" x14ac:dyDescent="0.25"/>
    <row r="706" s="79" customFormat="1" ht="15" customHeight="1" x14ac:dyDescent="0.25"/>
    <row r="707" s="79" customFormat="1" ht="15" customHeight="1" x14ac:dyDescent="0.25"/>
    <row r="708" s="79" customFormat="1" ht="15" customHeight="1" x14ac:dyDescent="0.25"/>
    <row r="709" s="79" customFormat="1" ht="15" customHeight="1" x14ac:dyDescent="0.25"/>
    <row r="710" s="79" customFormat="1" ht="15" customHeight="1" x14ac:dyDescent="0.25"/>
    <row r="711" s="79" customFormat="1" ht="15" customHeight="1" x14ac:dyDescent="0.25"/>
    <row r="712" s="79" customFormat="1" ht="15" customHeight="1" x14ac:dyDescent="0.25"/>
    <row r="713" s="79" customFormat="1" ht="15" customHeight="1" x14ac:dyDescent="0.25"/>
    <row r="714" s="79" customFormat="1" ht="15" customHeight="1" x14ac:dyDescent="0.25"/>
    <row r="715" s="79" customFormat="1" ht="15" customHeight="1" x14ac:dyDescent="0.25"/>
    <row r="716" s="79" customFormat="1" ht="15" customHeight="1" x14ac:dyDescent="0.25"/>
    <row r="717" s="79" customFormat="1" ht="15" customHeight="1" x14ac:dyDescent="0.25"/>
    <row r="718" s="79" customFormat="1" ht="15" customHeight="1" x14ac:dyDescent="0.25"/>
    <row r="719" s="79" customFormat="1" ht="15" customHeight="1" x14ac:dyDescent="0.25"/>
    <row r="720" s="79" customFormat="1" ht="15" customHeight="1" x14ac:dyDescent="0.25"/>
    <row r="721" s="79" customFormat="1" ht="15" customHeight="1" x14ac:dyDescent="0.25"/>
    <row r="722" s="79" customFormat="1" ht="15" customHeight="1" x14ac:dyDescent="0.25"/>
    <row r="723" s="79" customFormat="1" ht="15" customHeight="1" x14ac:dyDescent="0.25"/>
    <row r="724" s="79" customFormat="1" ht="15" customHeight="1" x14ac:dyDescent="0.25"/>
    <row r="725" s="79" customFormat="1" ht="15" customHeight="1" x14ac:dyDescent="0.25"/>
    <row r="726" s="79" customFormat="1" ht="15" customHeight="1" x14ac:dyDescent="0.25"/>
    <row r="727" s="79" customFormat="1" ht="15" customHeight="1" x14ac:dyDescent="0.25"/>
    <row r="728" s="79" customFormat="1" ht="15" customHeight="1" x14ac:dyDescent="0.25"/>
    <row r="729" s="79" customFormat="1" ht="15" customHeight="1" x14ac:dyDescent="0.25"/>
    <row r="730" s="79" customFormat="1" ht="15" customHeight="1" x14ac:dyDescent="0.25"/>
    <row r="731" s="79" customFormat="1" ht="15" customHeight="1" x14ac:dyDescent="0.25"/>
    <row r="732" s="79" customFormat="1" ht="15" customHeight="1" x14ac:dyDescent="0.25"/>
    <row r="733" s="79" customFormat="1" ht="15" customHeight="1" x14ac:dyDescent="0.25"/>
    <row r="734" s="79" customFormat="1" ht="15" customHeight="1" x14ac:dyDescent="0.25"/>
    <row r="735" s="79" customFormat="1" ht="15" customHeight="1" x14ac:dyDescent="0.25"/>
    <row r="736" s="79" customFormat="1" ht="15" customHeight="1" x14ac:dyDescent="0.25"/>
    <row r="737" s="79" customFormat="1" ht="15" customHeight="1" x14ac:dyDescent="0.25"/>
    <row r="738" s="79" customFormat="1" ht="15" customHeight="1" x14ac:dyDescent="0.25"/>
    <row r="739" s="79" customFormat="1" ht="15" customHeight="1" x14ac:dyDescent="0.25"/>
    <row r="740" s="79" customFormat="1" ht="15" customHeight="1" x14ac:dyDescent="0.25"/>
    <row r="741" s="79" customFormat="1" ht="15" customHeight="1" x14ac:dyDescent="0.25"/>
    <row r="742" s="79" customFormat="1" ht="15" customHeight="1" x14ac:dyDescent="0.25"/>
    <row r="743" s="79" customFormat="1" ht="15" customHeight="1" x14ac:dyDescent="0.25"/>
    <row r="744" s="79" customFormat="1" ht="15" customHeight="1" x14ac:dyDescent="0.25"/>
    <row r="745" s="79" customFormat="1" ht="15" customHeight="1" x14ac:dyDescent="0.25"/>
    <row r="746" s="79" customFormat="1" ht="15" customHeight="1" x14ac:dyDescent="0.25"/>
    <row r="747" s="79" customFormat="1" ht="15" customHeight="1" x14ac:dyDescent="0.25"/>
    <row r="748" s="79" customFormat="1" ht="15" customHeight="1" x14ac:dyDescent="0.25"/>
    <row r="749" s="79" customFormat="1" ht="15" customHeight="1" x14ac:dyDescent="0.25"/>
    <row r="750" s="79" customFormat="1" ht="15" customHeight="1" x14ac:dyDescent="0.25"/>
    <row r="751" s="79" customFormat="1" ht="15" customHeight="1" x14ac:dyDescent="0.25"/>
    <row r="752" s="79" customFormat="1" ht="15" customHeight="1" x14ac:dyDescent="0.25"/>
    <row r="753" s="79" customFormat="1" ht="15" customHeight="1" x14ac:dyDescent="0.25"/>
    <row r="754" s="79" customFormat="1" ht="15" customHeight="1" x14ac:dyDescent="0.25"/>
    <row r="755" s="79" customFormat="1" ht="15" customHeight="1" x14ac:dyDescent="0.25"/>
    <row r="756" s="79" customFormat="1" ht="15" customHeight="1" x14ac:dyDescent="0.25"/>
    <row r="757" s="79" customFormat="1" ht="15" customHeight="1" x14ac:dyDescent="0.25"/>
    <row r="758" s="79" customFormat="1" ht="15" customHeight="1" x14ac:dyDescent="0.25"/>
    <row r="759" s="79" customFormat="1" ht="15" customHeight="1" x14ac:dyDescent="0.25"/>
    <row r="760" s="79" customFormat="1" ht="15" customHeight="1" x14ac:dyDescent="0.25"/>
    <row r="761" s="79" customFormat="1" ht="15" customHeight="1" x14ac:dyDescent="0.25"/>
    <row r="762" s="79" customFormat="1" ht="15" customHeight="1" x14ac:dyDescent="0.25"/>
    <row r="763" s="79" customFormat="1" ht="15" customHeight="1" x14ac:dyDescent="0.25"/>
    <row r="764" s="79" customFormat="1" ht="15" customHeight="1" x14ac:dyDescent="0.25"/>
    <row r="765" s="79" customFormat="1" ht="15" customHeight="1" x14ac:dyDescent="0.25"/>
    <row r="766" s="79" customFormat="1" ht="15" customHeight="1" x14ac:dyDescent="0.25"/>
    <row r="767" s="79" customFormat="1" ht="15" customHeight="1" x14ac:dyDescent="0.25"/>
    <row r="768" s="79" customFormat="1" ht="15" customHeight="1" x14ac:dyDescent="0.25"/>
    <row r="769" s="79" customFormat="1" ht="15" customHeight="1" x14ac:dyDescent="0.25"/>
    <row r="770" s="79" customFormat="1" ht="15" customHeight="1" x14ac:dyDescent="0.25"/>
    <row r="771" s="79" customFormat="1" ht="15" customHeight="1" x14ac:dyDescent="0.25"/>
    <row r="772" s="79" customFormat="1" ht="15" customHeight="1" x14ac:dyDescent="0.25"/>
    <row r="773" s="79" customFormat="1" ht="15" customHeight="1" x14ac:dyDescent="0.25"/>
    <row r="774" s="79" customFormat="1" ht="15" customHeight="1" x14ac:dyDescent="0.25"/>
    <row r="775" s="79" customFormat="1" ht="15" customHeight="1" x14ac:dyDescent="0.25"/>
    <row r="776" s="79" customFormat="1" ht="15" customHeight="1" x14ac:dyDescent="0.25"/>
    <row r="777" s="79" customFormat="1" ht="15" customHeight="1" x14ac:dyDescent="0.25"/>
    <row r="778" s="79" customFormat="1" ht="15" customHeight="1" x14ac:dyDescent="0.25"/>
    <row r="779" s="79" customFormat="1" ht="15" customHeight="1" x14ac:dyDescent="0.25"/>
    <row r="780" s="79" customFormat="1" ht="15" customHeight="1" x14ac:dyDescent="0.25"/>
    <row r="781" s="79" customFormat="1" ht="15" customHeight="1" x14ac:dyDescent="0.25"/>
    <row r="782" s="79" customFormat="1" ht="15" customHeight="1" x14ac:dyDescent="0.25"/>
    <row r="783" s="79" customFormat="1" ht="15" customHeight="1" x14ac:dyDescent="0.25"/>
    <row r="784" s="79" customFormat="1" ht="15" customHeight="1" x14ac:dyDescent="0.25"/>
    <row r="785" s="79" customFormat="1" ht="15" customHeight="1" x14ac:dyDescent="0.25"/>
    <row r="786" s="79" customFormat="1" ht="15" customHeight="1" x14ac:dyDescent="0.25"/>
    <row r="787" s="79" customFormat="1" ht="15" customHeight="1" x14ac:dyDescent="0.25"/>
    <row r="788" s="79" customFormat="1" ht="15" customHeight="1" x14ac:dyDescent="0.25"/>
    <row r="789" s="79" customFormat="1" ht="15" customHeight="1" x14ac:dyDescent="0.25"/>
    <row r="790" s="79" customFormat="1" ht="15" customHeight="1" x14ac:dyDescent="0.25"/>
    <row r="791" s="79" customFormat="1" ht="15" customHeight="1" x14ac:dyDescent="0.25"/>
    <row r="792" s="79" customFormat="1" ht="15" customHeight="1" x14ac:dyDescent="0.25"/>
    <row r="793" s="79" customFormat="1" ht="15" customHeight="1" x14ac:dyDescent="0.25"/>
    <row r="794" s="79" customFormat="1" ht="15" customHeight="1" x14ac:dyDescent="0.25"/>
    <row r="795" s="79" customFormat="1" ht="15" customHeight="1" x14ac:dyDescent="0.25"/>
    <row r="796" s="79" customFormat="1" ht="15" customHeight="1" x14ac:dyDescent="0.25"/>
    <row r="797" s="79" customFormat="1" ht="15" customHeight="1" x14ac:dyDescent="0.25"/>
    <row r="798" s="79" customFormat="1" ht="15" customHeight="1" x14ac:dyDescent="0.25"/>
    <row r="799" s="79" customFormat="1" ht="15" customHeight="1" x14ac:dyDescent="0.25"/>
    <row r="800" s="79" customFormat="1" ht="15" customHeight="1" x14ac:dyDescent="0.25"/>
    <row r="801" s="79" customFormat="1" ht="15" customHeight="1" x14ac:dyDescent="0.25"/>
    <row r="802" s="79" customFormat="1" ht="15" customHeight="1" x14ac:dyDescent="0.25"/>
    <row r="803" s="79" customFormat="1" ht="15" customHeight="1" x14ac:dyDescent="0.25"/>
    <row r="804" s="79" customFormat="1" ht="15" customHeight="1" x14ac:dyDescent="0.25"/>
    <row r="805" s="79" customFormat="1" ht="15" customHeight="1" x14ac:dyDescent="0.25"/>
    <row r="806" s="79" customFormat="1" ht="15" customHeight="1" x14ac:dyDescent="0.25"/>
    <row r="807" s="79" customFormat="1" ht="15" customHeight="1" x14ac:dyDescent="0.25"/>
    <row r="808" s="79" customFormat="1" ht="15" customHeight="1" x14ac:dyDescent="0.25"/>
    <row r="809" s="79" customFormat="1" ht="15" customHeight="1" x14ac:dyDescent="0.25"/>
    <row r="810" s="79" customFormat="1" ht="15" customHeight="1" x14ac:dyDescent="0.25"/>
    <row r="811" s="79" customFormat="1" ht="15" customHeight="1" x14ac:dyDescent="0.25"/>
    <row r="812" s="79" customFormat="1" ht="15" customHeight="1" x14ac:dyDescent="0.25"/>
    <row r="813" s="79" customFormat="1" ht="15" customHeight="1" x14ac:dyDescent="0.25"/>
    <row r="814" s="79" customFormat="1" ht="15" customHeight="1" x14ac:dyDescent="0.25"/>
    <row r="815" s="79" customFormat="1" ht="15" customHeight="1" x14ac:dyDescent="0.25"/>
    <row r="816" s="79" customFormat="1" ht="15" customHeight="1" x14ac:dyDescent="0.25"/>
    <row r="817" s="79" customFormat="1" ht="15" customHeight="1" x14ac:dyDescent="0.25"/>
    <row r="818" s="79" customFormat="1" ht="15" customHeight="1" x14ac:dyDescent="0.25"/>
    <row r="819" s="79" customFormat="1" ht="15" customHeight="1" x14ac:dyDescent="0.25"/>
    <row r="820" s="79" customFormat="1" ht="15" customHeight="1" x14ac:dyDescent="0.25"/>
    <row r="821" s="79" customFormat="1" ht="15" customHeight="1" x14ac:dyDescent="0.25"/>
    <row r="822" s="79" customFormat="1" ht="15" customHeight="1" x14ac:dyDescent="0.25"/>
    <row r="823" s="79" customFormat="1" ht="15" customHeight="1" x14ac:dyDescent="0.25"/>
    <row r="824" s="79" customFormat="1" ht="15" customHeight="1" x14ac:dyDescent="0.25"/>
    <row r="825" s="79" customFormat="1" ht="15" customHeight="1" x14ac:dyDescent="0.25"/>
    <row r="826" s="79" customFormat="1" ht="15" customHeight="1" x14ac:dyDescent="0.25"/>
    <row r="827" s="79" customFormat="1" ht="15" customHeight="1" x14ac:dyDescent="0.25"/>
    <row r="828" s="79" customFormat="1" ht="15" customHeight="1" x14ac:dyDescent="0.25"/>
    <row r="829" s="79" customFormat="1" ht="15" customHeight="1" x14ac:dyDescent="0.25"/>
    <row r="830" s="79" customFormat="1" ht="15" customHeight="1" x14ac:dyDescent="0.25"/>
    <row r="831" s="79" customFormat="1" ht="15" customHeight="1" x14ac:dyDescent="0.25"/>
    <row r="832" s="79" customFormat="1" ht="15" customHeight="1" x14ac:dyDescent="0.25"/>
    <row r="833" s="79" customFormat="1" ht="15" customHeight="1" x14ac:dyDescent="0.25"/>
    <row r="834" s="79" customFormat="1" ht="15" customHeight="1" x14ac:dyDescent="0.25"/>
    <row r="835" s="79" customFormat="1" ht="15" customHeight="1" x14ac:dyDescent="0.25"/>
    <row r="836" s="79" customFormat="1" ht="15" customHeight="1" x14ac:dyDescent="0.25"/>
    <row r="837" s="79" customFormat="1" ht="15" customHeight="1" x14ac:dyDescent="0.25"/>
    <row r="838" s="79" customFormat="1" ht="15" customHeight="1" x14ac:dyDescent="0.25"/>
    <row r="839" s="79" customFormat="1" ht="15" customHeight="1" x14ac:dyDescent="0.25"/>
    <row r="840" s="79" customFormat="1" ht="15" customHeight="1" x14ac:dyDescent="0.25"/>
    <row r="841" s="79" customFormat="1" ht="15" customHeight="1" x14ac:dyDescent="0.25"/>
    <row r="842" s="79" customFormat="1" ht="15" customHeight="1" x14ac:dyDescent="0.25"/>
    <row r="843" s="79" customFormat="1" ht="15" customHeight="1" x14ac:dyDescent="0.25"/>
    <row r="844" s="79" customFormat="1" ht="15" customHeight="1" x14ac:dyDescent="0.25"/>
    <row r="845" s="79" customFormat="1" ht="15" customHeight="1" x14ac:dyDescent="0.25"/>
    <row r="846" s="79" customFormat="1" ht="15" customHeight="1" x14ac:dyDescent="0.25"/>
    <row r="847" s="79" customFormat="1" ht="15" customHeight="1" x14ac:dyDescent="0.25"/>
    <row r="848" s="79" customFormat="1" ht="15" customHeight="1" x14ac:dyDescent="0.25"/>
    <row r="849" s="79" customFormat="1" ht="15" customHeight="1" x14ac:dyDescent="0.25"/>
    <row r="850" s="79" customFormat="1" ht="15" customHeight="1" x14ac:dyDescent="0.25"/>
    <row r="851" s="79" customFormat="1" ht="15" customHeight="1" x14ac:dyDescent="0.25"/>
    <row r="852" s="79" customFormat="1" ht="15" customHeight="1" x14ac:dyDescent="0.25"/>
    <row r="853" s="79" customFormat="1" ht="15" customHeight="1" x14ac:dyDescent="0.25"/>
    <row r="854" s="79" customFormat="1" ht="15" customHeight="1" x14ac:dyDescent="0.25"/>
    <row r="855" s="79" customFormat="1" ht="15" customHeight="1" x14ac:dyDescent="0.25"/>
    <row r="856" s="79" customFormat="1" ht="15" customHeight="1" x14ac:dyDescent="0.25"/>
    <row r="857" s="79" customFormat="1" ht="15" customHeight="1" x14ac:dyDescent="0.25"/>
    <row r="858" s="79" customFormat="1" ht="15" customHeight="1" x14ac:dyDescent="0.25"/>
    <row r="859" s="79" customFormat="1" ht="15" customHeight="1" x14ac:dyDescent="0.25"/>
    <row r="860" s="79" customFormat="1" ht="15" customHeight="1" x14ac:dyDescent="0.25"/>
    <row r="861" s="79" customFormat="1" ht="15" customHeight="1" x14ac:dyDescent="0.25"/>
    <row r="862" s="79" customFormat="1" ht="15" customHeight="1" x14ac:dyDescent="0.25"/>
    <row r="863" s="79" customFormat="1" ht="15" customHeight="1" x14ac:dyDescent="0.25"/>
    <row r="864" s="79" customFormat="1" ht="15" customHeight="1" x14ac:dyDescent="0.25"/>
    <row r="865" s="79" customFormat="1" ht="15" customHeight="1" x14ac:dyDescent="0.25"/>
    <row r="866" s="79" customFormat="1" ht="15" customHeight="1" x14ac:dyDescent="0.25"/>
    <row r="867" s="79" customFormat="1" ht="15" customHeight="1" x14ac:dyDescent="0.25"/>
    <row r="868" s="79" customFormat="1" ht="15" customHeight="1" x14ac:dyDescent="0.25"/>
    <row r="869" s="79" customFormat="1" ht="15" customHeight="1" x14ac:dyDescent="0.25"/>
    <row r="870" s="79" customFormat="1" ht="15" customHeight="1" x14ac:dyDescent="0.25"/>
    <row r="871" s="79" customFormat="1" ht="15" customHeight="1" x14ac:dyDescent="0.25"/>
    <row r="872" s="79" customFormat="1" ht="15" customHeight="1" x14ac:dyDescent="0.25"/>
    <row r="873" s="79" customFormat="1" ht="15" customHeight="1" x14ac:dyDescent="0.25"/>
    <row r="874" s="79" customFormat="1" ht="15" customHeight="1" x14ac:dyDescent="0.25"/>
    <row r="875" s="79" customFormat="1" ht="15" customHeight="1" x14ac:dyDescent="0.25"/>
    <row r="876" s="79" customFormat="1" ht="15" customHeight="1" x14ac:dyDescent="0.25"/>
    <row r="877" s="79" customFormat="1" ht="15" customHeight="1" x14ac:dyDescent="0.25"/>
    <row r="878" s="79" customFormat="1" ht="15" customHeight="1" x14ac:dyDescent="0.25"/>
    <row r="879" s="79" customFormat="1" ht="15" customHeight="1" x14ac:dyDescent="0.25"/>
    <row r="880" s="79" customFormat="1" ht="15" customHeight="1" x14ac:dyDescent="0.25"/>
    <row r="881" s="79" customFormat="1" ht="15" customHeight="1" x14ac:dyDescent="0.25"/>
    <row r="882" s="79" customFormat="1" ht="15" customHeight="1" x14ac:dyDescent="0.25"/>
    <row r="883" s="79" customFormat="1" ht="15" customHeight="1" x14ac:dyDescent="0.25"/>
    <row r="884" s="79" customFormat="1" ht="15" customHeight="1" x14ac:dyDescent="0.25"/>
    <row r="885" s="79" customFormat="1" ht="15" customHeight="1" x14ac:dyDescent="0.25"/>
    <row r="886" s="79" customFormat="1" ht="15" customHeight="1" x14ac:dyDescent="0.25"/>
    <row r="887" s="79" customFormat="1" ht="15" customHeight="1" x14ac:dyDescent="0.25"/>
    <row r="888" s="79" customFormat="1" ht="15" customHeight="1" x14ac:dyDescent="0.25"/>
    <row r="889" s="79" customFormat="1" ht="15" customHeight="1" x14ac:dyDescent="0.25"/>
    <row r="890" s="79" customFormat="1" ht="15" customHeight="1" x14ac:dyDescent="0.25"/>
    <row r="891" s="79" customFormat="1" ht="15" customHeight="1" x14ac:dyDescent="0.25"/>
    <row r="892" s="79" customFormat="1" ht="15" customHeight="1" x14ac:dyDescent="0.25"/>
    <row r="893" s="79" customFormat="1" ht="15" customHeight="1" x14ac:dyDescent="0.25"/>
    <row r="894" s="79" customFormat="1" ht="15" customHeight="1" x14ac:dyDescent="0.25"/>
    <row r="895" s="79" customFormat="1" ht="15" customHeight="1" x14ac:dyDescent="0.25"/>
    <row r="896" s="79" customFormat="1" ht="15" customHeight="1" x14ac:dyDescent="0.25"/>
    <row r="897" s="79" customFormat="1" ht="15" customHeight="1" x14ac:dyDescent="0.25"/>
    <row r="898" s="79" customFormat="1" ht="15" customHeight="1" x14ac:dyDescent="0.25"/>
    <row r="899" s="79" customFormat="1" ht="15" customHeight="1" x14ac:dyDescent="0.25"/>
    <row r="900" s="79" customFormat="1" ht="15" customHeight="1" x14ac:dyDescent="0.25"/>
    <row r="901" s="79" customFormat="1" ht="15" customHeight="1" x14ac:dyDescent="0.25"/>
    <row r="902" s="79" customFormat="1" ht="15" customHeight="1" x14ac:dyDescent="0.25"/>
    <row r="903" s="79" customFormat="1" ht="15" customHeight="1" x14ac:dyDescent="0.25"/>
    <row r="904" s="79" customFormat="1" ht="15" customHeight="1" x14ac:dyDescent="0.25"/>
    <row r="905" s="79" customFormat="1" ht="15" customHeight="1" x14ac:dyDescent="0.25"/>
    <row r="906" s="79" customFormat="1" ht="15" customHeight="1" x14ac:dyDescent="0.25"/>
    <row r="907" s="79" customFormat="1" ht="15" customHeight="1" x14ac:dyDescent="0.25"/>
    <row r="908" s="79" customFormat="1" ht="15" customHeight="1" x14ac:dyDescent="0.25"/>
    <row r="909" s="79" customFormat="1" ht="15" customHeight="1" x14ac:dyDescent="0.25"/>
    <row r="910" s="79" customFormat="1" ht="15" customHeight="1" x14ac:dyDescent="0.25"/>
    <row r="911" s="79" customFormat="1" ht="15" customHeight="1" x14ac:dyDescent="0.25"/>
    <row r="912" s="79" customFormat="1" ht="15" customHeight="1" x14ac:dyDescent="0.25"/>
    <row r="913" s="79" customFormat="1" ht="15" customHeight="1" x14ac:dyDescent="0.25"/>
    <row r="914" s="79" customFormat="1" ht="15" customHeight="1" x14ac:dyDescent="0.25"/>
    <row r="915" s="79" customFormat="1" ht="15" customHeight="1" x14ac:dyDescent="0.25"/>
    <row r="916" s="79" customFormat="1" ht="15" customHeight="1" x14ac:dyDescent="0.25"/>
    <row r="917" s="79" customFormat="1" ht="15" customHeight="1" x14ac:dyDescent="0.25"/>
    <row r="918" s="79" customFormat="1" ht="15" customHeight="1" x14ac:dyDescent="0.25"/>
    <row r="919" s="79" customFormat="1" ht="15" customHeight="1" x14ac:dyDescent="0.25"/>
    <row r="920" s="79" customFormat="1" ht="15" customHeight="1" x14ac:dyDescent="0.25"/>
    <row r="921" s="79" customFormat="1" ht="15" customHeight="1" x14ac:dyDescent="0.25"/>
    <row r="922" s="79" customFormat="1" ht="15" customHeight="1" x14ac:dyDescent="0.25"/>
    <row r="923" s="79" customFormat="1" ht="15" customHeight="1" x14ac:dyDescent="0.25"/>
    <row r="924" s="79" customFormat="1" ht="15" customHeight="1" x14ac:dyDescent="0.25"/>
    <row r="925" s="79" customFormat="1" ht="15" customHeight="1" x14ac:dyDescent="0.25"/>
    <row r="926" s="79" customFormat="1" ht="15" customHeight="1" x14ac:dyDescent="0.25"/>
    <row r="927" s="79" customFormat="1" ht="15" customHeight="1" x14ac:dyDescent="0.25"/>
    <row r="928" s="79" customFormat="1" ht="15" customHeight="1" x14ac:dyDescent="0.25"/>
    <row r="929" s="79" customFormat="1" ht="15" customHeight="1" x14ac:dyDescent="0.25"/>
    <row r="930" s="79" customFormat="1" ht="15" customHeight="1" x14ac:dyDescent="0.25"/>
    <row r="931" s="79" customFormat="1" ht="15" customHeight="1" x14ac:dyDescent="0.25"/>
    <row r="932" s="79" customFormat="1" ht="15" customHeight="1" x14ac:dyDescent="0.25"/>
    <row r="933" s="79" customFormat="1" ht="15" customHeight="1" x14ac:dyDescent="0.25"/>
    <row r="934" s="79" customFormat="1" ht="15" customHeight="1" x14ac:dyDescent="0.25"/>
    <row r="935" s="79" customFormat="1" ht="15" customHeight="1" x14ac:dyDescent="0.25"/>
    <row r="936" s="79" customFormat="1" ht="15" customHeight="1" x14ac:dyDescent="0.25"/>
    <row r="937" s="79" customFormat="1" ht="15" customHeight="1" x14ac:dyDescent="0.25"/>
    <row r="938" s="79" customFormat="1" ht="15" customHeight="1" x14ac:dyDescent="0.25"/>
    <row r="939" s="79" customFormat="1" ht="15" customHeight="1" x14ac:dyDescent="0.25"/>
    <row r="940" s="79" customFormat="1" ht="15" customHeight="1" x14ac:dyDescent="0.25"/>
    <row r="941" s="79" customFormat="1" ht="15" customHeight="1" x14ac:dyDescent="0.25"/>
    <row r="942" s="79" customFormat="1" ht="15" customHeight="1" x14ac:dyDescent="0.25"/>
    <row r="943" s="79" customFormat="1" ht="15" customHeight="1" x14ac:dyDescent="0.25"/>
    <row r="944" s="79" customFormat="1" ht="15" customHeight="1" x14ac:dyDescent="0.25"/>
    <row r="945" s="79" customFormat="1" ht="15" customHeight="1" x14ac:dyDescent="0.25"/>
    <row r="946" s="79" customFormat="1" ht="15" customHeight="1" x14ac:dyDescent="0.25"/>
    <row r="947" s="79" customFormat="1" ht="15" customHeight="1" x14ac:dyDescent="0.25"/>
    <row r="948" s="79" customFormat="1" ht="15" customHeight="1" x14ac:dyDescent="0.25"/>
    <row r="949" s="79" customFormat="1" ht="15" customHeight="1" x14ac:dyDescent="0.25"/>
    <row r="950" s="79" customFormat="1" ht="15" customHeight="1" x14ac:dyDescent="0.25"/>
    <row r="951" s="79" customFormat="1" ht="15" customHeight="1" x14ac:dyDescent="0.25"/>
    <row r="952" s="79" customFormat="1" ht="15" customHeight="1" x14ac:dyDescent="0.25"/>
    <row r="953" s="79" customFormat="1" ht="15" customHeight="1" x14ac:dyDescent="0.25"/>
    <row r="954" s="79" customFormat="1" ht="15" customHeight="1" x14ac:dyDescent="0.25"/>
    <row r="955" s="79" customFormat="1" ht="15" customHeight="1" x14ac:dyDescent="0.25"/>
    <row r="956" s="79" customFormat="1" ht="15" customHeight="1" x14ac:dyDescent="0.25"/>
    <row r="957" s="79" customFormat="1" ht="15" customHeight="1" x14ac:dyDescent="0.25"/>
    <row r="958" s="79" customFormat="1" ht="15" customHeight="1" x14ac:dyDescent="0.25"/>
    <row r="959" s="79" customFormat="1" ht="15" customHeight="1" x14ac:dyDescent="0.25"/>
    <row r="960" s="79" customFormat="1" ht="15" customHeight="1" x14ac:dyDescent="0.25"/>
    <row r="961" s="79" customFormat="1" ht="15" customHeight="1" x14ac:dyDescent="0.25"/>
    <row r="962" s="79" customFormat="1" ht="15" customHeight="1" x14ac:dyDescent="0.25"/>
    <row r="963" s="79" customFormat="1" ht="15" customHeight="1" x14ac:dyDescent="0.25"/>
    <row r="964" s="79" customFormat="1" ht="15" customHeight="1" x14ac:dyDescent="0.25"/>
    <row r="965" s="79" customFormat="1" ht="15" customHeight="1" x14ac:dyDescent="0.25"/>
    <row r="966" s="79" customFormat="1" ht="15" customHeight="1" x14ac:dyDescent="0.25"/>
    <row r="967" s="79" customFormat="1" ht="15" customHeight="1" x14ac:dyDescent="0.25"/>
    <row r="968" s="79" customFormat="1" ht="15" customHeight="1" x14ac:dyDescent="0.25"/>
    <row r="969" s="79" customFormat="1" ht="15" customHeight="1" x14ac:dyDescent="0.25"/>
    <row r="970" s="79" customFormat="1" ht="15" customHeight="1" x14ac:dyDescent="0.25"/>
    <row r="971" s="79" customFormat="1" ht="15" customHeight="1" x14ac:dyDescent="0.25"/>
    <row r="972" s="79" customFormat="1" ht="15" customHeight="1" x14ac:dyDescent="0.25"/>
    <row r="973" s="79" customFormat="1" ht="15" customHeight="1" x14ac:dyDescent="0.25"/>
    <row r="974" s="79" customFormat="1" ht="15" customHeight="1" x14ac:dyDescent="0.25"/>
    <row r="975" s="79" customFormat="1" ht="15" customHeight="1" x14ac:dyDescent="0.25"/>
    <row r="976" s="79" customFormat="1" ht="15" customHeight="1" x14ac:dyDescent="0.25"/>
    <row r="977" s="79" customFormat="1" ht="15" customHeight="1" x14ac:dyDescent="0.25"/>
    <row r="978" s="79" customFormat="1" ht="15" customHeight="1" x14ac:dyDescent="0.25"/>
    <row r="979" s="79" customFormat="1" ht="15" customHeight="1" x14ac:dyDescent="0.25"/>
    <row r="980" s="79" customFormat="1" ht="15" customHeight="1" x14ac:dyDescent="0.25"/>
    <row r="981" s="79" customFormat="1" ht="15" customHeight="1" x14ac:dyDescent="0.25"/>
    <row r="982" s="79" customFormat="1" ht="15" customHeight="1" x14ac:dyDescent="0.25"/>
    <row r="983" s="79" customFormat="1" ht="15" customHeight="1" x14ac:dyDescent="0.25"/>
    <row r="984" s="79" customFormat="1" ht="15" customHeight="1" x14ac:dyDescent="0.25"/>
    <row r="985" s="79" customFormat="1" ht="15" customHeight="1" x14ac:dyDescent="0.25"/>
    <row r="986" s="79" customFormat="1" ht="15" customHeight="1" x14ac:dyDescent="0.25"/>
    <row r="987" s="79" customFormat="1" ht="15" customHeight="1" x14ac:dyDescent="0.25"/>
    <row r="988" s="79" customFormat="1" ht="15" customHeight="1" x14ac:dyDescent="0.25"/>
    <row r="989" s="79" customFormat="1" ht="15" customHeight="1" x14ac:dyDescent="0.25"/>
    <row r="990" s="79" customFormat="1" ht="15" customHeight="1" x14ac:dyDescent="0.25"/>
    <row r="991" s="79" customFormat="1" ht="15" customHeight="1" x14ac:dyDescent="0.25"/>
    <row r="992" s="79" customFormat="1" ht="15" customHeight="1" x14ac:dyDescent="0.25"/>
    <row r="993" s="79" customFormat="1" ht="15" customHeight="1" x14ac:dyDescent="0.25"/>
    <row r="994" s="79" customFormat="1" ht="15" customHeight="1" x14ac:dyDescent="0.25"/>
    <row r="995" s="79" customFormat="1" ht="15" customHeight="1" x14ac:dyDescent="0.25"/>
    <row r="996" s="79" customFormat="1" ht="15" customHeight="1" x14ac:dyDescent="0.25"/>
    <row r="997" s="79" customFormat="1" ht="15" customHeight="1" x14ac:dyDescent="0.25"/>
    <row r="998" s="79" customFormat="1" ht="15" customHeight="1" x14ac:dyDescent="0.25"/>
    <row r="999" s="79" customFormat="1" ht="15" customHeight="1" x14ac:dyDescent="0.25"/>
    <row r="1000" s="79" customFormat="1" ht="15" customHeight="1" x14ac:dyDescent="0.25"/>
    <row r="1001" s="79" customFormat="1" ht="15" customHeight="1" x14ac:dyDescent="0.25"/>
    <row r="1002" s="79" customFormat="1" ht="15" customHeight="1" x14ac:dyDescent="0.25"/>
    <row r="1003" s="79" customFormat="1" ht="15" customHeight="1" x14ac:dyDescent="0.25"/>
    <row r="1004" s="79" customFormat="1" ht="15" customHeight="1" x14ac:dyDescent="0.25"/>
    <row r="1005" s="79" customFormat="1" ht="15" customHeight="1" x14ac:dyDescent="0.25"/>
    <row r="1006" s="79" customFormat="1" ht="15" customHeight="1" x14ac:dyDescent="0.25"/>
    <row r="1007" s="79" customFormat="1" ht="15" customHeight="1" x14ac:dyDescent="0.25"/>
    <row r="1008" s="79" customFormat="1" ht="15" customHeight="1" x14ac:dyDescent="0.25"/>
    <row r="1009" s="79" customFormat="1" ht="15" customHeight="1" x14ac:dyDescent="0.25"/>
    <row r="1010" s="79" customFormat="1" ht="15" customHeight="1" x14ac:dyDescent="0.25"/>
    <row r="1011" s="79" customFormat="1" ht="15" customHeight="1" x14ac:dyDescent="0.25"/>
    <row r="1012" s="79" customFormat="1" ht="15" customHeight="1" x14ac:dyDescent="0.25"/>
    <row r="1013" s="79" customFormat="1" ht="15" customHeight="1" x14ac:dyDescent="0.25"/>
    <row r="1014" s="79" customFormat="1" ht="15" customHeight="1" x14ac:dyDescent="0.25"/>
    <row r="1015" s="79" customFormat="1" ht="15" customHeight="1" x14ac:dyDescent="0.25"/>
    <row r="1016" s="79" customFormat="1" ht="15" customHeight="1" x14ac:dyDescent="0.25"/>
    <row r="1017" s="79" customFormat="1" ht="15" customHeight="1" x14ac:dyDescent="0.25"/>
    <row r="1018" s="79" customFormat="1" ht="15" customHeight="1" x14ac:dyDescent="0.25"/>
    <row r="1019" s="79" customFormat="1" ht="15" customHeight="1" x14ac:dyDescent="0.25"/>
    <row r="1020" s="79" customFormat="1" ht="15" customHeight="1" x14ac:dyDescent="0.25"/>
    <row r="1021" s="79" customFormat="1" ht="15" customHeight="1" x14ac:dyDescent="0.25"/>
    <row r="1022" s="79" customFormat="1" ht="15" customHeight="1" x14ac:dyDescent="0.25"/>
    <row r="1023" s="79" customFormat="1" ht="15" customHeight="1" x14ac:dyDescent="0.25"/>
    <row r="1024" s="79" customFormat="1" ht="15" customHeight="1" x14ac:dyDescent="0.25"/>
    <row r="1025" s="79" customFormat="1" ht="15" customHeight="1" x14ac:dyDescent="0.25"/>
    <row r="1026" s="79" customFormat="1" ht="15" customHeight="1" x14ac:dyDescent="0.25"/>
    <row r="1027" s="79" customFormat="1" ht="15" customHeight="1" x14ac:dyDescent="0.25"/>
    <row r="1028" s="79" customFormat="1" ht="15" customHeight="1" x14ac:dyDescent="0.25"/>
    <row r="1029" s="79" customFormat="1" ht="15" customHeight="1" x14ac:dyDescent="0.25"/>
    <row r="1030" s="79" customFormat="1" ht="15" customHeight="1" x14ac:dyDescent="0.25"/>
    <row r="1031" s="79" customFormat="1" ht="15" customHeight="1" x14ac:dyDescent="0.25"/>
    <row r="1032" s="79" customFormat="1" ht="15" customHeight="1" x14ac:dyDescent="0.25"/>
    <row r="1033" s="79" customFormat="1" ht="15" customHeight="1" x14ac:dyDescent="0.25"/>
    <row r="1034" s="79" customFormat="1" ht="15" customHeight="1" x14ac:dyDescent="0.25"/>
    <row r="1035" s="79" customFormat="1" ht="15" customHeight="1" x14ac:dyDescent="0.25"/>
    <row r="1036" s="79" customFormat="1" ht="15" customHeight="1" x14ac:dyDescent="0.25"/>
    <row r="1037" s="79" customFormat="1" ht="15" customHeight="1" x14ac:dyDescent="0.25"/>
    <row r="1038" s="79" customFormat="1" ht="15" customHeight="1" x14ac:dyDescent="0.25"/>
    <row r="1039" s="79" customFormat="1" ht="15" customHeight="1" x14ac:dyDescent="0.25"/>
    <row r="1040" s="79" customFormat="1" ht="15" customHeight="1" x14ac:dyDescent="0.25"/>
    <row r="1041" s="79" customFormat="1" ht="15" customHeight="1" x14ac:dyDescent="0.25"/>
    <row r="1042" s="79" customFormat="1" ht="15" customHeight="1" x14ac:dyDescent="0.25"/>
    <row r="1043" s="79" customFormat="1" ht="15" customHeight="1" x14ac:dyDescent="0.25"/>
    <row r="1044" s="79" customFormat="1" ht="15" customHeight="1" x14ac:dyDescent="0.25"/>
    <row r="1045" s="79" customFormat="1" ht="15" customHeight="1" x14ac:dyDescent="0.25"/>
    <row r="1046" s="79" customFormat="1" ht="15" customHeight="1" x14ac:dyDescent="0.25"/>
    <row r="1047" s="79" customFormat="1" ht="15" customHeight="1" x14ac:dyDescent="0.25"/>
    <row r="1048" s="79" customFormat="1" ht="15" customHeight="1" x14ac:dyDescent="0.25"/>
    <row r="1049" s="79" customFormat="1" ht="15" customHeight="1" x14ac:dyDescent="0.25"/>
    <row r="1050" s="79" customFormat="1" ht="15" customHeight="1" x14ac:dyDescent="0.25"/>
    <row r="1051" s="79" customFormat="1" ht="15" customHeight="1" x14ac:dyDescent="0.25"/>
    <row r="1052" s="79" customFormat="1" ht="15" customHeight="1" x14ac:dyDescent="0.25"/>
    <row r="1053" s="79" customFormat="1" ht="15" customHeight="1" x14ac:dyDescent="0.25"/>
    <row r="1054" s="79" customFormat="1" ht="15" customHeight="1" x14ac:dyDescent="0.25"/>
    <row r="1055" s="79" customFormat="1" ht="15" customHeight="1" x14ac:dyDescent="0.25"/>
    <row r="1056" s="79" customFormat="1" ht="15" customHeight="1" x14ac:dyDescent="0.25"/>
    <row r="1057" s="79" customFormat="1" ht="15" customHeight="1" x14ac:dyDescent="0.25"/>
    <row r="1058" s="79" customFormat="1" ht="15" customHeight="1" x14ac:dyDescent="0.25"/>
    <row r="1059" s="79" customFormat="1" ht="15" customHeight="1" x14ac:dyDescent="0.25"/>
    <row r="1060" s="79" customFormat="1" ht="15" customHeight="1" x14ac:dyDescent="0.25"/>
    <row r="1061" s="79" customFormat="1" ht="15" customHeight="1" x14ac:dyDescent="0.25"/>
    <row r="1062" s="79" customFormat="1" ht="15" customHeight="1" x14ac:dyDescent="0.25"/>
    <row r="1063" s="79" customFormat="1" ht="15" customHeight="1" x14ac:dyDescent="0.25"/>
    <row r="1064" s="79" customFormat="1" ht="15" customHeight="1" x14ac:dyDescent="0.25"/>
    <row r="1065" s="79" customFormat="1" ht="15" customHeight="1" x14ac:dyDescent="0.25"/>
    <row r="1066" s="79" customFormat="1" ht="15" customHeight="1" x14ac:dyDescent="0.25"/>
    <row r="1067" s="79" customFormat="1" ht="15" customHeight="1" x14ac:dyDescent="0.25"/>
    <row r="1068" s="79" customFormat="1" ht="15" customHeight="1" x14ac:dyDescent="0.25"/>
    <row r="1069" s="79" customFormat="1" ht="15" customHeight="1" x14ac:dyDescent="0.25"/>
    <row r="1070" s="79" customFormat="1" ht="15" customHeight="1" x14ac:dyDescent="0.25"/>
    <row r="1071" s="79" customFormat="1" ht="15" customHeight="1" x14ac:dyDescent="0.25"/>
    <row r="1072" s="79" customFormat="1" ht="15" customHeight="1" x14ac:dyDescent="0.25"/>
    <row r="1073" s="79" customFormat="1" ht="15" customHeight="1" x14ac:dyDescent="0.25"/>
    <row r="1074" s="79" customFormat="1" ht="15" customHeight="1" x14ac:dyDescent="0.25"/>
    <row r="1075" s="79" customFormat="1" ht="15" customHeight="1" x14ac:dyDescent="0.25"/>
    <row r="1076" s="79" customFormat="1" ht="15" customHeight="1" x14ac:dyDescent="0.25"/>
    <row r="1077" s="79" customFormat="1" ht="15" customHeight="1" x14ac:dyDescent="0.25"/>
    <row r="1078" s="79" customFormat="1" ht="15" customHeight="1" x14ac:dyDescent="0.25"/>
    <row r="1079" s="79" customFormat="1" ht="15" customHeight="1" x14ac:dyDescent="0.25"/>
    <row r="1080" s="79" customFormat="1" ht="15" customHeight="1" x14ac:dyDescent="0.25"/>
    <row r="1081" s="79" customFormat="1" ht="15" customHeight="1" x14ac:dyDescent="0.25"/>
    <row r="1082" s="79" customFormat="1" ht="15" customHeight="1" x14ac:dyDescent="0.25"/>
    <row r="1083" s="79" customFormat="1" ht="15" customHeight="1" x14ac:dyDescent="0.25"/>
    <row r="1084" s="79" customFormat="1" ht="15" customHeight="1" x14ac:dyDescent="0.25"/>
    <row r="1085" s="79" customFormat="1" ht="15" customHeight="1" x14ac:dyDescent="0.25"/>
    <row r="1086" s="79" customFormat="1" ht="15" customHeight="1" x14ac:dyDescent="0.25"/>
    <row r="1087" s="79" customFormat="1" ht="15" customHeight="1" x14ac:dyDescent="0.25"/>
    <row r="1088" s="79" customFormat="1" ht="15" customHeight="1" x14ac:dyDescent="0.25"/>
    <row r="1089" s="79" customFormat="1" ht="15" customHeight="1" x14ac:dyDescent="0.25"/>
    <row r="1090" s="79" customFormat="1" ht="15" customHeight="1" x14ac:dyDescent="0.25"/>
    <row r="1091" s="79" customFormat="1" ht="15" customHeight="1" x14ac:dyDescent="0.25"/>
    <row r="1092" s="79" customFormat="1" ht="15" customHeight="1" x14ac:dyDescent="0.25"/>
    <row r="1093" s="79" customFormat="1" ht="15" customHeight="1" x14ac:dyDescent="0.25"/>
    <row r="1094" s="79" customFormat="1" ht="15" customHeight="1" x14ac:dyDescent="0.25"/>
    <row r="1095" s="79" customFormat="1" ht="15" customHeight="1" x14ac:dyDescent="0.25"/>
    <row r="1096" s="79" customFormat="1" ht="15" customHeight="1" x14ac:dyDescent="0.25"/>
    <row r="1097" s="79" customFormat="1" ht="15" customHeight="1" x14ac:dyDescent="0.25"/>
    <row r="1098" s="79" customFormat="1" ht="15" customHeight="1" x14ac:dyDescent="0.25"/>
    <row r="1099" s="79" customFormat="1" ht="15" customHeight="1" x14ac:dyDescent="0.25"/>
    <row r="1100" s="79" customFormat="1" ht="15" customHeight="1" x14ac:dyDescent="0.25"/>
    <row r="1101" s="79" customFormat="1" ht="15" customHeight="1" x14ac:dyDescent="0.25"/>
    <row r="1102" s="79" customFormat="1" ht="15" customHeight="1" x14ac:dyDescent="0.25"/>
    <row r="1103" s="79" customFormat="1" ht="15" customHeight="1" x14ac:dyDescent="0.25"/>
    <row r="1104" s="79" customFormat="1" ht="15" customHeight="1" x14ac:dyDescent="0.25"/>
    <row r="1105" s="79" customFormat="1" ht="15" customHeight="1" x14ac:dyDescent="0.25"/>
    <row r="1106" s="79" customFormat="1" ht="15" customHeight="1" x14ac:dyDescent="0.25"/>
    <row r="1107" s="79" customFormat="1" ht="15" customHeight="1" x14ac:dyDescent="0.25"/>
    <row r="1108" s="79" customFormat="1" ht="15" customHeight="1" x14ac:dyDescent="0.25"/>
    <row r="1109" s="79" customFormat="1" ht="15" customHeight="1" x14ac:dyDescent="0.25"/>
    <row r="1110" s="79" customFormat="1" ht="15" customHeight="1" x14ac:dyDescent="0.25"/>
    <row r="1111" s="79" customFormat="1" ht="15" customHeight="1" x14ac:dyDescent="0.25"/>
    <row r="1112" s="79" customFormat="1" ht="15" customHeight="1" x14ac:dyDescent="0.25"/>
    <row r="1113" s="79" customFormat="1" ht="15" customHeight="1" x14ac:dyDescent="0.25"/>
    <row r="1114" s="79" customFormat="1" ht="15" customHeight="1" x14ac:dyDescent="0.25"/>
    <row r="1115" s="79" customFormat="1" ht="15" customHeight="1" x14ac:dyDescent="0.25"/>
    <row r="1116" s="79" customFormat="1" ht="15" customHeight="1" x14ac:dyDescent="0.25"/>
    <row r="1117" s="79" customFormat="1" ht="15" customHeight="1" x14ac:dyDescent="0.25"/>
    <row r="1118" s="79" customFormat="1" ht="15" customHeight="1" x14ac:dyDescent="0.25"/>
    <row r="1119" s="79" customFormat="1" ht="15" customHeight="1" x14ac:dyDescent="0.25"/>
    <row r="1120" s="79" customFormat="1" ht="15" customHeight="1" x14ac:dyDescent="0.25"/>
    <row r="1121" s="79" customFormat="1" ht="15" customHeight="1" x14ac:dyDescent="0.25"/>
    <row r="1122" s="79" customFormat="1" ht="15" customHeight="1" x14ac:dyDescent="0.25"/>
    <row r="1123" s="79" customFormat="1" ht="15" customHeight="1" x14ac:dyDescent="0.25"/>
    <row r="1124" s="79" customFormat="1" ht="15" customHeight="1" x14ac:dyDescent="0.25"/>
    <row r="1125" s="79" customFormat="1" ht="15" customHeight="1" x14ac:dyDescent="0.25"/>
    <row r="1126" s="79" customFormat="1" ht="15" customHeight="1" x14ac:dyDescent="0.25"/>
    <row r="1127" s="79" customFormat="1" ht="15" customHeight="1" x14ac:dyDescent="0.25"/>
    <row r="1128" s="79" customFormat="1" ht="15" customHeight="1" x14ac:dyDescent="0.25"/>
    <row r="1129" s="79" customFormat="1" ht="15" customHeight="1" x14ac:dyDescent="0.25"/>
    <row r="1130" s="79" customFormat="1" ht="15" customHeight="1" x14ac:dyDescent="0.25"/>
    <row r="1131" s="79" customFormat="1" ht="15" customHeight="1" x14ac:dyDescent="0.25"/>
    <row r="1132" s="79" customFormat="1" ht="15" customHeight="1" x14ac:dyDescent="0.25"/>
    <row r="1133" s="79" customFormat="1" ht="15" customHeight="1" x14ac:dyDescent="0.25"/>
    <row r="1134" s="79" customFormat="1" ht="15" customHeight="1" x14ac:dyDescent="0.25"/>
    <row r="1135" s="79" customFormat="1" ht="15" customHeight="1" x14ac:dyDescent="0.25"/>
    <row r="1136" s="79" customFormat="1" ht="15" customHeight="1" x14ac:dyDescent="0.25"/>
    <row r="1137" s="79" customFormat="1" ht="15" customHeight="1" x14ac:dyDescent="0.25"/>
    <row r="1138" s="79" customFormat="1" ht="15" customHeight="1" x14ac:dyDescent="0.25"/>
    <row r="1139" s="79" customFormat="1" ht="15" customHeight="1" x14ac:dyDescent="0.25"/>
    <row r="1140" s="79" customFormat="1" ht="15" customHeight="1" x14ac:dyDescent="0.25"/>
    <row r="1141" s="79" customFormat="1" ht="15" customHeight="1" x14ac:dyDescent="0.25"/>
    <row r="1142" s="79" customFormat="1" ht="15" customHeight="1" x14ac:dyDescent="0.25"/>
    <row r="1143" s="79" customFormat="1" ht="15" customHeight="1" x14ac:dyDescent="0.25"/>
    <row r="1144" s="79" customFormat="1" ht="15" customHeight="1" x14ac:dyDescent="0.25"/>
    <row r="1145" s="79" customFormat="1" ht="15" customHeight="1" x14ac:dyDescent="0.25"/>
    <row r="1146" s="79" customFormat="1" ht="15" customHeight="1" x14ac:dyDescent="0.25"/>
    <row r="1147" s="79" customFormat="1" ht="15" customHeight="1" x14ac:dyDescent="0.25"/>
    <row r="1148" s="79" customFormat="1" ht="15" customHeight="1" x14ac:dyDescent="0.25"/>
    <row r="1149" s="79" customFormat="1" ht="15" customHeight="1" x14ac:dyDescent="0.25"/>
    <row r="1150" s="79" customFormat="1" ht="15" customHeight="1" x14ac:dyDescent="0.25"/>
    <row r="1151" s="79" customFormat="1" ht="15" customHeight="1" x14ac:dyDescent="0.25"/>
    <row r="1152" s="79" customFormat="1" ht="15" customHeight="1" x14ac:dyDescent="0.25"/>
    <row r="1153" s="79" customFormat="1" ht="15" customHeight="1" x14ac:dyDescent="0.25"/>
    <row r="1154" s="79" customFormat="1" ht="15" customHeight="1" x14ac:dyDescent="0.25"/>
    <row r="1155" s="79" customFormat="1" ht="15" customHeight="1" x14ac:dyDescent="0.25"/>
    <row r="1156" s="79" customFormat="1" ht="15" customHeight="1" x14ac:dyDescent="0.25"/>
    <row r="1157" s="79" customFormat="1" ht="15" customHeight="1" x14ac:dyDescent="0.25"/>
    <row r="1158" s="79" customFormat="1" ht="15" customHeight="1" x14ac:dyDescent="0.25"/>
    <row r="1159" s="79" customFormat="1" ht="15" customHeight="1" x14ac:dyDescent="0.25"/>
    <row r="1160" s="79" customFormat="1" ht="15" customHeight="1" x14ac:dyDescent="0.25"/>
    <row r="1161" s="79" customFormat="1" ht="15" customHeight="1" x14ac:dyDescent="0.25"/>
    <row r="1162" s="79" customFormat="1" ht="15" customHeight="1" x14ac:dyDescent="0.25"/>
    <row r="1163" s="79" customFormat="1" ht="15" customHeight="1" x14ac:dyDescent="0.25"/>
    <row r="1164" s="79" customFormat="1" ht="15" customHeight="1" x14ac:dyDescent="0.25"/>
    <row r="1165" s="79" customFormat="1" ht="15" customHeight="1" x14ac:dyDescent="0.25"/>
    <row r="1166" s="79" customFormat="1" ht="15" customHeight="1" x14ac:dyDescent="0.25"/>
    <row r="1167" s="79" customFormat="1" ht="15" customHeight="1" x14ac:dyDescent="0.25"/>
    <row r="1168" s="79" customFormat="1" ht="15" customHeight="1" x14ac:dyDescent="0.25"/>
    <row r="1169" s="79" customFormat="1" ht="15" customHeight="1" x14ac:dyDescent="0.25"/>
    <row r="1170" s="79" customFormat="1" ht="15" customHeight="1" x14ac:dyDescent="0.25"/>
    <row r="1171" s="79" customFormat="1" ht="15" customHeight="1" x14ac:dyDescent="0.25"/>
    <row r="1172" s="79" customFormat="1" ht="15" customHeight="1" x14ac:dyDescent="0.25"/>
    <row r="1173" s="79" customFormat="1" ht="15" customHeight="1" x14ac:dyDescent="0.25"/>
    <row r="1174" s="79" customFormat="1" ht="15" customHeight="1" x14ac:dyDescent="0.25"/>
    <row r="1175" s="79" customFormat="1" ht="15" customHeight="1" x14ac:dyDescent="0.25"/>
    <row r="1176" s="79" customFormat="1" ht="15" customHeight="1" x14ac:dyDescent="0.25"/>
    <row r="1177" s="79" customFormat="1" ht="15" customHeight="1" x14ac:dyDescent="0.25"/>
    <row r="1178" s="79" customFormat="1" ht="15" customHeight="1" x14ac:dyDescent="0.25"/>
    <row r="1179" s="79" customFormat="1" ht="15" customHeight="1" x14ac:dyDescent="0.25"/>
    <row r="1180" s="79" customFormat="1" ht="15" customHeight="1" x14ac:dyDescent="0.25"/>
    <row r="1181" s="79" customFormat="1" ht="15" customHeight="1" x14ac:dyDescent="0.25"/>
    <row r="1182" s="79" customFormat="1" ht="15" customHeight="1" x14ac:dyDescent="0.25"/>
    <row r="1183" s="79" customFormat="1" ht="15" customHeight="1" x14ac:dyDescent="0.25"/>
    <row r="1184" s="79" customFormat="1" ht="15" customHeight="1" x14ac:dyDescent="0.25"/>
    <row r="1185" s="79" customFormat="1" ht="15" customHeight="1" x14ac:dyDescent="0.25"/>
    <row r="1186" s="79" customFormat="1" ht="15" customHeight="1" x14ac:dyDescent="0.25"/>
    <row r="1187" s="79" customFormat="1" ht="15" customHeight="1" x14ac:dyDescent="0.25"/>
    <row r="1188" s="79" customFormat="1" ht="15" customHeight="1" x14ac:dyDescent="0.25"/>
    <row r="1189" s="79" customFormat="1" ht="15" customHeight="1" x14ac:dyDescent="0.25"/>
    <row r="1190" s="79" customFormat="1" ht="15" customHeight="1" x14ac:dyDescent="0.25"/>
    <row r="1191" s="79" customFormat="1" ht="15" customHeight="1" x14ac:dyDescent="0.25"/>
    <row r="1192" s="79" customFormat="1" ht="15" customHeight="1" x14ac:dyDescent="0.25"/>
    <row r="1193" s="79" customFormat="1" ht="15" customHeight="1" x14ac:dyDescent="0.25"/>
    <row r="1194" s="79" customFormat="1" ht="15" customHeight="1" x14ac:dyDescent="0.25"/>
    <row r="1195" s="79" customFormat="1" ht="15" customHeight="1" x14ac:dyDescent="0.25"/>
    <row r="1196" s="79" customFormat="1" ht="15" customHeight="1" x14ac:dyDescent="0.25"/>
    <row r="1197" s="79" customFormat="1" ht="15" customHeight="1" x14ac:dyDescent="0.25"/>
    <row r="1198" s="79" customFormat="1" ht="15" customHeight="1" x14ac:dyDescent="0.25"/>
    <row r="1199" s="79" customFormat="1" ht="15" customHeight="1" x14ac:dyDescent="0.25"/>
    <row r="1200" s="79" customFormat="1" ht="15" customHeight="1" x14ac:dyDescent="0.25"/>
    <row r="1201" s="79" customFormat="1" ht="15" customHeight="1" x14ac:dyDescent="0.25"/>
    <row r="1202" s="79" customFormat="1" ht="15" customHeight="1" x14ac:dyDescent="0.25"/>
    <row r="1203" s="79" customFormat="1" ht="15" customHeight="1" x14ac:dyDescent="0.25"/>
    <row r="1204" s="79" customFormat="1" ht="15" customHeight="1" x14ac:dyDescent="0.25"/>
    <row r="1205" s="79" customFormat="1" ht="15" customHeight="1" x14ac:dyDescent="0.25"/>
    <row r="1206" s="79" customFormat="1" ht="15" customHeight="1" x14ac:dyDescent="0.25"/>
    <row r="1207" s="79" customFormat="1" ht="15" customHeight="1" x14ac:dyDescent="0.25"/>
    <row r="1208" s="79" customFormat="1" ht="15" customHeight="1" x14ac:dyDescent="0.25"/>
    <row r="1209" s="79" customFormat="1" ht="15" customHeight="1" x14ac:dyDescent="0.25"/>
    <row r="1210" s="79" customFormat="1" ht="15" customHeight="1" x14ac:dyDescent="0.25"/>
    <row r="1211" s="79" customFormat="1" ht="15" customHeight="1" x14ac:dyDescent="0.25"/>
    <row r="1212" s="79" customFormat="1" ht="15" customHeight="1" x14ac:dyDescent="0.25"/>
    <row r="1213" s="79" customFormat="1" ht="15" customHeight="1" x14ac:dyDescent="0.25"/>
    <row r="1214" s="79" customFormat="1" ht="15" customHeight="1" x14ac:dyDescent="0.25"/>
    <row r="1215" s="79" customFormat="1" ht="15" customHeight="1" x14ac:dyDescent="0.25"/>
    <row r="1216" s="79" customFormat="1" ht="15" customHeight="1" x14ac:dyDescent="0.25"/>
    <row r="1217" s="79" customFormat="1" ht="15" customHeight="1" x14ac:dyDescent="0.25"/>
    <row r="1218" s="79" customFormat="1" ht="15" customHeight="1" x14ac:dyDescent="0.25"/>
    <row r="1219" s="79" customFormat="1" ht="15" customHeight="1" x14ac:dyDescent="0.25"/>
    <row r="1220" s="79" customFormat="1" ht="15" customHeight="1" x14ac:dyDescent="0.25"/>
    <row r="1221" s="79" customFormat="1" ht="15" customHeight="1" x14ac:dyDescent="0.25"/>
    <row r="1222" s="79" customFormat="1" ht="15" customHeight="1" x14ac:dyDescent="0.25"/>
    <row r="1223" s="79" customFormat="1" ht="15" customHeight="1" x14ac:dyDescent="0.25"/>
    <row r="1224" s="79" customFormat="1" ht="15" customHeight="1" x14ac:dyDescent="0.25"/>
    <row r="1225" s="79" customFormat="1" ht="15" customHeight="1" x14ac:dyDescent="0.25"/>
    <row r="1226" s="79" customFormat="1" ht="15" customHeight="1" x14ac:dyDescent="0.25"/>
    <row r="1227" s="79" customFormat="1" ht="15" customHeight="1" x14ac:dyDescent="0.25"/>
    <row r="1228" s="79" customFormat="1" ht="15" customHeight="1" x14ac:dyDescent="0.25"/>
    <row r="1229" s="79" customFormat="1" ht="15" customHeight="1" x14ac:dyDescent="0.25"/>
    <row r="1230" s="79" customFormat="1" ht="15" customHeight="1" x14ac:dyDescent="0.25"/>
    <row r="1231" s="79" customFormat="1" ht="15" customHeight="1" x14ac:dyDescent="0.25"/>
    <row r="1232" s="79" customFormat="1" ht="15" customHeight="1" x14ac:dyDescent="0.25"/>
    <row r="1233" s="79" customFormat="1" ht="15" customHeight="1" x14ac:dyDescent="0.25"/>
    <row r="1234" s="79" customFormat="1" ht="15" customHeight="1" x14ac:dyDescent="0.25"/>
    <row r="1235" s="79" customFormat="1" ht="15" customHeight="1" x14ac:dyDescent="0.25"/>
    <row r="1236" s="79" customFormat="1" ht="15" customHeight="1" x14ac:dyDescent="0.25"/>
    <row r="1237" s="79" customFormat="1" ht="15" customHeight="1" x14ac:dyDescent="0.25"/>
    <row r="1238" s="79" customFormat="1" ht="15" customHeight="1" x14ac:dyDescent="0.25"/>
    <row r="1239" s="79" customFormat="1" ht="15" customHeight="1" x14ac:dyDescent="0.25"/>
    <row r="1240" s="79" customFormat="1" ht="15" customHeight="1" x14ac:dyDescent="0.25"/>
    <row r="1241" s="79" customFormat="1" ht="15" customHeight="1" x14ac:dyDescent="0.25"/>
    <row r="1242" s="79" customFormat="1" ht="15" customHeight="1" x14ac:dyDescent="0.25"/>
    <row r="1243" s="79" customFormat="1" ht="15" customHeight="1" x14ac:dyDescent="0.25"/>
    <row r="1244" s="79" customFormat="1" ht="15" customHeight="1" x14ac:dyDescent="0.25"/>
    <row r="1245" s="79" customFormat="1" ht="15" customHeight="1" x14ac:dyDescent="0.25"/>
    <row r="1246" s="79" customFormat="1" ht="15" customHeight="1" x14ac:dyDescent="0.25"/>
    <row r="1247" s="79" customFormat="1" ht="15" customHeight="1" x14ac:dyDescent="0.25"/>
    <row r="1248" s="79" customFormat="1" ht="15" customHeight="1" x14ac:dyDescent="0.25"/>
    <row r="1249" s="79" customFormat="1" ht="15" customHeight="1" x14ac:dyDescent="0.25"/>
    <row r="1250" s="79" customFormat="1" ht="15" customHeight="1" x14ac:dyDescent="0.25"/>
    <row r="1251" s="79" customFormat="1" ht="15" customHeight="1" x14ac:dyDescent="0.25"/>
    <row r="1252" s="79" customFormat="1" ht="15" customHeight="1" x14ac:dyDescent="0.25"/>
    <row r="1253" s="79" customFormat="1" ht="15" customHeight="1" x14ac:dyDescent="0.25"/>
    <row r="1254" s="79" customFormat="1" ht="15" customHeight="1" x14ac:dyDescent="0.25"/>
    <row r="1255" s="79" customFormat="1" ht="15" customHeight="1" x14ac:dyDescent="0.25"/>
    <row r="1256" s="79" customFormat="1" ht="15" customHeight="1" x14ac:dyDescent="0.25"/>
    <row r="1257" s="79" customFormat="1" ht="15" customHeight="1" x14ac:dyDescent="0.25"/>
    <row r="1258" s="79" customFormat="1" ht="15" customHeight="1" x14ac:dyDescent="0.25"/>
    <row r="1259" s="79" customFormat="1" ht="15" customHeight="1" x14ac:dyDescent="0.25"/>
    <row r="1260" s="79" customFormat="1" ht="15" customHeight="1" x14ac:dyDescent="0.25"/>
    <row r="1261" s="79" customFormat="1" ht="15" customHeight="1" x14ac:dyDescent="0.25"/>
    <row r="1262" s="79" customFormat="1" ht="15" customHeight="1" x14ac:dyDescent="0.25"/>
    <row r="1263" s="79" customFormat="1" ht="15" customHeight="1" x14ac:dyDescent="0.25"/>
    <row r="1264" s="79" customFormat="1" ht="15" customHeight="1" x14ac:dyDescent="0.25"/>
    <row r="1265" s="79" customFormat="1" ht="15" customHeight="1" x14ac:dyDescent="0.25"/>
    <row r="1266" s="79" customFormat="1" ht="15" customHeight="1" x14ac:dyDescent="0.25"/>
    <row r="1267" s="79" customFormat="1" ht="15" customHeight="1" x14ac:dyDescent="0.25"/>
    <row r="1268" s="79" customFormat="1" ht="15" customHeight="1" x14ac:dyDescent="0.25"/>
    <row r="1269" s="79" customFormat="1" ht="15" customHeight="1" x14ac:dyDescent="0.25"/>
    <row r="1270" s="79" customFormat="1" ht="15" customHeight="1" x14ac:dyDescent="0.25"/>
    <row r="1271" s="79" customFormat="1" ht="15" customHeight="1" x14ac:dyDescent="0.25"/>
    <row r="1272" s="79" customFormat="1" ht="15" customHeight="1" x14ac:dyDescent="0.25"/>
    <row r="1273" s="79" customFormat="1" ht="15" customHeight="1" x14ac:dyDescent="0.25"/>
    <row r="1274" s="79" customFormat="1" ht="15" customHeight="1" x14ac:dyDescent="0.25"/>
    <row r="1275" s="79" customFormat="1" ht="15" customHeight="1" x14ac:dyDescent="0.25"/>
    <row r="1276" s="79" customFormat="1" ht="15" customHeight="1" x14ac:dyDescent="0.25"/>
    <row r="1277" s="79" customFormat="1" ht="15" customHeight="1" x14ac:dyDescent="0.25"/>
    <row r="1278" s="79" customFormat="1" ht="15" customHeight="1" x14ac:dyDescent="0.25"/>
    <row r="1279" s="79" customFormat="1" ht="15" customHeight="1" x14ac:dyDescent="0.25"/>
    <row r="1280" s="79" customFormat="1" ht="15" customHeight="1" x14ac:dyDescent="0.25"/>
    <row r="1281" s="79" customFormat="1" ht="15" customHeight="1" x14ac:dyDescent="0.25"/>
    <row r="1282" s="79" customFormat="1" ht="15" customHeight="1" x14ac:dyDescent="0.25"/>
    <row r="1283" s="79" customFormat="1" ht="15" customHeight="1" x14ac:dyDescent="0.25"/>
    <row r="1284" s="79" customFormat="1" ht="15" customHeight="1" x14ac:dyDescent="0.25"/>
    <row r="1285" s="79" customFormat="1" ht="15" customHeight="1" x14ac:dyDescent="0.25"/>
    <row r="1286" s="79" customFormat="1" ht="15" customHeight="1" x14ac:dyDescent="0.25"/>
    <row r="1287" s="79" customFormat="1" ht="15" customHeight="1" x14ac:dyDescent="0.25"/>
    <row r="1288" s="79" customFormat="1" ht="15" customHeight="1" x14ac:dyDescent="0.25"/>
    <row r="1289" s="79" customFormat="1" ht="15" customHeight="1" x14ac:dyDescent="0.25"/>
    <row r="1290" s="79" customFormat="1" ht="15" customHeight="1" x14ac:dyDescent="0.25"/>
    <row r="1291" s="79" customFormat="1" ht="15" customHeight="1" x14ac:dyDescent="0.25"/>
    <row r="1292" s="79" customFormat="1" ht="15" customHeight="1" x14ac:dyDescent="0.25"/>
    <row r="1293" s="79" customFormat="1" ht="15" customHeight="1" x14ac:dyDescent="0.25"/>
    <row r="1294" s="79" customFormat="1" ht="15" customHeight="1" x14ac:dyDescent="0.25"/>
    <row r="1295" s="79" customFormat="1" ht="15" customHeight="1" x14ac:dyDescent="0.25"/>
    <row r="1296" s="79" customFormat="1" ht="15" customHeight="1" x14ac:dyDescent="0.25"/>
    <row r="1297" s="79" customFormat="1" ht="15" customHeight="1" x14ac:dyDescent="0.25"/>
    <row r="1298" s="79" customFormat="1" ht="15" customHeight="1" x14ac:dyDescent="0.25"/>
    <row r="1299" s="79" customFormat="1" ht="15" customHeight="1" x14ac:dyDescent="0.25"/>
    <row r="1300" s="79" customFormat="1" ht="15" customHeight="1" x14ac:dyDescent="0.25"/>
    <row r="1301" s="79" customFormat="1" ht="15" customHeight="1" x14ac:dyDescent="0.25"/>
    <row r="1302" s="79" customFormat="1" ht="15" customHeight="1" x14ac:dyDescent="0.25"/>
    <row r="1303" s="79" customFormat="1" ht="15" customHeight="1" x14ac:dyDescent="0.25"/>
    <row r="1304" s="79" customFormat="1" ht="15" customHeight="1" x14ac:dyDescent="0.25"/>
    <row r="1305" s="79" customFormat="1" ht="15" customHeight="1" x14ac:dyDescent="0.25"/>
    <row r="1306" s="79" customFormat="1" ht="15" customHeight="1" x14ac:dyDescent="0.25"/>
    <row r="1307" s="79" customFormat="1" ht="15" customHeight="1" x14ac:dyDescent="0.25"/>
    <row r="1308" s="79" customFormat="1" ht="15" customHeight="1" x14ac:dyDescent="0.25"/>
    <row r="1309" s="79" customFormat="1" ht="15" customHeight="1" x14ac:dyDescent="0.25"/>
    <row r="1310" s="79" customFormat="1" ht="15" customHeight="1" x14ac:dyDescent="0.25"/>
    <row r="1311" s="79" customFormat="1" ht="15" customHeight="1" x14ac:dyDescent="0.25"/>
    <row r="1312" s="79" customFormat="1" ht="15" customHeight="1" x14ac:dyDescent="0.25"/>
    <row r="1313" s="79" customFormat="1" ht="15" customHeight="1" x14ac:dyDescent="0.25"/>
    <row r="1314" s="79" customFormat="1" ht="15" customHeight="1" x14ac:dyDescent="0.25"/>
    <row r="1315" s="79" customFormat="1" ht="15" customHeight="1" x14ac:dyDescent="0.25"/>
    <row r="1316" s="79" customFormat="1" ht="15" customHeight="1" x14ac:dyDescent="0.25"/>
    <row r="1317" s="79" customFormat="1" ht="15" customHeight="1" x14ac:dyDescent="0.25"/>
    <row r="1318" s="79" customFormat="1" ht="15" customHeight="1" x14ac:dyDescent="0.25"/>
    <row r="1319" s="79" customFormat="1" ht="15" customHeight="1" x14ac:dyDescent="0.25"/>
    <row r="1320" s="79" customFormat="1" ht="15" customHeight="1" x14ac:dyDescent="0.25"/>
    <row r="1321" s="79" customFormat="1" ht="15" customHeight="1" x14ac:dyDescent="0.25"/>
    <row r="1322" s="79" customFormat="1" ht="15" customHeight="1" x14ac:dyDescent="0.25"/>
    <row r="1323" s="79" customFormat="1" ht="15" customHeight="1" x14ac:dyDescent="0.25"/>
    <row r="1324" s="79" customFormat="1" ht="15" customHeight="1" x14ac:dyDescent="0.25"/>
    <row r="1325" s="79" customFormat="1" ht="15" customHeight="1" x14ac:dyDescent="0.25"/>
    <row r="1326" s="79" customFormat="1" ht="15" customHeight="1" x14ac:dyDescent="0.25"/>
    <row r="1327" s="79" customFormat="1" ht="15" customHeight="1" x14ac:dyDescent="0.25"/>
    <row r="1328" s="79" customFormat="1" ht="15" customHeight="1" x14ac:dyDescent="0.25"/>
    <row r="1329" s="79" customFormat="1" ht="15" customHeight="1" x14ac:dyDescent="0.25"/>
    <row r="1330" s="79" customFormat="1" ht="15" customHeight="1" x14ac:dyDescent="0.25"/>
    <row r="1331" s="79" customFormat="1" ht="15" customHeight="1" x14ac:dyDescent="0.25"/>
    <row r="1332" s="79" customFormat="1" ht="15" customHeight="1" x14ac:dyDescent="0.25"/>
    <row r="1333" s="79" customFormat="1" ht="15" customHeight="1" x14ac:dyDescent="0.25"/>
    <row r="1334" s="79" customFormat="1" ht="15" customHeight="1" x14ac:dyDescent="0.25"/>
    <row r="1335" s="79" customFormat="1" ht="15" customHeight="1" x14ac:dyDescent="0.25"/>
    <row r="1336" s="79" customFormat="1" ht="15" customHeight="1" x14ac:dyDescent="0.25"/>
    <row r="1337" s="79" customFormat="1" ht="15" customHeight="1" x14ac:dyDescent="0.25"/>
    <row r="1338" s="79" customFormat="1" ht="15" customHeight="1" x14ac:dyDescent="0.25"/>
    <row r="1339" s="79" customFormat="1" ht="15" customHeight="1" x14ac:dyDescent="0.25"/>
    <row r="1340" s="79" customFormat="1" ht="15" customHeight="1" x14ac:dyDescent="0.25"/>
    <row r="1341" s="79" customFormat="1" ht="15" customHeight="1" x14ac:dyDescent="0.25"/>
    <row r="1342" s="79" customFormat="1" ht="15" customHeight="1" x14ac:dyDescent="0.25"/>
    <row r="1343" s="79" customFormat="1" ht="15" customHeight="1" x14ac:dyDescent="0.25"/>
    <row r="1344" s="79" customFormat="1" ht="15" customHeight="1" x14ac:dyDescent="0.25"/>
    <row r="1345" s="79" customFormat="1" ht="15" customHeight="1" x14ac:dyDescent="0.25"/>
    <row r="1346" s="79" customFormat="1" ht="15" customHeight="1" x14ac:dyDescent="0.25"/>
    <row r="1347" s="79" customFormat="1" ht="15" customHeight="1" x14ac:dyDescent="0.25"/>
    <row r="1348" s="79" customFormat="1" ht="15" customHeight="1" x14ac:dyDescent="0.25"/>
    <row r="1349" s="79" customFormat="1" ht="15" customHeight="1" x14ac:dyDescent="0.25"/>
    <row r="1350" s="79" customFormat="1" ht="15" customHeight="1" x14ac:dyDescent="0.25"/>
    <row r="1351" s="79" customFormat="1" ht="15" customHeight="1" x14ac:dyDescent="0.25"/>
    <row r="1352" s="79" customFormat="1" ht="15" customHeight="1" x14ac:dyDescent="0.25"/>
    <row r="1353" s="79" customFormat="1" ht="15" customHeight="1" x14ac:dyDescent="0.25"/>
    <row r="1354" s="79" customFormat="1" ht="15" customHeight="1" x14ac:dyDescent="0.25"/>
    <row r="1355" s="79" customFormat="1" ht="15" customHeight="1" x14ac:dyDescent="0.25"/>
    <row r="1356" s="79" customFormat="1" ht="15" customHeight="1" x14ac:dyDescent="0.25"/>
    <row r="1357" s="79" customFormat="1" ht="15" customHeight="1" x14ac:dyDescent="0.25"/>
    <row r="1358" s="79" customFormat="1" ht="15" customHeight="1" x14ac:dyDescent="0.25"/>
    <row r="1359" s="79" customFormat="1" ht="15" customHeight="1" x14ac:dyDescent="0.25"/>
    <row r="1360" s="79" customFormat="1" ht="15" customHeight="1" x14ac:dyDescent="0.25"/>
    <row r="1361" s="79" customFormat="1" ht="15" customHeight="1" x14ac:dyDescent="0.25"/>
    <row r="1362" s="79" customFormat="1" ht="15" customHeight="1" x14ac:dyDescent="0.25"/>
    <row r="1363" s="79" customFormat="1" ht="15" customHeight="1" x14ac:dyDescent="0.25"/>
    <row r="1364" s="79" customFormat="1" ht="15" customHeight="1" x14ac:dyDescent="0.25"/>
    <row r="1365" s="79" customFormat="1" ht="15" customHeight="1" x14ac:dyDescent="0.25"/>
    <row r="1366" s="79" customFormat="1" ht="15" customHeight="1" x14ac:dyDescent="0.25"/>
    <row r="1367" s="79" customFormat="1" ht="15" customHeight="1" x14ac:dyDescent="0.25"/>
    <row r="1368" s="79" customFormat="1" ht="15" customHeight="1" x14ac:dyDescent="0.25"/>
    <row r="1369" s="79" customFormat="1" ht="15" customHeight="1" x14ac:dyDescent="0.25"/>
    <row r="1370" s="79" customFormat="1" ht="15" customHeight="1" x14ac:dyDescent="0.25"/>
    <row r="1371" s="79" customFormat="1" ht="15" customHeight="1" x14ac:dyDescent="0.25"/>
    <row r="1372" s="79" customFormat="1" ht="15" customHeight="1" x14ac:dyDescent="0.25"/>
    <row r="1373" s="79" customFormat="1" ht="15" customHeight="1" x14ac:dyDescent="0.25"/>
    <row r="1374" s="79" customFormat="1" ht="15" customHeight="1" x14ac:dyDescent="0.25"/>
    <row r="1375" s="79" customFormat="1" ht="15" customHeight="1" x14ac:dyDescent="0.25"/>
    <row r="1376" s="79" customFormat="1" ht="15" customHeight="1" x14ac:dyDescent="0.25"/>
    <row r="1377" s="79" customFormat="1" ht="15" customHeight="1" x14ac:dyDescent="0.25"/>
    <row r="1378" s="79" customFormat="1" ht="15" customHeight="1" x14ac:dyDescent="0.25"/>
    <row r="1379" s="79" customFormat="1" ht="15" customHeight="1" x14ac:dyDescent="0.25"/>
    <row r="1380" s="79" customFormat="1" ht="15" customHeight="1" x14ac:dyDescent="0.25"/>
    <row r="1381" s="79" customFormat="1" ht="15" customHeight="1" x14ac:dyDescent="0.25"/>
    <row r="1382" s="79" customFormat="1" ht="15" customHeight="1" x14ac:dyDescent="0.25"/>
    <row r="1383" s="79" customFormat="1" ht="15" customHeight="1" x14ac:dyDescent="0.25"/>
    <row r="1384" s="79" customFormat="1" ht="15" customHeight="1" x14ac:dyDescent="0.25"/>
    <row r="1385" s="79" customFormat="1" ht="15" customHeight="1" x14ac:dyDescent="0.25"/>
    <row r="1386" s="79" customFormat="1" ht="15" customHeight="1" x14ac:dyDescent="0.25"/>
    <row r="1387" s="79" customFormat="1" ht="15" customHeight="1" x14ac:dyDescent="0.25"/>
    <row r="1388" s="79" customFormat="1" ht="15" customHeight="1" x14ac:dyDescent="0.25"/>
    <row r="1389" s="79" customFormat="1" ht="15" customHeight="1" x14ac:dyDescent="0.25"/>
    <row r="1390" s="79" customFormat="1" ht="15" customHeight="1" x14ac:dyDescent="0.25"/>
    <row r="1391" s="79" customFormat="1" ht="15" customHeight="1" x14ac:dyDescent="0.25"/>
    <row r="1392" s="79" customFormat="1" ht="15" customHeight="1" x14ac:dyDescent="0.25"/>
    <row r="1393" s="79" customFormat="1" ht="15" customHeight="1" x14ac:dyDescent="0.25"/>
    <row r="1394" s="79" customFormat="1" ht="15" customHeight="1" x14ac:dyDescent="0.25"/>
    <row r="1395" s="79" customFormat="1" ht="15" customHeight="1" x14ac:dyDescent="0.25"/>
    <row r="1396" s="79" customFormat="1" ht="15" customHeight="1" x14ac:dyDescent="0.25"/>
    <row r="1397" s="79" customFormat="1" ht="15" customHeight="1" x14ac:dyDescent="0.25"/>
    <row r="1398" s="79" customFormat="1" ht="15" customHeight="1" x14ac:dyDescent="0.25"/>
    <row r="1399" s="79" customFormat="1" ht="15" customHeight="1" x14ac:dyDescent="0.25"/>
    <row r="1400" s="79" customFormat="1" ht="15" customHeight="1" x14ac:dyDescent="0.25"/>
    <row r="1401" s="79" customFormat="1" ht="15" customHeight="1" x14ac:dyDescent="0.25"/>
    <row r="1402" s="79" customFormat="1" ht="15" customHeight="1" x14ac:dyDescent="0.25"/>
    <row r="1403" s="79" customFormat="1" ht="15" customHeight="1" x14ac:dyDescent="0.25"/>
    <row r="1404" s="79" customFormat="1" ht="15" customHeight="1" x14ac:dyDescent="0.25"/>
    <row r="1405" s="79" customFormat="1" ht="15" customHeight="1" x14ac:dyDescent="0.25"/>
    <row r="1406" s="79" customFormat="1" ht="15" customHeight="1" x14ac:dyDescent="0.25"/>
    <row r="1407" s="79" customFormat="1" ht="15" customHeight="1" x14ac:dyDescent="0.25"/>
    <row r="1408" s="79" customFormat="1" ht="15" customHeight="1" x14ac:dyDescent="0.25"/>
    <row r="1409" s="79" customFormat="1" ht="15" customHeight="1" x14ac:dyDescent="0.25"/>
    <row r="1410" s="79" customFormat="1" ht="15" customHeight="1" x14ac:dyDescent="0.25"/>
    <row r="1411" s="79" customFormat="1" ht="15" customHeight="1" x14ac:dyDescent="0.25"/>
    <row r="1412" s="79" customFormat="1" ht="15" customHeight="1" x14ac:dyDescent="0.25"/>
    <row r="1413" s="79" customFormat="1" ht="15" customHeight="1" x14ac:dyDescent="0.25"/>
    <row r="1414" s="79" customFormat="1" ht="15" customHeight="1" x14ac:dyDescent="0.25"/>
    <row r="1415" s="79" customFormat="1" ht="15" customHeight="1" x14ac:dyDescent="0.25"/>
    <row r="1416" s="79" customFormat="1" ht="15" customHeight="1" x14ac:dyDescent="0.25"/>
    <row r="1417" s="79" customFormat="1" ht="15" customHeight="1" x14ac:dyDescent="0.25"/>
    <row r="1418" s="79" customFormat="1" ht="15" customHeight="1" x14ac:dyDescent="0.25"/>
    <row r="1419" s="79" customFormat="1" ht="15" customHeight="1" x14ac:dyDescent="0.25"/>
    <row r="1420" s="79" customFormat="1" ht="15" customHeight="1" x14ac:dyDescent="0.25"/>
    <row r="1421" s="79" customFormat="1" ht="15" customHeight="1" x14ac:dyDescent="0.25"/>
    <row r="1422" s="79" customFormat="1" ht="15" customHeight="1" x14ac:dyDescent="0.25"/>
    <row r="1423" s="79" customFormat="1" ht="15" customHeight="1" x14ac:dyDescent="0.25"/>
    <row r="1424" s="79" customFormat="1" ht="15" customHeight="1" x14ac:dyDescent="0.25"/>
    <row r="1425" s="79" customFormat="1" ht="15" customHeight="1" x14ac:dyDescent="0.25"/>
    <row r="1426" s="79" customFormat="1" ht="15" customHeight="1" x14ac:dyDescent="0.25"/>
    <row r="1427" s="79" customFormat="1" ht="15" customHeight="1" x14ac:dyDescent="0.25"/>
    <row r="1428" s="79" customFormat="1" ht="15" customHeight="1" x14ac:dyDescent="0.25"/>
    <row r="1429" s="79" customFormat="1" ht="15" customHeight="1" x14ac:dyDescent="0.25"/>
    <row r="1430" s="79" customFormat="1" ht="15" customHeight="1" x14ac:dyDescent="0.25"/>
    <row r="1431" s="79" customFormat="1" ht="15" customHeight="1" x14ac:dyDescent="0.25"/>
    <row r="1432" s="79" customFormat="1" ht="15" customHeight="1" x14ac:dyDescent="0.25"/>
    <row r="1433" s="79" customFormat="1" ht="15" customHeight="1" x14ac:dyDescent="0.25"/>
    <row r="1434" s="79" customFormat="1" ht="15" customHeight="1" x14ac:dyDescent="0.25"/>
    <row r="1435" s="79" customFormat="1" ht="15" customHeight="1" x14ac:dyDescent="0.25"/>
    <row r="1436" s="79" customFormat="1" ht="15" customHeight="1" x14ac:dyDescent="0.25"/>
    <row r="1437" s="79" customFormat="1" ht="15" customHeight="1" x14ac:dyDescent="0.25"/>
    <row r="1438" s="79" customFormat="1" ht="15" customHeight="1" x14ac:dyDescent="0.25"/>
    <row r="1439" s="79" customFormat="1" ht="15" customHeight="1" x14ac:dyDescent="0.25"/>
    <row r="1440" s="79" customFormat="1" ht="15" customHeight="1" x14ac:dyDescent="0.25"/>
    <row r="1441" s="79" customFormat="1" ht="15" customHeight="1" x14ac:dyDescent="0.25"/>
    <row r="1442" s="79" customFormat="1" ht="15" customHeight="1" x14ac:dyDescent="0.25"/>
    <row r="1443" s="79" customFormat="1" ht="15" customHeight="1" x14ac:dyDescent="0.25"/>
    <row r="1444" s="79" customFormat="1" ht="15" customHeight="1" x14ac:dyDescent="0.25"/>
    <row r="1445" s="79" customFormat="1" ht="15" customHeight="1" x14ac:dyDescent="0.25"/>
    <row r="1446" s="79" customFormat="1" ht="15" customHeight="1" x14ac:dyDescent="0.25"/>
    <row r="1447" s="79" customFormat="1" ht="15" customHeight="1" x14ac:dyDescent="0.25"/>
    <row r="1448" s="79" customFormat="1" ht="15" customHeight="1" x14ac:dyDescent="0.25"/>
    <row r="1449" s="79" customFormat="1" ht="15" customHeight="1" x14ac:dyDescent="0.25"/>
    <row r="1450" s="79" customFormat="1" ht="15" customHeight="1" x14ac:dyDescent="0.25"/>
    <row r="1451" s="79" customFormat="1" ht="15" customHeight="1" x14ac:dyDescent="0.25"/>
    <row r="1452" s="79" customFormat="1" ht="15" customHeight="1" x14ac:dyDescent="0.25"/>
    <row r="1453" s="79" customFormat="1" ht="15" customHeight="1" x14ac:dyDescent="0.25"/>
    <row r="1454" s="79" customFormat="1" ht="15" customHeight="1" x14ac:dyDescent="0.25"/>
    <row r="1455" s="79" customFormat="1" ht="15" customHeight="1" x14ac:dyDescent="0.25"/>
    <row r="1456" s="79" customFormat="1" ht="15" customHeight="1" x14ac:dyDescent="0.25"/>
    <row r="1457" s="79" customFormat="1" ht="15" customHeight="1" x14ac:dyDescent="0.25"/>
    <row r="1458" s="79" customFormat="1" ht="15" customHeight="1" x14ac:dyDescent="0.25"/>
    <row r="1459" s="79" customFormat="1" ht="15" customHeight="1" x14ac:dyDescent="0.25"/>
    <row r="1460" s="79" customFormat="1" ht="15" customHeight="1" x14ac:dyDescent="0.25"/>
    <row r="1461" s="79" customFormat="1" ht="15" customHeight="1" x14ac:dyDescent="0.25"/>
    <row r="1462" s="79" customFormat="1" ht="15" customHeight="1" x14ac:dyDescent="0.25"/>
    <row r="1463" s="79" customFormat="1" ht="15" customHeight="1" x14ac:dyDescent="0.25"/>
    <row r="1464" s="79" customFormat="1" ht="15" customHeight="1" x14ac:dyDescent="0.25"/>
    <row r="1465" s="79" customFormat="1" ht="15" customHeight="1" x14ac:dyDescent="0.25"/>
    <row r="1466" s="79" customFormat="1" ht="15" customHeight="1" x14ac:dyDescent="0.25"/>
    <row r="1467" s="79" customFormat="1" ht="15" customHeight="1" x14ac:dyDescent="0.25"/>
    <row r="1468" s="79" customFormat="1" ht="15" customHeight="1" x14ac:dyDescent="0.25"/>
    <row r="1469" s="79" customFormat="1" ht="15" customHeight="1" x14ac:dyDescent="0.25"/>
    <row r="1470" s="79" customFormat="1" ht="15" customHeight="1" x14ac:dyDescent="0.25"/>
    <row r="1471" s="79" customFormat="1" ht="15" customHeight="1" x14ac:dyDescent="0.25"/>
    <row r="1472" s="79" customFormat="1" ht="15" customHeight="1" x14ac:dyDescent="0.25"/>
    <row r="1473" s="79" customFormat="1" ht="15" customHeight="1" x14ac:dyDescent="0.25"/>
    <row r="1474" s="79" customFormat="1" ht="15" customHeight="1" x14ac:dyDescent="0.25"/>
    <row r="1475" s="79" customFormat="1" ht="15" customHeight="1" x14ac:dyDescent="0.25"/>
    <row r="1476" s="79" customFormat="1" ht="15" customHeight="1" x14ac:dyDescent="0.25"/>
    <row r="1477" s="79" customFormat="1" ht="15" customHeight="1" x14ac:dyDescent="0.25"/>
    <row r="1478" s="79" customFormat="1" ht="15" customHeight="1" x14ac:dyDescent="0.25"/>
    <row r="1479" s="79" customFormat="1" ht="15" customHeight="1" x14ac:dyDescent="0.25"/>
    <row r="1480" s="79" customFormat="1" ht="15" customHeight="1" x14ac:dyDescent="0.25"/>
    <row r="1481" s="79" customFormat="1" ht="15" customHeight="1" x14ac:dyDescent="0.25"/>
    <row r="1482" s="79" customFormat="1" ht="15" customHeight="1" x14ac:dyDescent="0.25"/>
    <row r="1483" s="79" customFormat="1" ht="15" customHeight="1" x14ac:dyDescent="0.25"/>
    <row r="1484" s="79" customFormat="1" ht="15" customHeight="1" x14ac:dyDescent="0.25"/>
    <row r="1485" s="79" customFormat="1" ht="15" customHeight="1" x14ac:dyDescent="0.25"/>
    <row r="1486" s="79" customFormat="1" ht="15" customHeight="1" x14ac:dyDescent="0.25"/>
    <row r="1487" s="79" customFormat="1" ht="15" customHeight="1" x14ac:dyDescent="0.25"/>
    <row r="1488" s="79" customFormat="1" ht="15" customHeight="1" x14ac:dyDescent="0.25"/>
    <row r="1489" s="79" customFormat="1" ht="15" customHeight="1" x14ac:dyDescent="0.25"/>
    <row r="1490" s="79" customFormat="1" ht="15" customHeight="1" x14ac:dyDescent="0.25"/>
    <row r="1491" s="79" customFormat="1" ht="15" customHeight="1" x14ac:dyDescent="0.25"/>
    <row r="1492" s="79" customFormat="1" ht="15" customHeight="1" x14ac:dyDescent="0.25"/>
    <row r="1493" s="79" customFormat="1" ht="15" customHeight="1" x14ac:dyDescent="0.25"/>
    <row r="1494" s="79" customFormat="1" ht="15" customHeight="1" x14ac:dyDescent="0.25"/>
    <row r="1495" s="79" customFormat="1" ht="15" customHeight="1" x14ac:dyDescent="0.25"/>
    <row r="1496" s="79" customFormat="1" ht="15" customHeight="1" x14ac:dyDescent="0.25"/>
    <row r="1497" s="79" customFormat="1" ht="15" customHeight="1" x14ac:dyDescent="0.25"/>
    <row r="1498" s="79" customFormat="1" ht="15" customHeight="1" x14ac:dyDescent="0.25"/>
    <row r="1499" s="79" customFormat="1" ht="15" customHeight="1" x14ac:dyDescent="0.25"/>
    <row r="1500" s="79" customFormat="1" ht="15" customHeight="1" x14ac:dyDescent="0.25"/>
    <row r="1501" s="79" customFormat="1" ht="15" customHeight="1" x14ac:dyDescent="0.25"/>
    <row r="1502" s="79" customFormat="1" ht="15" customHeight="1" x14ac:dyDescent="0.25"/>
    <row r="1503" s="79" customFormat="1" ht="15" customHeight="1" x14ac:dyDescent="0.25"/>
    <row r="1504" s="79" customFormat="1" ht="15" customHeight="1" x14ac:dyDescent="0.25"/>
    <row r="1505" s="79" customFormat="1" ht="15" customHeight="1" x14ac:dyDescent="0.25"/>
    <row r="1506" s="79" customFormat="1" ht="15" customHeight="1" x14ac:dyDescent="0.25"/>
    <row r="1507" s="79" customFormat="1" ht="15" customHeight="1" x14ac:dyDescent="0.25"/>
    <row r="1508" s="79" customFormat="1" ht="15" customHeight="1" x14ac:dyDescent="0.25"/>
    <row r="1509" s="79" customFormat="1" ht="15" customHeight="1" x14ac:dyDescent="0.25"/>
    <row r="1510" s="79" customFormat="1" ht="15" customHeight="1" x14ac:dyDescent="0.25"/>
    <row r="1511" s="79" customFormat="1" ht="15" customHeight="1" x14ac:dyDescent="0.25"/>
    <row r="1512" s="79" customFormat="1" ht="15" customHeight="1" x14ac:dyDescent="0.25"/>
    <row r="1513" s="79" customFormat="1" ht="15" customHeight="1" x14ac:dyDescent="0.25"/>
    <row r="1514" s="79" customFormat="1" ht="15" customHeight="1" x14ac:dyDescent="0.25"/>
  </sheetData>
  <sheetProtection selectLockedCells="1"/>
  <mergeCells count="5">
    <mergeCell ref="C2:AG2"/>
    <mergeCell ref="AH2:AH3"/>
    <mergeCell ref="AI2:AL3"/>
    <mergeCell ref="AM2:AP3"/>
    <mergeCell ref="AQ2:AR3"/>
  </mergeCells>
  <conditionalFormatting sqref="C17:C18 C9:AG11 C5:AG7">
    <cfRule type="expression" priority="1830" stopIfTrue="1">
      <formula>C5=""</formula>
    </cfRule>
    <cfRule type="expression" dxfId="9289" priority="1831" stopIfTrue="1">
      <formula>C5=CléPersonnalisée2</formula>
    </cfRule>
    <cfRule type="expression" dxfId="9288" priority="1832" stopIfTrue="1">
      <formula>C5=CléPersonnalisée1</formula>
    </cfRule>
    <cfRule type="expression" dxfId="9287" priority="1833" stopIfTrue="1">
      <formula>C5=CléMaladie</formula>
    </cfRule>
    <cfRule type="expression" dxfId="9286" priority="1834" stopIfTrue="1">
      <formula>C5=CléPersonnelle</formula>
    </cfRule>
    <cfRule type="expression" dxfId="9285" priority="1835" stopIfTrue="1">
      <formula>C5=CléCongés</formula>
    </cfRule>
  </conditionalFormatting>
  <conditionalFormatting sqref="AH5:AH6 AH9:AH11">
    <cfRule type="dataBar" priority="1836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{417B9B21-D63D-40CB-A73C-2BA18CA861F2}</x14:id>
        </ext>
      </extLst>
    </cfRule>
  </conditionalFormatting>
  <conditionalFormatting sqref="AI5:AL6 AI9:AL11">
    <cfRule type="expression" priority="1824" stopIfTrue="1">
      <formula>AI5=""</formula>
    </cfRule>
    <cfRule type="expression" dxfId="9284" priority="1825" stopIfTrue="1">
      <formula>AI5=CléPersonnalisée2</formula>
    </cfRule>
    <cfRule type="expression" dxfId="9283" priority="1826" stopIfTrue="1">
      <formula>AI5=CléPersonnalisée1</formula>
    </cfRule>
    <cfRule type="expression" dxfId="9282" priority="1827" stopIfTrue="1">
      <formula>AI5=CléMaladie</formula>
    </cfRule>
    <cfRule type="expression" dxfId="9281" priority="1828" stopIfTrue="1">
      <formula>AI5=CléPersonnelle</formula>
    </cfRule>
    <cfRule type="expression" dxfId="9280" priority="1829" stopIfTrue="1">
      <formula>AI5=CléCongés</formula>
    </cfRule>
  </conditionalFormatting>
  <conditionalFormatting sqref="AM5:AP6 AM9:AP10">
    <cfRule type="expression" priority="1818" stopIfTrue="1">
      <formula>AM5=""</formula>
    </cfRule>
    <cfRule type="expression" dxfId="9279" priority="1819" stopIfTrue="1">
      <formula>AM5=CléPersonnalisée2</formula>
    </cfRule>
    <cfRule type="expression" dxfId="9278" priority="1820" stopIfTrue="1">
      <formula>AM5=CléPersonnalisée1</formula>
    </cfRule>
    <cfRule type="expression" dxfId="9277" priority="1821" stopIfTrue="1">
      <formula>AM5=CléMaladie</formula>
    </cfRule>
    <cfRule type="expression" dxfId="9276" priority="1822" stopIfTrue="1">
      <formula>AM5=CléPersonnelle</formula>
    </cfRule>
    <cfRule type="expression" dxfId="9275" priority="1823" stopIfTrue="1">
      <formula>AM5=CléCongés</formula>
    </cfRule>
  </conditionalFormatting>
  <conditionalFormatting sqref="AQ5:AR6 AQ9:AR10 AQ32:AR32 AQ44:AR44">
    <cfRule type="expression" priority="1812" stopIfTrue="1">
      <formula>AQ5=""</formula>
    </cfRule>
    <cfRule type="expression" dxfId="9274" priority="1813" stopIfTrue="1">
      <formula>AQ5=CléPersonnalisée2</formula>
    </cfRule>
    <cfRule type="expression" dxfId="9273" priority="1814" stopIfTrue="1">
      <formula>AQ5=CléPersonnalisée1</formula>
    </cfRule>
    <cfRule type="expression" dxfId="9272" priority="1815" stopIfTrue="1">
      <formula>AQ5=CléMaladie</formula>
    </cfRule>
    <cfRule type="expression" dxfId="9271" priority="1816" stopIfTrue="1">
      <formula>AQ5=CléPersonnelle</formula>
    </cfRule>
    <cfRule type="expression" dxfId="9270" priority="1817" stopIfTrue="1">
      <formula>AQ5=CléCongés</formula>
    </cfRule>
  </conditionalFormatting>
  <conditionalFormatting sqref="AP7:AP8">
    <cfRule type="expression" priority="1806" stopIfTrue="1">
      <formula>AP7=""</formula>
    </cfRule>
    <cfRule type="expression" dxfId="9269" priority="1807" stopIfTrue="1">
      <formula>AP7=CléPersonnalisée2</formula>
    </cfRule>
    <cfRule type="expression" dxfId="9268" priority="1808" stopIfTrue="1">
      <formula>AP7=CléPersonnalisée1</formula>
    </cfRule>
    <cfRule type="expression" dxfId="9267" priority="1809" stopIfTrue="1">
      <formula>AP7=CléMaladie</formula>
    </cfRule>
    <cfRule type="expression" dxfId="9266" priority="1810" stopIfTrue="1">
      <formula>AP7=CléPersonnelle</formula>
    </cfRule>
    <cfRule type="expression" dxfId="9265" priority="1811" stopIfTrue="1">
      <formula>AP7=CléCongés</formula>
    </cfRule>
  </conditionalFormatting>
  <conditionalFormatting sqref="AQ8:AR8 AR7">
    <cfRule type="expression" priority="1800" stopIfTrue="1">
      <formula>AQ7=""</formula>
    </cfRule>
    <cfRule type="expression" dxfId="9264" priority="1801" stopIfTrue="1">
      <formula>AQ7=CléPersonnalisée2</formula>
    </cfRule>
    <cfRule type="expression" dxfId="9263" priority="1802" stopIfTrue="1">
      <formula>AQ7=CléPersonnalisée1</formula>
    </cfRule>
    <cfRule type="expression" dxfId="9262" priority="1803" stopIfTrue="1">
      <formula>AQ7=CléMaladie</formula>
    </cfRule>
    <cfRule type="expression" dxfId="9261" priority="1804" stopIfTrue="1">
      <formula>AQ7=CléPersonnelle</formula>
    </cfRule>
    <cfRule type="expression" dxfId="9260" priority="1805" stopIfTrue="1">
      <formula>AQ7=CléCongés</formula>
    </cfRule>
  </conditionalFormatting>
  <conditionalFormatting sqref="AM11 AP11">
    <cfRule type="expression" priority="1794" stopIfTrue="1">
      <formula>AM11=""</formula>
    </cfRule>
    <cfRule type="expression" dxfId="9259" priority="1795" stopIfTrue="1">
      <formula>AM11=CléPersonnalisée2</formula>
    </cfRule>
    <cfRule type="expression" dxfId="9258" priority="1796" stopIfTrue="1">
      <formula>AM11=CléPersonnalisée1</formula>
    </cfRule>
    <cfRule type="expression" dxfId="9257" priority="1797" stopIfTrue="1">
      <formula>AM11=CléMaladie</formula>
    </cfRule>
    <cfRule type="expression" dxfId="9256" priority="1798" stopIfTrue="1">
      <formula>AM11=CléPersonnelle</formula>
    </cfRule>
    <cfRule type="expression" dxfId="9255" priority="1799" stopIfTrue="1">
      <formula>AM11=CléCongés</formula>
    </cfRule>
  </conditionalFormatting>
  <conditionalFormatting sqref="AQ48:AR48">
    <cfRule type="expression" priority="1788" stopIfTrue="1">
      <formula>AQ48=""</formula>
    </cfRule>
    <cfRule type="expression" dxfId="9254" priority="1789" stopIfTrue="1">
      <formula>AQ48=CléPersonnalisée2</formula>
    </cfRule>
    <cfRule type="expression" dxfId="9253" priority="1790" stopIfTrue="1">
      <formula>AQ48=CléPersonnalisée1</formula>
    </cfRule>
    <cfRule type="expression" dxfId="9252" priority="1791" stopIfTrue="1">
      <formula>AQ48=CléMaladie</formula>
    </cfRule>
    <cfRule type="expression" dxfId="9251" priority="1792" stopIfTrue="1">
      <formula>AQ48=CléPersonnelle</formula>
    </cfRule>
    <cfRule type="expression" dxfId="9250" priority="1793" stopIfTrue="1">
      <formula>AQ48=CléCongés</formula>
    </cfRule>
  </conditionalFormatting>
  <conditionalFormatting sqref="AQ52:AR52">
    <cfRule type="expression" priority="1782" stopIfTrue="1">
      <formula>AQ52=""</formula>
    </cfRule>
    <cfRule type="expression" dxfId="9249" priority="1783" stopIfTrue="1">
      <formula>AQ52=CléPersonnalisée2</formula>
    </cfRule>
    <cfRule type="expression" dxfId="9248" priority="1784" stopIfTrue="1">
      <formula>AQ52=CléPersonnalisée1</formula>
    </cfRule>
    <cfRule type="expression" dxfId="9247" priority="1785" stopIfTrue="1">
      <formula>AQ52=CléMaladie</formula>
    </cfRule>
    <cfRule type="expression" dxfId="9246" priority="1786" stopIfTrue="1">
      <formula>AQ52=CléPersonnelle</formula>
    </cfRule>
    <cfRule type="expression" dxfId="9245" priority="1787" stopIfTrue="1">
      <formula>AQ52=CléCongés</formula>
    </cfRule>
  </conditionalFormatting>
  <conditionalFormatting sqref="AQ56:AR56 AQ60:AR60">
    <cfRule type="expression" priority="1776" stopIfTrue="1">
      <formula>AQ56=""</formula>
    </cfRule>
    <cfRule type="expression" dxfId="9244" priority="1777" stopIfTrue="1">
      <formula>AQ56=CléPersonnalisée2</formula>
    </cfRule>
    <cfRule type="expression" dxfId="9243" priority="1778" stopIfTrue="1">
      <formula>AQ56=CléPersonnalisée1</formula>
    </cfRule>
    <cfRule type="expression" dxfId="9242" priority="1779" stopIfTrue="1">
      <formula>AQ56=CléMaladie</formula>
    </cfRule>
    <cfRule type="expression" dxfId="9241" priority="1780" stopIfTrue="1">
      <formula>AQ56=CléPersonnelle</formula>
    </cfRule>
    <cfRule type="expression" dxfId="9240" priority="1781" stopIfTrue="1">
      <formula>AQ56=CléCongés</formula>
    </cfRule>
  </conditionalFormatting>
  <conditionalFormatting sqref="AQ64:AR64 AQ68:AR68">
    <cfRule type="expression" priority="1770" stopIfTrue="1">
      <formula>AQ64=""</formula>
    </cfRule>
    <cfRule type="expression" dxfId="9239" priority="1771" stopIfTrue="1">
      <formula>AQ64=CléPersonnalisée2</formula>
    </cfRule>
    <cfRule type="expression" dxfId="9238" priority="1772" stopIfTrue="1">
      <formula>AQ64=CléPersonnalisée1</formula>
    </cfRule>
    <cfRule type="expression" dxfId="9237" priority="1773" stopIfTrue="1">
      <formula>AQ64=CléMaladie</formula>
    </cfRule>
    <cfRule type="expression" dxfId="9236" priority="1774" stopIfTrue="1">
      <formula>AQ64=CléPersonnelle</formula>
    </cfRule>
    <cfRule type="expression" dxfId="9235" priority="1775" stopIfTrue="1">
      <formula>AQ64=CléCongés</formula>
    </cfRule>
  </conditionalFormatting>
  <conditionalFormatting sqref="AQ72:AR72 AQ76:AR76 AQ84:AR84 AQ88:AR88 AQ92:AR92 AQ80:AR80">
    <cfRule type="expression" priority="1764" stopIfTrue="1">
      <formula>AQ72=""</formula>
    </cfRule>
    <cfRule type="expression" dxfId="9234" priority="1765" stopIfTrue="1">
      <formula>AQ72=CléPersonnalisée2</formula>
    </cfRule>
    <cfRule type="expression" dxfId="9233" priority="1766" stopIfTrue="1">
      <formula>AQ72=CléPersonnalisée1</formula>
    </cfRule>
    <cfRule type="expression" dxfId="9232" priority="1767" stopIfTrue="1">
      <formula>AQ72=CléMaladie</formula>
    </cfRule>
    <cfRule type="expression" dxfId="9231" priority="1768" stopIfTrue="1">
      <formula>AQ72=CléPersonnelle</formula>
    </cfRule>
    <cfRule type="expression" dxfId="9230" priority="1769" stopIfTrue="1">
      <formula>AQ72=CléCongés</formula>
    </cfRule>
  </conditionalFormatting>
  <conditionalFormatting sqref="D17:AG18 C19:AG19">
    <cfRule type="expression" priority="1758" stopIfTrue="1">
      <formula>C17=""</formula>
    </cfRule>
    <cfRule type="expression" dxfId="9229" priority="1759" stopIfTrue="1">
      <formula>C17=CléPersonnalisée2</formula>
    </cfRule>
    <cfRule type="expression" dxfId="9228" priority="1760" stopIfTrue="1">
      <formula>C17=CléPersonnalisée1</formula>
    </cfRule>
    <cfRule type="expression" dxfId="9227" priority="1761" stopIfTrue="1">
      <formula>C17=CléMaladie</formula>
    </cfRule>
    <cfRule type="expression" dxfId="9226" priority="1762" stopIfTrue="1">
      <formula>C17=CléPersonnelle</formula>
    </cfRule>
    <cfRule type="expression" dxfId="9225" priority="1763" stopIfTrue="1">
      <formula>C17=CléCongés</formula>
    </cfRule>
  </conditionalFormatting>
  <conditionalFormatting sqref="AJ17:AL19">
    <cfRule type="expression" priority="1752" stopIfTrue="1">
      <formula>AJ17=""</formula>
    </cfRule>
    <cfRule type="expression" dxfId="9224" priority="1753" stopIfTrue="1">
      <formula>AJ17=CléPersonnalisée2</formula>
    </cfRule>
    <cfRule type="expression" dxfId="9223" priority="1754" stopIfTrue="1">
      <formula>AJ17=CléPersonnalisée1</formula>
    </cfRule>
    <cfRule type="expression" dxfId="9222" priority="1755" stopIfTrue="1">
      <formula>AJ17=CléMaladie</formula>
    </cfRule>
    <cfRule type="expression" dxfId="9221" priority="1756" stopIfTrue="1">
      <formula>AJ17=CléPersonnelle</formula>
    </cfRule>
    <cfRule type="expression" dxfId="9220" priority="1757" stopIfTrue="1">
      <formula>AJ17=CléCongés</formula>
    </cfRule>
  </conditionalFormatting>
  <conditionalFormatting sqref="C21:AG23">
    <cfRule type="expression" priority="1746" stopIfTrue="1">
      <formula>C21=""</formula>
    </cfRule>
    <cfRule type="expression" dxfId="9219" priority="1747" stopIfTrue="1">
      <formula>C21=CléPersonnalisée2</formula>
    </cfRule>
    <cfRule type="expression" dxfId="9218" priority="1748" stopIfTrue="1">
      <formula>C21=CléPersonnalisée1</formula>
    </cfRule>
    <cfRule type="expression" dxfId="9217" priority="1749" stopIfTrue="1">
      <formula>C21=CléMaladie</formula>
    </cfRule>
    <cfRule type="expression" dxfId="9216" priority="1750" stopIfTrue="1">
      <formula>C21=CléPersonnelle</formula>
    </cfRule>
    <cfRule type="expression" dxfId="9215" priority="1751" stopIfTrue="1">
      <formula>C21=CléCongés</formula>
    </cfRule>
  </conditionalFormatting>
  <conditionalFormatting sqref="AJ21:AL23">
    <cfRule type="expression" priority="1740" stopIfTrue="1">
      <formula>AJ21=""</formula>
    </cfRule>
    <cfRule type="expression" dxfId="9214" priority="1741" stopIfTrue="1">
      <formula>AJ21=CléPersonnalisée2</formula>
    </cfRule>
    <cfRule type="expression" dxfId="9213" priority="1742" stopIfTrue="1">
      <formula>AJ21=CléPersonnalisée1</formula>
    </cfRule>
    <cfRule type="expression" dxfId="9212" priority="1743" stopIfTrue="1">
      <formula>AJ21=CléMaladie</formula>
    </cfRule>
    <cfRule type="expression" dxfId="9211" priority="1744" stopIfTrue="1">
      <formula>AJ21=CléPersonnelle</formula>
    </cfRule>
    <cfRule type="expression" dxfId="9210" priority="1745" stopIfTrue="1">
      <formula>AJ21=CléCongés</formula>
    </cfRule>
  </conditionalFormatting>
  <conditionalFormatting sqref="C25:AG27">
    <cfRule type="expression" priority="1733" stopIfTrue="1">
      <formula>C25=""</formula>
    </cfRule>
    <cfRule type="expression" dxfId="9209" priority="1734" stopIfTrue="1">
      <formula>C25=CléPersonnalisée2</formula>
    </cfRule>
    <cfRule type="expression" dxfId="9208" priority="1735" stopIfTrue="1">
      <formula>C25=CléPersonnalisée1</formula>
    </cfRule>
    <cfRule type="expression" dxfId="9207" priority="1736" stopIfTrue="1">
      <formula>C25=CléMaladie</formula>
    </cfRule>
    <cfRule type="expression" dxfId="9206" priority="1737" stopIfTrue="1">
      <formula>C25=CléPersonnelle</formula>
    </cfRule>
    <cfRule type="expression" dxfId="9205" priority="1738" stopIfTrue="1">
      <formula>C25=CléCongés</formula>
    </cfRule>
  </conditionalFormatting>
  <conditionalFormatting sqref="AH27">
    <cfRule type="dataBar" priority="1739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{49E4357C-1D35-4EF0-86A8-DF00F1EBC870}</x14:id>
        </ext>
      </extLst>
    </cfRule>
  </conditionalFormatting>
  <conditionalFormatting sqref="AI27:AL27 AJ25:AL26">
    <cfRule type="expression" priority="1727" stopIfTrue="1">
      <formula>AI25=""</formula>
    </cfRule>
    <cfRule type="expression" dxfId="9204" priority="1728" stopIfTrue="1">
      <formula>AI25=CléPersonnalisée2</formula>
    </cfRule>
    <cfRule type="expression" dxfId="9203" priority="1729" stopIfTrue="1">
      <formula>AI25=CléPersonnalisée1</formula>
    </cfRule>
    <cfRule type="expression" dxfId="9202" priority="1730" stopIfTrue="1">
      <formula>AI25=CléMaladie</formula>
    </cfRule>
    <cfRule type="expression" dxfId="9201" priority="1731" stopIfTrue="1">
      <formula>AI25=CléPersonnelle</formula>
    </cfRule>
    <cfRule type="expression" dxfId="9200" priority="1732" stopIfTrue="1">
      <formula>AI25=CléCongés</formula>
    </cfRule>
  </conditionalFormatting>
  <conditionalFormatting sqref="AM25:AP26">
    <cfRule type="expression" priority="1721" stopIfTrue="1">
      <formula>AM25=""</formula>
    </cfRule>
    <cfRule type="expression" dxfId="9199" priority="1722" stopIfTrue="1">
      <formula>AM25=CléPersonnalisée2</formula>
    </cfRule>
    <cfRule type="expression" dxfId="9198" priority="1723" stopIfTrue="1">
      <formula>AM25=CléPersonnalisée1</formula>
    </cfRule>
    <cfRule type="expression" dxfId="9197" priority="1724" stopIfTrue="1">
      <formula>AM25=CléMaladie</formula>
    </cfRule>
    <cfRule type="expression" dxfId="9196" priority="1725" stopIfTrue="1">
      <formula>AM25=CléPersonnelle</formula>
    </cfRule>
    <cfRule type="expression" dxfId="9195" priority="1726" stopIfTrue="1">
      <formula>AM25=CléCongés</formula>
    </cfRule>
  </conditionalFormatting>
  <conditionalFormatting sqref="AQ25:AR26">
    <cfRule type="expression" priority="1715" stopIfTrue="1">
      <formula>AQ25=""</formula>
    </cfRule>
    <cfRule type="expression" dxfId="9194" priority="1716" stopIfTrue="1">
      <formula>AQ25=CléPersonnalisée2</formula>
    </cfRule>
    <cfRule type="expression" dxfId="9193" priority="1717" stopIfTrue="1">
      <formula>AQ25=CléPersonnalisée1</formula>
    </cfRule>
    <cfRule type="expression" dxfId="9192" priority="1718" stopIfTrue="1">
      <formula>AQ25=CléMaladie</formula>
    </cfRule>
    <cfRule type="expression" dxfId="9191" priority="1719" stopIfTrue="1">
      <formula>AQ25=CléPersonnelle</formula>
    </cfRule>
    <cfRule type="expression" dxfId="9190" priority="1720" stopIfTrue="1">
      <formula>AQ25=CléCongés</formula>
    </cfRule>
  </conditionalFormatting>
  <conditionalFormatting sqref="AM27 AP27">
    <cfRule type="expression" priority="1709" stopIfTrue="1">
      <formula>AM27=""</formula>
    </cfRule>
    <cfRule type="expression" dxfId="9189" priority="1710" stopIfTrue="1">
      <formula>AM27=CléPersonnalisée2</formula>
    </cfRule>
    <cfRule type="expression" dxfId="9188" priority="1711" stopIfTrue="1">
      <formula>AM27=CléPersonnalisée1</formula>
    </cfRule>
    <cfRule type="expression" dxfId="9187" priority="1712" stopIfTrue="1">
      <formula>AM27=CléMaladie</formula>
    </cfRule>
    <cfRule type="expression" dxfId="9186" priority="1713" stopIfTrue="1">
      <formula>AM27=CléPersonnelle</formula>
    </cfRule>
    <cfRule type="expression" dxfId="9185" priority="1714" stopIfTrue="1">
      <formula>AM27=CléCongés</formula>
    </cfRule>
  </conditionalFormatting>
  <conditionalFormatting sqref="C29:AG31">
    <cfRule type="expression" priority="1702" stopIfTrue="1">
      <formula>C29=""</formula>
    </cfRule>
    <cfRule type="expression" dxfId="9184" priority="1703" stopIfTrue="1">
      <formula>C29=CléPersonnalisée2</formula>
    </cfRule>
    <cfRule type="expression" dxfId="9183" priority="1704" stopIfTrue="1">
      <formula>C29=CléPersonnalisée1</formula>
    </cfRule>
    <cfRule type="expression" dxfId="9182" priority="1705" stopIfTrue="1">
      <formula>C29=CléMaladie</formula>
    </cfRule>
    <cfRule type="expression" dxfId="9181" priority="1706" stopIfTrue="1">
      <formula>C29=CléPersonnelle</formula>
    </cfRule>
    <cfRule type="expression" dxfId="9180" priority="1707" stopIfTrue="1">
      <formula>C29=CléCongés</formula>
    </cfRule>
  </conditionalFormatting>
  <conditionalFormatting sqref="AH31">
    <cfRule type="dataBar" priority="1708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{A1938AB9-67C9-43BC-AB63-56D82516949A}</x14:id>
        </ext>
      </extLst>
    </cfRule>
  </conditionalFormatting>
  <conditionalFormatting sqref="AI31:AL31 AJ29:AL30">
    <cfRule type="expression" priority="1696" stopIfTrue="1">
      <formula>AI29=""</formula>
    </cfRule>
    <cfRule type="expression" dxfId="9179" priority="1697" stopIfTrue="1">
      <formula>AI29=CléPersonnalisée2</formula>
    </cfRule>
    <cfRule type="expression" dxfId="9178" priority="1698" stopIfTrue="1">
      <formula>AI29=CléPersonnalisée1</formula>
    </cfRule>
    <cfRule type="expression" dxfId="9177" priority="1699" stopIfTrue="1">
      <formula>AI29=CléMaladie</formula>
    </cfRule>
    <cfRule type="expression" dxfId="9176" priority="1700" stopIfTrue="1">
      <formula>AI29=CléPersonnelle</formula>
    </cfRule>
    <cfRule type="expression" dxfId="9175" priority="1701" stopIfTrue="1">
      <formula>AI29=CléCongés</formula>
    </cfRule>
  </conditionalFormatting>
  <conditionalFormatting sqref="AM29:AP30">
    <cfRule type="expression" priority="1690" stopIfTrue="1">
      <formula>AM29=""</formula>
    </cfRule>
    <cfRule type="expression" dxfId="9174" priority="1691" stopIfTrue="1">
      <formula>AM29=CléPersonnalisée2</formula>
    </cfRule>
    <cfRule type="expression" dxfId="9173" priority="1692" stopIfTrue="1">
      <formula>AM29=CléPersonnalisée1</formula>
    </cfRule>
    <cfRule type="expression" dxfId="9172" priority="1693" stopIfTrue="1">
      <formula>AM29=CléMaladie</formula>
    </cfRule>
    <cfRule type="expression" dxfId="9171" priority="1694" stopIfTrue="1">
      <formula>AM29=CléPersonnelle</formula>
    </cfRule>
    <cfRule type="expression" dxfId="9170" priority="1695" stopIfTrue="1">
      <formula>AM29=CléCongés</formula>
    </cfRule>
  </conditionalFormatting>
  <conditionalFormatting sqref="AQ29:AR30">
    <cfRule type="expression" priority="1684" stopIfTrue="1">
      <formula>AQ29=""</formula>
    </cfRule>
    <cfRule type="expression" dxfId="9169" priority="1685" stopIfTrue="1">
      <formula>AQ29=CléPersonnalisée2</formula>
    </cfRule>
    <cfRule type="expression" dxfId="9168" priority="1686" stopIfTrue="1">
      <formula>AQ29=CléPersonnalisée1</formula>
    </cfRule>
    <cfRule type="expression" dxfId="9167" priority="1687" stopIfTrue="1">
      <formula>AQ29=CléMaladie</formula>
    </cfRule>
    <cfRule type="expression" dxfId="9166" priority="1688" stopIfTrue="1">
      <formula>AQ29=CléPersonnelle</formula>
    </cfRule>
    <cfRule type="expression" dxfId="9165" priority="1689" stopIfTrue="1">
      <formula>AQ29=CléCongés</formula>
    </cfRule>
  </conditionalFormatting>
  <conditionalFormatting sqref="AM31 AP31">
    <cfRule type="expression" priority="1678" stopIfTrue="1">
      <formula>AM31=""</formula>
    </cfRule>
    <cfRule type="expression" dxfId="9164" priority="1679" stopIfTrue="1">
      <formula>AM31=CléPersonnalisée2</formula>
    </cfRule>
    <cfRule type="expression" dxfId="9163" priority="1680" stopIfTrue="1">
      <formula>AM31=CléPersonnalisée1</formula>
    </cfRule>
    <cfRule type="expression" dxfId="9162" priority="1681" stopIfTrue="1">
      <formula>AM31=CléMaladie</formula>
    </cfRule>
    <cfRule type="expression" dxfId="9161" priority="1682" stopIfTrue="1">
      <formula>AM31=CléPersonnelle</formula>
    </cfRule>
    <cfRule type="expression" dxfId="9160" priority="1683" stopIfTrue="1">
      <formula>AM31=CléCongés</formula>
    </cfRule>
  </conditionalFormatting>
  <conditionalFormatting sqref="C33:AG35">
    <cfRule type="expression" priority="1671" stopIfTrue="1">
      <formula>C33=""</formula>
    </cfRule>
    <cfRule type="expression" dxfId="9159" priority="1672" stopIfTrue="1">
      <formula>C33=CléPersonnalisée2</formula>
    </cfRule>
    <cfRule type="expression" dxfId="9158" priority="1673" stopIfTrue="1">
      <formula>C33=CléPersonnalisée1</formula>
    </cfRule>
    <cfRule type="expression" dxfId="9157" priority="1674" stopIfTrue="1">
      <formula>C33=CléMaladie</formula>
    </cfRule>
    <cfRule type="expression" dxfId="9156" priority="1675" stopIfTrue="1">
      <formula>C33=CléPersonnelle</formula>
    </cfRule>
    <cfRule type="expression" dxfId="9155" priority="1676" stopIfTrue="1">
      <formula>C33=CléCongés</formula>
    </cfRule>
  </conditionalFormatting>
  <conditionalFormatting sqref="AH35">
    <cfRule type="dataBar" priority="1677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{39CEABBC-836F-4CA2-A53A-A4EDE85F827F}</x14:id>
        </ext>
      </extLst>
    </cfRule>
  </conditionalFormatting>
  <conditionalFormatting sqref="AI35:AL35 AJ33:AL34">
    <cfRule type="expression" priority="1665" stopIfTrue="1">
      <formula>AI33=""</formula>
    </cfRule>
    <cfRule type="expression" dxfId="9154" priority="1666" stopIfTrue="1">
      <formula>AI33=CléPersonnalisée2</formula>
    </cfRule>
    <cfRule type="expression" dxfId="9153" priority="1667" stopIfTrue="1">
      <formula>AI33=CléPersonnalisée1</formula>
    </cfRule>
    <cfRule type="expression" dxfId="9152" priority="1668" stopIfTrue="1">
      <formula>AI33=CléMaladie</formula>
    </cfRule>
    <cfRule type="expression" dxfId="9151" priority="1669" stopIfTrue="1">
      <formula>AI33=CléPersonnelle</formula>
    </cfRule>
    <cfRule type="expression" dxfId="9150" priority="1670" stopIfTrue="1">
      <formula>AI33=CléCongés</formula>
    </cfRule>
  </conditionalFormatting>
  <conditionalFormatting sqref="AM33:AP34">
    <cfRule type="expression" priority="1659" stopIfTrue="1">
      <formula>AM33=""</formula>
    </cfRule>
    <cfRule type="expression" dxfId="9149" priority="1660" stopIfTrue="1">
      <formula>AM33=CléPersonnalisée2</formula>
    </cfRule>
    <cfRule type="expression" dxfId="9148" priority="1661" stopIfTrue="1">
      <formula>AM33=CléPersonnalisée1</formula>
    </cfRule>
    <cfRule type="expression" dxfId="9147" priority="1662" stopIfTrue="1">
      <formula>AM33=CléMaladie</formula>
    </cfRule>
    <cfRule type="expression" dxfId="9146" priority="1663" stopIfTrue="1">
      <formula>AM33=CléPersonnelle</formula>
    </cfRule>
    <cfRule type="expression" dxfId="9145" priority="1664" stopIfTrue="1">
      <formula>AM33=CléCongés</formula>
    </cfRule>
  </conditionalFormatting>
  <conditionalFormatting sqref="AQ33:AR34">
    <cfRule type="expression" priority="1653" stopIfTrue="1">
      <formula>AQ33=""</formula>
    </cfRule>
    <cfRule type="expression" dxfId="9144" priority="1654" stopIfTrue="1">
      <formula>AQ33=CléPersonnalisée2</formula>
    </cfRule>
    <cfRule type="expression" dxfId="9143" priority="1655" stopIfTrue="1">
      <formula>AQ33=CléPersonnalisée1</formula>
    </cfRule>
    <cfRule type="expression" dxfId="9142" priority="1656" stopIfTrue="1">
      <formula>AQ33=CléMaladie</formula>
    </cfRule>
    <cfRule type="expression" dxfId="9141" priority="1657" stopIfTrue="1">
      <formula>AQ33=CléPersonnelle</formula>
    </cfRule>
    <cfRule type="expression" dxfId="9140" priority="1658" stopIfTrue="1">
      <formula>AQ33=CléCongés</formula>
    </cfRule>
  </conditionalFormatting>
  <conditionalFormatting sqref="AM35 AP35">
    <cfRule type="expression" priority="1647" stopIfTrue="1">
      <formula>AM35=""</formula>
    </cfRule>
    <cfRule type="expression" dxfId="9139" priority="1648" stopIfTrue="1">
      <formula>AM35=CléPersonnalisée2</formula>
    </cfRule>
    <cfRule type="expression" dxfId="9138" priority="1649" stopIfTrue="1">
      <formula>AM35=CléPersonnalisée1</formula>
    </cfRule>
    <cfRule type="expression" dxfId="9137" priority="1650" stopIfTrue="1">
      <formula>AM35=CléMaladie</formula>
    </cfRule>
    <cfRule type="expression" dxfId="9136" priority="1651" stopIfTrue="1">
      <formula>AM35=CléPersonnelle</formula>
    </cfRule>
    <cfRule type="expression" dxfId="9135" priority="1652" stopIfTrue="1">
      <formula>AM35=CléCongés</formula>
    </cfRule>
  </conditionalFormatting>
  <conditionalFormatting sqref="C37:AG39">
    <cfRule type="expression" priority="1640" stopIfTrue="1">
      <formula>C37=""</formula>
    </cfRule>
    <cfRule type="expression" dxfId="9134" priority="1641" stopIfTrue="1">
      <formula>C37=CléPersonnalisée2</formula>
    </cfRule>
    <cfRule type="expression" dxfId="9133" priority="1642" stopIfTrue="1">
      <formula>C37=CléPersonnalisée1</formula>
    </cfRule>
    <cfRule type="expression" dxfId="9132" priority="1643" stopIfTrue="1">
      <formula>C37=CléMaladie</formula>
    </cfRule>
    <cfRule type="expression" dxfId="9131" priority="1644" stopIfTrue="1">
      <formula>C37=CléPersonnelle</formula>
    </cfRule>
    <cfRule type="expression" dxfId="9130" priority="1645" stopIfTrue="1">
      <formula>C37=CléCongés</formula>
    </cfRule>
  </conditionalFormatting>
  <conditionalFormatting sqref="AH39">
    <cfRule type="dataBar" priority="1646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{2910DE02-381E-416E-ABF4-FBD8EE60D63B}</x14:id>
        </ext>
      </extLst>
    </cfRule>
  </conditionalFormatting>
  <conditionalFormatting sqref="AI39:AL39 AJ37:AL38">
    <cfRule type="expression" priority="1634" stopIfTrue="1">
      <formula>AI37=""</formula>
    </cfRule>
    <cfRule type="expression" dxfId="9129" priority="1635" stopIfTrue="1">
      <formula>AI37=CléPersonnalisée2</formula>
    </cfRule>
    <cfRule type="expression" dxfId="9128" priority="1636" stopIfTrue="1">
      <formula>AI37=CléPersonnalisée1</formula>
    </cfRule>
    <cfRule type="expression" dxfId="9127" priority="1637" stopIfTrue="1">
      <formula>AI37=CléMaladie</formula>
    </cfRule>
    <cfRule type="expression" dxfId="9126" priority="1638" stopIfTrue="1">
      <formula>AI37=CléPersonnelle</formula>
    </cfRule>
    <cfRule type="expression" dxfId="9125" priority="1639" stopIfTrue="1">
      <formula>AI37=CléCongés</formula>
    </cfRule>
  </conditionalFormatting>
  <conditionalFormatting sqref="AM37:AP38">
    <cfRule type="expression" priority="1628" stopIfTrue="1">
      <formula>AM37=""</formula>
    </cfRule>
    <cfRule type="expression" dxfId="9124" priority="1629" stopIfTrue="1">
      <formula>AM37=CléPersonnalisée2</formula>
    </cfRule>
    <cfRule type="expression" dxfId="9123" priority="1630" stopIfTrue="1">
      <formula>AM37=CléPersonnalisée1</formula>
    </cfRule>
    <cfRule type="expression" dxfId="9122" priority="1631" stopIfTrue="1">
      <formula>AM37=CléMaladie</formula>
    </cfRule>
    <cfRule type="expression" dxfId="9121" priority="1632" stopIfTrue="1">
      <formula>AM37=CléPersonnelle</formula>
    </cfRule>
    <cfRule type="expression" dxfId="9120" priority="1633" stopIfTrue="1">
      <formula>AM37=CléCongés</formula>
    </cfRule>
  </conditionalFormatting>
  <conditionalFormatting sqref="AQ37:AR38">
    <cfRule type="expression" priority="1622" stopIfTrue="1">
      <formula>AQ37=""</formula>
    </cfRule>
    <cfRule type="expression" dxfId="9119" priority="1623" stopIfTrue="1">
      <formula>AQ37=CléPersonnalisée2</formula>
    </cfRule>
    <cfRule type="expression" dxfId="9118" priority="1624" stopIfTrue="1">
      <formula>AQ37=CléPersonnalisée1</formula>
    </cfRule>
    <cfRule type="expression" dxfId="9117" priority="1625" stopIfTrue="1">
      <formula>AQ37=CléMaladie</formula>
    </cfRule>
    <cfRule type="expression" dxfId="9116" priority="1626" stopIfTrue="1">
      <formula>AQ37=CléPersonnelle</formula>
    </cfRule>
    <cfRule type="expression" dxfId="9115" priority="1627" stopIfTrue="1">
      <formula>AQ37=CléCongés</formula>
    </cfRule>
  </conditionalFormatting>
  <conditionalFormatting sqref="AM39 AP39">
    <cfRule type="expression" priority="1616" stopIfTrue="1">
      <formula>AM39=""</formula>
    </cfRule>
    <cfRule type="expression" dxfId="9114" priority="1617" stopIfTrue="1">
      <formula>AM39=CléPersonnalisée2</formula>
    </cfRule>
    <cfRule type="expression" dxfId="9113" priority="1618" stopIfTrue="1">
      <formula>AM39=CléPersonnalisée1</formula>
    </cfRule>
    <cfRule type="expression" dxfId="9112" priority="1619" stopIfTrue="1">
      <formula>AM39=CléMaladie</formula>
    </cfRule>
    <cfRule type="expression" dxfId="9111" priority="1620" stopIfTrue="1">
      <formula>AM39=CléPersonnelle</formula>
    </cfRule>
    <cfRule type="expression" dxfId="9110" priority="1621" stopIfTrue="1">
      <formula>AM39=CléCongés</formula>
    </cfRule>
  </conditionalFormatting>
  <conditionalFormatting sqref="C41:AG43">
    <cfRule type="expression" priority="1609" stopIfTrue="1">
      <formula>C41=""</formula>
    </cfRule>
    <cfRule type="expression" dxfId="9109" priority="1610" stopIfTrue="1">
      <formula>C41=CléPersonnalisée2</formula>
    </cfRule>
    <cfRule type="expression" dxfId="9108" priority="1611" stopIfTrue="1">
      <formula>C41=CléPersonnalisée1</formula>
    </cfRule>
    <cfRule type="expression" dxfId="9107" priority="1612" stopIfTrue="1">
      <formula>C41=CléMaladie</formula>
    </cfRule>
    <cfRule type="expression" dxfId="9106" priority="1613" stopIfTrue="1">
      <formula>C41=CléPersonnelle</formula>
    </cfRule>
    <cfRule type="expression" dxfId="9105" priority="1614" stopIfTrue="1">
      <formula>C41=CléCongés</formula>
    </cfRule>
  </conditionalFormatting>
  <conditionalFormatting sqref="AH43">
    <cfRule type="dataBar" priority="1615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{B591289F-F391-4A97-80B5-EA2081CED152}</x14:id>
        </ext>
      </extLst>
    </cfRule>
  </conditionalFormatting>
  <conditionalFormatting sqref="AI43:AL43 AJ41:AL42">
    <cfRule type="expression" priority="1603" stopIfTrue="1">
      <formula>AI41=""</formula>
    </cfRule>
    <cfRule type="expression" dxfId="9104" priority="1604" stopIfTrue="1">
      <formula>AI41=CléPersonnalisée2</formula>
    </cfRule>
    <cfRule type="expression" dxfId="9103" priority="1605" stopIfTrue="1">
      <formula>AI41=CléPersonnalisée1</formula>
    </cfRule>
    <cfRule type="expression" dxfId="9102" priority="1606" stopIfTrue="1">
      <formula>AI41=CléMaladie</formula>
    </cfRule>
    <cfRule type="expression" dxfId="9101" priority="1607" stopIfTrue="1">
      <formula>AI41=CléPersonnelle</formula>
    </cfRule>
    <cfRule type="expression" dxfId="9100" priority="1608" stopIfTrue="1">
      <formula>AI41=CléCongés</formula>
    </cfRule>
  </conditionalFormatting>
  <conditionalFormatting sqref="AM41:AP42">
    <cfRule type="expression" priority="1597" stopIfTrue="1">
      <formula>AM41=""</formula>
    </cfRule>
    <cfRule type="expression" dxfId="9099" priority="1598" stopIfTrue="1">
      <formula>AM41=CléPersonnalisée2</formula>
    </cfRule>
    <cfRule type="expression" dxfId="9098" priority="1599" stopIfTrue="1">
      <formula>AM41=CléPersonnalisée1</formula>
    </cfRule>
    <cfRule type="expression" dxfId="9097" priority="1600" stopIfTrue="1">
      <formula>AM41=CléMaladie</formula>
    </cfRule>
    <cfRule type="expression" dxfId="9096" priority="1601" stopIfTrue="1">
      <formula>AM41=CléPersonnelle</formula>
    </cfRule>
    <cfRule type="expression" dxfId="9095" priority="1602" stopIfTrue="1">
      <formula>AM41=CléCongés</formula>
    </cfRule>
  </conditionalFormatting>
  <conditionalFormatting sqref="AQ41:AR42">
    <cfRule type="expression" priority="1591" stopIfTrue="1">
      <formula>AQ41=""</formula>
    </cfRule>
    <cfRule type="expression" dxfId="9094" priority="1592" stopIfTrue="1">
      <formula>AQ41=CléPersonnalisée2</formula>
    </cfRule>
    <cfRule type="expression" dxfId="9093" priority="1593" stopIfTrue="1">
      <formula>AQ41=CléPersonnalisée1</formula>
    </cfRule>
    <cfRule type="expression" dxfId="9092" priority="1594" stopIfTrue="1">
      <formula>AQ41=CléMaladie</formula>
    </cfRule>
    <cfRule type="expression" dxfId="9091" priority="1595" stopIfTrue="1">
      <formula>AQ41=CléPersonnelle</formula>
    </cfRule>
    <cfRule type="expression" dxfId="9090" priority="1596" stopIfTrue="1">
      <formula>AQ41=CléCongés</formula>
    </cfRule>
  </conditionalFormatting>
  <conditionalFormatting sqref="AM43 AP43">
    <cfRule type="expression" priority="1585" stopIfTrue="1">
      <formula>AM43=""</formula>
    </cfRule>
    <cfRule type="expression" dxfId="9089" priority="1586" stopIfTrue="1">
      <formula>AM43=CléPersonnalisée2</formula>
    </cfRule>
    <cfRule type="expression" dxfId="9088" priority="1587" stopIfTrue="1">
      <formula>AM43=CléPersonnalisée1</formula>
    </cfRule>
    <cfRule type="expression" dxfId="9087" priority="1588" stopIfTrue="1">
      <formula>AM43=CléMaladie</formula>
    </cfRule>
    <cfRule type="expression" dxfId="9086" priority="1589" stopIfTrue="1">
      <formula>AM43=CléPersonnelle</formula>
    </cfRule>
    <cfRule type="expression" dxfId="9085" priority="1590" stopIfTrue="1">
      <formula>AM43=CléCongés</formula>
    </cfRule>
  </conditionalFormatting>
  <conditionalFormatting sqref="C45:AG47">
    <cfRule type="expression" priority="1578" stopIfTrue="1">
      <formula>C45=""</formula>
    </cfRule>
    <cfRule type="expression" dxfId="9084" priority="1579" stopIfTrue="1">
      <formula>C45=CléPersonnalisée2</formula>
    </cfRule>
    <cfRule type="expression" dxfId="9083" priority="1580" stopIfTrue="1">
      <formula>C45=CléPersonnalisée1</formula>
    </cfRule>
    <cfRule type="expression" dxfId="9082" priority="1581" stopIfTrue="1">
      <formula>C45=CléMaladie</formula>
    </cfRule>
    <cfRule type="expression" dxfId="9081" priority="1582" stopIfTrue="1">
      <formula>C45=CléPersonnelle</formula>
    </cfRule>
    <cfRule type="expression" dxfId="9080" priority="1583" stopIfTrue="1">
      <formula>C45=CléCongés</formula>
    </cfRule>
  </conditionalFormatting>
  <conditionalFormatting sqref="AH47">
    <cfRule type="dataBar" priority="1584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{066CEBB6-DAFD-4922-984D-0946A938E342}</x14:id>
        </ext>
      </extLst>
    </cfRule>
  </conditionalFormatting>
  <conditionalFormatting sqref="AI47:AL47 AJ45:AL46">
    <cfRule type="expression" priority="1572" stopIfTrue="1">
      <formula>AI45=""</formula>
    </cfRule>
    <cfRule type="expression" dxfId="9079" priority="1573" stopIfTrue="1">
      <formula>AI45=CléPersonnalisée2</formula>
    </cfRule>
    <cfRule type="expression" dxfId="9078" priority="1574" stopIfTrue="1">
      <formula>AI45=CléPersonnalisée1</formula>
    </cfRule>
    <cfRule type="expression" dxfId="9077" priority="1575" stopIfTrue="1">
      <formula>AI45=CléMaladie</formula>
    </cfRule>
    <cfRule type="expression" dxfId="9076" priority="1576" stopIfTrue="1">
      <formula>AI45=CléPersonnelle</formula>
    </cfRule>
    <cfRule type="expression" dxfId="9075" priority="1577" stopIfTrue="1">
      <formula>AI45=CléCongés</formula>
    </cfRule>
  </conditionalFormatting>
  <conditionalFormatting sqref="AM45:AP46">
    <cfRule type="expression" priority="1566" stopIfTrue="1">
      <formula>AM45=""</formula>
    </cfRule>
    <cfRule type="expression" dxfId="9074" priority="1567" stopIfTrue="1">
      <formula>AM45=CléPersonnalisée2</formula>
    </cfRule>
    <cfRule type="expression" dxfId="9073" priority="1568" stopIfTrue="1">
      <formula>AM45=CléPersonnalisée1</formula>
    </cfRule>
    <cfRule type="expression" dxfId="9072" priority="1569" stopIfTrue="1">
      <formula>AM45=CléMaladie</formula>
    </cfRule>
    <cfRule type="expression" dxfId="9071" priority="1570" stopIfTrue="1">
      <formula>AM45=CléPersonnelle</formula>
    </cfRule>
    <cfRule type="expression" dxfId="9070" priority="1571" stopIfTrue="1">
      <formula>AM45=CléCongés</formula>
    </cfRule>
  </conditionalFormatting>
  <conditionalFormatting sqref="AQ45:AR46">
    <cfRule type="expression" priority="1560" stopIfTrue="1">
      <formula>AQ45=""</formula>
    </cfRule>
    <cfRule type="expression" dxfId="9069" priority="1561" stopIfTrue="1">
      <formula>AQ45=CléPersonnalisée2</formula>
    </cfRule>
    <cfRule type="expression" dxfId="9068" priority="1562" stopIfTrue="1">
      <formula>AQ45=CléPersonnalisée1</formula>
    </cfRule>
    <cfRule type="expression" dxfId="9067" priority="1563" stopIfTrue="1">
      <formula>AQ45=CléMaladie</formula>
    </cfRule>
    <cfRule type="expression" dxfId="9066" priority="1564" stopIfTrue="1">
      <formula>AQ45=CléPersonnelle</formula>
    </cfRule>
    <cfRule type="expression" dxfId="9065" priority="1565" stopIfTrue="1">
      <formula>AQ45=CléCongés</formula>
    </cfRule>
  </conditionalFormatting>
  <conditionalFormatting sqref="AM47 AP47">
    <cfRule type="expression" priority="1554" stopIfTrue="1">
      <formula>AM47=""</formula>
    </cfRule>
    <cfRule type="expression" dxfId="9064" priority="1555" stopIfTrue="1">
      <formula>AM47=CléPersonnalisée2</formula>
    </cfRule>
    <cfRule type="expression" dxfId="9063" priority="1556" stopIfTrue="1">
      <formula>AM47=CléPersonnalisée1</formula>
    </cfRule>
    <cfRule type="expression" dxfId="9062" priority="1557" stopIfTrue="1">
      <formula>AM47=CléMaladie</formula>
    </cfRule>
    <cfRule type="expression" dxfId="9061" priority="1558" stopIfTrue="1">
      <formula>AM47=CléPersonnelle</formula>
    </cfRule>
    <cfRule type="expression" dxfId="9060" priority="1559" stopIfTrue="1">
      <formula>AM47=CléCongés</formula>
    </cfRule>
  </conditionalFormatting>
  <conditionalFormatting sqref="C49:AG51">
    <cfRule type="expression" priority="1547" stopIfTrue="1">
      <formula>C49=""</formula>
    </cfRule>
    <cfRule type="expression" dxfId="9059" priority="1548" stopIfTrue="1">
      <formula>C49=CléPersonnalisée2</formula>
    </cfRule>
    <cfRule type="expression" dxfId="9058" priority="1549" stopIfTrue="1">
      <formula>C49=CléPersonnalisée1</formula>
    </cfRule>
    <cfRule type="expression" dxfId="9057" priority="1550" stopIfTrue="1">
      <formula>C49=CléMaladie</formula>
    </cfRule>
    <cfRule type="expression" dxfId="9056" priority="1551" stopIfTrue="1">
      <formula>C49=CléPersonnelle</formula>
    </cfRule>
    <cfRule type="expression" dxfId="9055" priority="1552" stopIfTrue="1">
      <formula>C49=CléCongés</formula>
    </cfRule>
  </conditionalFormatting>
  <conditionalFormatting sqref="AH51">
    <cfRule type="dataBar" priority="1553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{6A0A3DF5-6D7A-4000-AC7A-F661A5346456}</x14:id>
        </ext>
      </extLst>
    </cfRule>
  </conditionalFormatting>
  <conditionalFormatting sqref="AI51:AL51 AJ49:AL50">
    <cfRule type="expression" priority="1541" stopIfTrue="1">
      <formula>AI49=""</formula>
    </cfRule>
    <cfRule type="expression" dxfId="9054" priority="1542" stopIfTrue="1">
      <formula>AI49=CléPersonnalisée2</formula>
    </cfRule>
    <cfRule type="expression" dxfId="9053" priority="1543" stopIfTrue="1">
      <formula>AI49=CléPersonnalisée1</formula>
    </cfRule>
    <cfRule type="expression" dxfId="9052" priority="1544" stopIfTrue="1">
      <formula>AI49=CléMaladie</formula>
    </cfRule>
    <cfRule type="expression" dxfId="9051" priority="1545" stopIfTrue="1">
      <formula>AI49=CléPersonnelle</formula>
    </cfRule>
    <cfRule type="expression" dxfId="9050" priority="1546" stopIfTrue="1">
      <formula>AI49=CléCongés</formula>
    </cfRule>
  </conditionalFormatting>
  <conditionalFormatting sqref="AM49:AP50">
    <cfRule type="expression" priority="1535" stopIfTrue="1">
      <formula>AM49=""</formula>
    </cfRule>
    <cfRule type="expression" dxfId="9049" priority="1536" stopIfTrue="1">
      <formula>AM49=CléPersonnalisée2</formula>
    </cfRule>
    <cfRule type="expression" dxfId="9048" priority="1537" stopIfTrue="1">
      <formula>AM49=CléPersonnalisée1</formula>
    </cfRule>
    <cfRule type="expression" dxfId="9047" priority="1538" stopIfTrue="1">
      <formula>AM49=CléMaladie</formula>
    </cfRule>
    <cfRule type="expression" dxfId="9046" priority="1539" stopIfTrue="1">
      <formula>AM49=CléPersonnelle</formula>
    </cfRule>
    <cfRule type="expression" dxfId="9045" priority="1540" stopIfTrue="1">
      <formula>AM49=CléCongés</formula>
    </cfRule>
  </conditionalFormatting>
  <conditionalFormatting sqref="AQ49:AR50">
    <cfRule type="expression" priority="1529" stopIfTrue="1">
      <formula>AQ49=""</formula>
    </cfRule>
    <cfRule type="expression" dxfId="9044" priority="1530" stopIfTrue="1">
      <formula>AQ49=CléPersonnalisée2</formula>
    </cfRule>
    <cfRule type="expression" dxfId="9043" priority="1531" stopIfTrue="1">
      <formula>AQ49=CléPersonnalisée1</formula>
    </cfRule>
    <cfRule type="expression" dxfId="9042" priority="1532" stopIfTrue="1">
      <formula>AQ49=CléMaladie</formula>
    </cfRule>
    <cfRule type="expression" dxfId="9041" priority="1533" stopIfTrue="1">
      <formula>AQ49=CléPersonnelle</formula>
    </cfRule>
    <cfRule type="expression" dxfId="9040" priority="1534" stopIfTrue="1">
      <formula>AQ49=CléCongés</formula>
    </cfRule>
  </conditionalFormatting>
  <conditionalFormatting sqref="AM51 AP51">
    <cfRule type="expression" priority="1523" stopIfTrue="1">
      <formula>AM51=""</formula>
    </cfRule>
    <cfRule type="expression" dxfId="9039" priority="1524" stopIfTrue="1">
      <formula>AM51=CléPersonnalisée2</formula>
    </cfRule>
    <cfRule type="expression" dxfId="9038" priority="1525" stopIfTrue="1">
      <formula>AM51=CléPersonnalisée1</formula>
    </cfRule>
    <cfRule type="expression" dxfId="9037" priority="1526" stopIfTrue="1">
      <formula>AM51=CléMaladie</formula>
    </cfRule>
    <cfRule type="expression" dxfId="9036" priority="1527" stopIfTrue="1">
      <formula>AM51=CléPersonnelle</formula>
    </cfRule>
    <cfRule type="expression" dxfId="9035" priority="1528" stopIfTrue="1">
      <formula>AM51=CléCongés</formula>
    </cfRule>
  </conditionalFormatting>
  <conditionalFormatting sqref="C53:AG55">
    <cfRule type="expression" priority="1516" stopIfTrue="1">
      <formula>C53=""</formula>
    </cfRule>
    <cfRule type="expression" dxfId="9034" priority="1517" stopIfTrue="1">
      <formula>C53=CléPersonnalisée2</formula>
    </cfRule>
    <cfRule type="expression" dxfId="9033" priority="1518" stopIfTrue="1">
      <formula>C53=CléPersonnalisée1</formula>
    </cfRule>
    <cfRule type="expression" dxfId="9032" priority="1519" stopIfTrue="1">
      <formula>C53=CléMaladie</formula>
    </cfRule>
    <cfRule type="expression" dxfId="9031" priority="1520" stopIfTrue="1">
      <formula>C53=CléPersonnelle</formula>
    </cfRule>
    <cfRule type="expression" dxfId="9030" priority="1521" stopIfTrue="1">
      <formula>C53=CléCongés</formula>
    </cfRule>
  </conditionalFormatting>
  <conditionalFormatting sqref="AH55">
    <cfRule type="dataBar" priority="1522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{3F1CAD35-9A2A-4ECF-BC12-CE0AD4756D44}</x14:id>
        </ext>
      </extLst>
    </cfRule>
  </conditionalFormatting>
  <conditionalFormatting sqref="AI55:AL55 AJ53:AL54">
    <cfRule type="expression" priority="1510" stopIfTrue="1">
      <formula>AI53=""</formula>
    </cfRule>
    <cfRule type="expression" dxfId="9029" priority="1511" stopIfTrue="1">
      <formula>AI53=CléPersonnalisée2</formula>
    </cfRule>
    <cfRule type="expression" dxfId="9028" priority="1512" stopIfTrue="1">
      <formula>AI53=CléPersonnalisée1</formula>
    </cfRule>
    <cfRule type="expression" dxfId="9027" priority="1513" stopIfTrue="1">
      <formula>AI53=CléMaladie</formula>
    </cfRule>
    <cfRule type="expression" dxfId="9026" priority="1514" stopIfTrue="1">
      <formula>AI53=CléPersonnelle</formula>
    </cfRule>
    <cfRule type="expression" dxfId="9025" priority="1515" stopIfTrue="1">
      <formula>AI53=CléCongés</formula>
    </cfRule>
  </conditionalFormatting>
  <conditionalFormatting sqref="AM53:AP54">
    <cfRule type="expression" priority="1504" stopIfTrue="1">
      <formula>AM53=""</formula>
    </cfRule>
    <cfRule type="expression" dxfId="9024" priority="1505" stopIfTrue="1">
      <formula>AM53=CléPersonnalisée2</formula>
    </cfRule>
    <cfRule type="expression" dxfId="9023" priority="1506" stopIfTrue="1">
      <formula>AM53=CléPersonnalisée1</formula>
    </cfRule>
    <cfRule type="expression" dxfId="9022" priority="1507" stopIfTrue="1">
      <formula>AM53=CléMaladie</formula>
    </cfRule>
    <cfRule type="expression" dxfId="9021" priority="1508" stopIfTrue="1">
      <formula>AM53=CléPersonnelle</formula>
    </cfRule>
    <cfRule type="expression" dxfId="9020" priority="1509" stopIfTrue="1">
      <formula>AM53=CléCongés</formula>
    </cfRule>
  </conditionalFormatting>
  <conditionalFormatting sqref="AQ53:AR54">
    <cfRule type="expression" priority="1498" stopIfTrue="1">
      <formula>AQ53=""</formula>
    </cfRule>
    <cfRule type="expression" dxfId="9019" priority="1499" stopIfTrue="1">
      <formula>AQ53=CléPersonnalisée2</formula>
    </cfRule>
    <cfRule type="expression" dxfId="9018" priority="1500" stopIfTrue="1">
      <formula>AQ53=CléPersonnalisée1</formula>
    </cfRule>
    <cfRule type="expression" dxfId="9017" priority="1501" stopIfTrue="1">
      <formula>AQ53=CléMaladie</formula>
    </cfRule>
    <cfRule type="expression" dxfId="9016" priority="1502" stopIfTrue="1">
      <formula>AQ53=CléPersonnelle</formula>
    </cfRule>
    <cfRule type="expression" dxfId="9015" priority="1503" stopIfTrue="1">
      <formula>AQ53=CléCongés</formula>
    </cfRule>
  </conditionalFormatting>
  <conditionalFormatting sqref="AM55 AP55">
    <cfRule type="expression" priority="1492" stopIfTrue="1">
      <formula>AM55=""</formula>
    </cfRule>
    <cfRule type="expression" dxfId="9014" priority="1493" stopIfTrue="1">
      <formula>AM55=CléPersonnalisée2</formula>
    </cfRule>
    <cfRule type="expression" dxfId="9013" priority="1494" stopIfTrue="1">
      <formula>AM55=CléPersonnalisée1</formula>
    </cfRule>
    <cfRule type="expression" dxfId="9012" priority="1495" stopIfTrue="1">
      <formula>AM55=CléMaladie</formula>
    </cfRule>
    <cfRule type="expression" dxfId="9011" priority="1496" stopIfTrue="1">
      <formula>AM55=CléPersonnelle</formula>
    </cfRule>
    <cfRule type="expression" dxfId="9010" priority="1497" stopIfTrue="1">
      <formula>AM55=CléCongés</formula>
    </cfRule>
  </conditionalFormatting>
  <conditionalFormatting sqref="C61:AG63">
    <cfRule type="expression" priority="1485" stopIfTrue="1">
      <formula>C61=""</formula>
    </cfRule>
    <cfRule type="expression" dxfId="9009" priority="1486" stopIfTrue="1">
      <formula>C61=CléPersonnalisée2</formula>
    </cfRule>
    <cfRule type="expression" dxfId="9008" priority="1487" stopIfTrue="1">
      <formula>C61=CléPersonnalisée1</formula>
    </cfRule>
    <cfRule type="expression" dxfId="9007" priority="1488" stopIfTrue="1">
      <formula>C61=CléMaladie</formula>
    </cfRule>
    <cfRule type="expression" dxfId="9006" priority="1489" stopIfTrue="1">
      <formula>C61=CléPersonnelle</formula>
    </cfRule>
    <cfRule type="expression" dxfId="9005" priority="1490" stopIfTrue="1">
      <formula>C61=CléCongés</formula>
    </cfRule>
  </conditionalFormatting>
  <conditionalFormatting sqref="AH63">
    <cfRule type="dataBar" priority="1491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{2BD61C06-B08A-4772-B759-07C24F012EDE}</x14:id>
        </ext>
      </extLst>
    </cfRule>
  </conditionalFormatting>
  <conditionalFormatting sqref="AI63:AL63 AJ61:AL62">
    <cfRule type="expression" priority="1479" stopIfTrue="1">
      <formula>AI61=""</formula>
    </cfRule>
    <cfRule type="expression" dxfId="9004" priority="1480" stopIfTrue="1">
      <formula>AI61=CléPersonnalisée2</formula>
    </cfRule>
    <cfRule type="expression" dxfId="9003" priority="1481" stopIfTrue="1">
      <formula>AI61=CléPersonnalisée1</formula>
    </cfRule>
    <cfRule type="expression" dxfId="9002" priority="1482" stopIfTrue="1">
      <formula>AI61=CléMaladie</formula>
    </cfRule>
    <cfRule type="expression" dxfId="9001" priority="1483" stopIfTrue="1">
      <formula>AI61=CléPersonnelle</formula>
    </cfRule>
    <cfRule type="expression" dxfId="9000" priority="1484" stopIfTrue="1">
      <formula>AI61=CléCongés</formula>
    </cfRule>
  </conditionalFormatting>
  <conditionalFormatting sqref="AM61:AP62">
    <cfRule type="expression" priority="1473" stopIfTrue="1">
      <formula>AM61=""</formula>
    </cfRule>
    <cfRule type="expression" dxfId="8999" priority="1474" stopIfTrue="1">
      <formula>AM61=CléPersonnalisée2</formula>
    </cfRule>
    <cfRule type="expression" dxfId="8998" priority="1475" stopIfTrue="1">
      <formula>AM61=CléPersonnalisée1</formula>
    </cfRule>
    <cfRule type="expression" dxfId="8997" priority="1476" stopIfTrue="1">
      <formula>AM61=CléMaladie</formula>
    </cfRule>
    <cfRule type="expression" dxfId="8996" priority="1477" stopIfTrue="1">
      <formula>AM61=CléPersonnelle</formula>
    </cfRule>
    <cfRule type="expression" dxfId="8995" priority="1478" stopIfTrue="1">
      <formula>AM61=CléCongés</formula>
    </cfRule>
  </conditionalFormatting>
  <conditionalFormatting sqref="AQ61:AR62">
    <cfRule type="expression" priority="1467" stopIfTrue="1">
      <formula>AQ61=""</formula>
    </cfRule>
    <cfRule type="expression" dxfId="8994" priority="1468" stopIfTrue="1">
      <formula>AQ61=CléPersonnalisée2</formula>
    </cfRule>
    <cfRule type="expression" dxfId="8993" priority="1469" stopIfTrue="1">
      <formula>AQ61=CléPersonnalisée1</formula>
    </cfRule>
    <cfRule type="expression" dxfId="8992" priority="1470" stopIfTrue="1">
      <formula>AQ61=CléMaladie</formula>
    </cfRule>
    <cfRule type="expression" dxfId="8991" priority="1471" stopIfTrue="1">
      <formula>AQ61=CléPersonnelle</formula>
    </cfRule>
    <cfRule type="expression" dxfId="8990" priority="1472" stopIfTrue="1">
      <formula>AQ61=CléCongés</formula>
    </cfRule>
  </conditionalFormatting>
  <conditionalFormatting sqref="AM63 AP63">
    <cfRule type="expression" priority="1461" stopIfTrue="1">
      <formula>AM63=""</formula>
    </cfRule>
    <cfRule type="expression" dxfId="8989" priority="1462" stopIfTrue="1">
      <formula>AM63=CléPersonnalisée2</formula>
    </cfRule>
    <cfRule type="expression" dxfId="8988" priority="1463" stopIfTrue="1">
      <formula>AM63=CléPersonnalisée1</formula>
    </cfRule>
    <cfRule type="expression" dxfId="8987" priority="1464" stopIfTrue="1">
      <formula>AM63=CléMaladie</formula>
    </cfRule>
    <cfRule type="expression" dxfId="8986" priority="1465" stopIfTrue="1">
      <formula>AM63=CléPersonnelle</formula>
    </cfRule>
    <cfRule type="expression" dxfId="8985" priority="1466" stopIfTrue="1">
      <formula>AM63=CléCongés</formula>
    </cfRule>
  </conditionalFormatting>
  <conditionalFormatting sqref="AO39">
    <cfRule type="expression" priority="1326" stopIfTrue="1">
      <formula>AO39=""</formula>
    </cfRule>
    <cfRule type="expression" dxfId="8984" priority="1327" stopIfTrue="1">
      <formula>AO39=CléPersonnalisée2</formula>
    </cfRule>
    <cfRule type="expression" dxfId="8983" priority="1328" stopIfTrue="1">
      <formula>AO39=CléPersonnalisée1</formula>
    </cfRule>
    <cfRule type="expression" dxfId="8982" priority="1329" stopIfTrue="1">
      <formula>AO39=CléMaladie</formula>
    </cfRule>
    <cfRule type="expression" dxfId="8981" priority="1330" stopIfTrue="1">
      <formula>AO39=CléPersonnelle</formula>
    </cfRule>
    <cfRule type="expression" dxfId="8980" priority="1331" stopIfTrue="1">
      <formula>AO39=CléCongés</formula>
    </cfRule>
  </conditionalFormatting>
  <conditionalFormatting sqref="C69:AG71">
    <cfRule type="expression" priority="1454" stopIfTrue="1">
      <formula>C69=""</formula>
    </cfRule>
    <cfRule type="expression" dxfId="8979" priority="1455" stopIfTrue="1">
      <formula>C69=CléPersonnalisée2</formula>
    </cfRule>
    <cfRule type="expression" dxfId="8978" priority="1456" stopIfTrue="1">
      <formula>C69=CléPersonnalisée1</formula>
    </cfRule>
    <cfRule type="expression" dxfId="8977" priority="1457" stopIfTrue="1">
      <formula>C69=CléMaladie</formula>
    </cfRule>
    <cfRule type="expression" dxfId="8976" priority="1458" stopIfTrue="1">
      <formula>C69=CléPersonnelle</formula>
    </cfRule>
    <cfRule type="expression" dxfId="8975" priority="1459" stopIfTrue="1">
      <formula>C69=CléCongés</formula>
    </cfRule>
  </conditionalFormatting>
  <conditionalFormatting sqref="AH71">
    <cfRule type="dataBar" priority="1460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{59D8CFAB-1E1C-4E9D-92C4-7CB54842703D}</x14:id>
        </ext>
      </extLst>
    </cfRule>
  </conditionalFormatting>
  <conditionalFormatting sqref="AI71:AL71 AJ69:AL70">
    <cfRule type="expression" priority="1448" stopIfTrue="1">
      <formula>AI69=""</formula>
    </cfRule>
    <cfRule type="expression" dxfId="8974" priority="1449" stopIfTrue="1">
      <formula>AI69=CléPersonnalisée2</formula>
    </cfRule>
    <cfRule type="expression" dxfId="8973" priority="1450" stopIfTrue="1">
      <formula>AI69=CléPersonnalisée1</formula>
    </cfRule>
    <cfRule type="expression" dxfId="8972" priority="1451" stopIfTrue="1">
      <formula>AI69=CléMaladie</formula>
    </cfRule>
    <cfRule type="expression" dxfId="8971" priority="1452" stopIfTrue="1">
      <formula>AI69=CléPersonnelle</formula>
    </cfRule>
    <cfRule type="expression" dxfId="8970" priority="1453" stopIfTrue="1">
      <formula>AI69=CléCongés</formula>
    </cfRule>
  </conditionalFormatting>
  <conditionalFormatting sqref="AM69:AP70">
    <cfRule type="expression" priority="1442" stopIfTrue="1">
      <formula>AM69=""</formula>
    </cfRule>
    <cfRule type="expression" dxfId="8969" priority="1443" stopIfTrue="1">
      <formula>AM69=CléPersonnalisée2</formula>
    </cfRule>
    <cfRule type="expression" dxfId="8968" priority="1444" stopIfTrue="1">
      <formula>AM69=CléPersonnalisée1</formula>
    </cfRule>
    <cfRule type="expression" dxfId="8967" priority="1445" stopIfTrue="1">
      <formula>AM69=CléMaladie</formula>
    </cfRule>
    <cfRule type="expression" dxfId="8966" priority="1446" stopIfTrue="1">
      <formula>AM69=CléPersonnelle</formula>
    </cfRule>
    <cfRule type="expression" dxfId="8965" priority="1447" stopIfTrue="1">
      <formula>AM69=CléCongés</formula>
    </cfRule>
  </conditionalFormatting>
  <conditionalFormatting sqref="AQ69:AR70">
    <cfRule type="expression" priority="1436" stopIfTrue="1">
      <formula>AQ69=""</formula>
    </cfRule>
    <cfRule type="expression" dxfId="8964" priority="1437" stopIfTrue="1">
      <formula>AQ69=CléPersonnalisée2</formula>
    </cfRule>
    <cfRule type="expression" dxfId="8963" priority="1438" stopIfTrue="1">
      <formula>AQ69=CléPersonnalisée1</formula>
    </cfRule>
    <cfRule type="expression" dxfId="8962" priority="1439" stopIfTrue="1">
      <formula>AQ69=CléMaladie</formula>
    </cfRule>
    <cfRule type="expression" dxfId="8961" priority="1440" stopIfTrue="1">
      <formula>AQ69=CléPersonnelle</formula>
    </cfRule>
    <cfRule type="expression" dxfId="8960" priority="1441" stopIfTrue="1">
      <formula>AQ69=CléCongés</formula>
    </cfRule>
  </conditionalFormatting>
  <conditionalFormatting sqref="AM71 AP71">
    <cfRule type="expression" priority="1430" stopIfTrue="1">
      <formula>AM71=""</formula>
    </cfRule>
    <cfRule type="expression" dxfId="8959" priority="1431" stopIfTrue="1">
      <formula>AM71=CléPersonnalisée2</formula>
    </cfRule>
    <cfRule type="expression" dxfId="8958" priority="1432" stopIfTrue="1">
      <formula>AM71=CléPersonnalisée1</formula>
    </cfRule>
    <cfRule type="expression" dxfId="8957" priority="1433" stopIfTrue="1">
      <formula>AM71=CléMaladie</formula>
    </cfRule>
    <cfRule type="expression" dxfId="8956" priority="1434" stopIfTrue="1">
      <formula>AM71=CléPersonnelle</formula>
    </cfRule>
    <cfRule type="expression" dxfId="8955" priority="1435" stopIfTrue="1">
      <formula>AM71=CléCongés</formula>
    </cfRule>
  </conditionalFormatting>
  <conditionalFormatting sqref="AI23">
    <cfRule type="expression" priority="1418" stopIfTrue="1">
      <formula>AI23=""</formula>
    </cfRule>
    <cfRule type="expression" dxfId="8954" priority="1419" stopIfTrue="1">
      <formula>AI23=CléPersonnalisée2</formula>
    </cfRule>
    <cfRule type="expression" dxfId="8953" priority="1420" stopIfTrue="1">
      <formula>AI23=CléPersonnalisée1</formula>
    </cfRule>
    <cfRule type="expression" dxfId="8952" priority="1421" stopIfTrue="1">
      <formula>AI23=CléMaladie</formula>
    </cfRule>
    <cfRule type="expression" dxfId="8951" priority="1422" stopIfTrue="1">
      <formula>AI23=CléPersonnelle</formula>
    </cfRule>
    <cfRule type="expression" dxfId="8950" priority="1423" stopIfTrue="1">
      <formula>AI23=CléCongés</formula>
    </cfRule>
  </conditionalFormatting>
  <conditionalFormatting sqref="AI19">
    <cfRule type="expression" priority="1424" stopIfTrue="1">
      <formula>AI19=""</formula>
    </cfRule>
    <cfRule type="expression" dxfId="8949" priority="1425" stopIfTrue="1">
      <formula>AI19=CléPersonnalisée2</formula>
    </cfRule>
    <cfRule type="expression" dxfId="8948" priority="1426" stopIfTrue="1">
      <formula>AI19=CléPersonnalisée1</formula>
    </cfRule>
    <cfRule type="expression" dxfId="8947" priority="1427" stopIfTrue="1">
      <formula>AI19=CléMaladie</formula>
    </cfRule>
    <cfRule type="expression" dxfId="8946" priority="1428" stopIfTrue="1">
      <formula>AI19=CléPersonnelle</formula>
    </cfRule>
    <cfRule type="expression" dxfId="8945" priority="1429" stopIfTrue="1">
      <formula>AI19=CléCongés</formula>
    </cfRule>
  </conditionalFormatting>
  <conditionalFormatting sqref="AI25:AI26">
    <cfRule type="expression" priority="1272" stopIfTrue="1">
      <formula>AI25=""</formula>
    </cfRule>
    <cfRule type="expression" dxfId="8944" priority="1273" stopIfTrue="1">
      <formula>AI25=CléPersonnalisée2</formula>
    </cfRule>
    <cfRule type="expression" dxfId="8943" priority="1274" stopIfTrue="1">
      <formula>AI25=CléPersonnalisée1</formula>
    </cfRule>
    <cfRule type="expression" dxfId="8942" priority="1275" stopIfTrue="1">
      <formula>AI25=CléMaladie</formula>
    </cfRule>
    <cfRule type="expression" dxfId="8941" priority="1276" stopIfTrue="1">
      <formula>AI25=CléPersonnelle</formula>
    </cfRule>
    <cfRule type="expression" dxfId="8940" priority="1277" stopIfTrue="1">
      <formula>AI25=CléCongés</formula>
    </cfRule>
  </conditionalFormatting>
  <conditionalFormatting sqref="AH19">
    <cfRule type="dataBar" priority="1417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{F741D311-14B5-435F-A568-B53804FEF426}</x14:id>
        </ext>
      </extLst>
    </cfRule>
  </conditionalFormatting>
  <conditionalFormatting sqref="AH23">
    <cfRule type="dataBar" priority="1416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{8C1A3B4E-EDAF-41FE-838B-7913D31E6D86}</x14:id>
        </ext>
      </extLst>
    </cfRule>
  </conditionalFormatting>
  <conditionalFormatting sqref="AM17:AP18">
    <cfRule type="expression" priority="1410" stopIfTrue="1">
      <formula>AM17=""</formula>
    </cfRule>
    <cfRule type="expression" dxfId="8939" priority="1411" stopIfTrue="1">
      <formula>AM17=CléPersonnalisée2</formula>
    </cfRule>
    <cfRule type="expression" dxfId="8938" priority="1412" stopIfTrue="1">
      <formula>AM17=CléPersonnalisée1</formula>
    </cfRule>
    <cfRule type="expression" dxfId="8937" priority="1413" stopIfTrue="1">
      <formula>AM17=CléMaladie</formula>
    </cfRule>
    <cfRule type="expression" dxfId="8936" priority="1414" stopIfTrue="1">
      <formula>AM17=CléPersonnelle</formula>
    </cfRule>
    <cfRule type="expression" dxfId="8935" priority="1415" stopIfTrue="1">
      <formula>AM17=CléCongés</formula>
    </cfRule>
  </conditionalFormatting>
  <conditionalFormatting sqref="AQ17:AR18">
    <cfRule type="expression" priority="1404" stopIfTrue="1">
      <formula>AQ17=""</formula>
    </cfRule>
    <cfRule type="expression" dxfId="8934" priority="1405" stopIfTrue="1">
      <formula>AQ17=CléPersonnalisée2</formula>
    </cfRule>
    <cfRule type="expression" dxfId="8933" priority="1406" stopIfTrue="1">
      <formula>AQ17=CléPersonnalisée1</formula>
    </cfRule>
    <cfRule type="expression" dxfId="8932" priority="1407" stopIfTrue="1">
      <formula>AQ17=CléMaladie</formula>
    </cfRule>
    <cfRule type="expression" dxfId="8931" priority="1408" stopIfTrue="1">
      <formula>AQ17=CléPersonnelle</formula>
    </cfRule>
    <cfRule type="expression" dxfId="8930" priority="1409" stopIfTrue="1">
      <formula>AQ17=CléCongés</formula>
    </cfRule>
  </conditionalFormatting>
  <conditionalFormatting sqref="AM19 AP19">
    <cfRule type="expression" priority="1398" stopIfTrue="1">
      <formula>AM19=""</formula>
    </cfRule>
    <cfRule type="expression" dxfId="8929" priority="1399" stopIfTrue="1">
      <formula>AM19=CléPersonnalisée2</formula>
    </cfRule>
    <cfRule type="expression" dxfId="8928" priority="1400" stopIfTrue="1">
      <formula>AM19=CléPersonnalisée1</formula>
    </cfRule>
    <cfRule type="expression" dxfId="8927" priority="1401" stopIfTrue="1">
      <formula>AM19=CléMaladie</formula>
    </cfRule>
    <cfRule type="expression" dxfId="8926" priority="1402" stopIfTrue="1">
      <formula>AM19=CléPersonnelle</formula>
    </cfRule>
    <cfRule type="expression" dxfId="8925" priority="1403" stopIfTrue="1">
      <formula>AM19=CléCongés</formula>
    </cfRule>
  </conditionalFormatting>
  <conditionalFormatting sqref="AO31">
    <cfRule type="expression" priority="1338" stopIfTrue="1">
      <formula>AO31=""</formula>
    </cfRule>
    <cfRule type="expression" dxfId="8924" priority="1339" stopIfTrue="1">
      <formula>AO31=CléPersonnalisée2</formula>
    </cfRule>
    <cfRule type="expression" dxfId="8923" priority="1340" stopIfTrue="1">
      <formula>AO31=CléPersonnalisée1</formula>
    </cfRule>
    <cfRule type="expression" dxfId="8922" priority="1341" stopIfTrue="1">
      <formula>AO31=CléMaladie</formula>
    </cfRule>
    <cfRule type="expression" dxfId="8921" priority="1342" stopIfTrue="1">
      <formula>AO31=CléPersonnelle</formula>
    </cfRule>
    <cfRule type="expression" dxfId="8920" priority="1343" stopIfTrue="1">
      <formula>AO31=CléCongés</formula>
    </cfRule>
  </conditionalFormatting>
  <conditionalFormatting sqref="AM21:AP22">
    <cfRule type="expression" priority="1392" stopIfTrue="1">
      <formula>AM21=""</formula>
    </cfRule>
    <cfRule type="expression" dxfId="8919" priority="1393" stopIfTrue="1">
      <formula>AM21=CléPersonnalisée2</formula>
    </cfRule>
    <cfRule type="expression" dxfId="8918" priority="1394" stopIfTrue="1">
      <formula>AM21=CléPersonnalisée1</formula>
    </cfRule>
    <cfRule type="expression" dxfId="8917" priority="1395" stopIfTrue="1">
      <formula>AM21=CléMaladie</formula>
    </cfRule>
    <cfRule type="expression" dxfId="8916" priority="1396" stopIfTrue="1">
      <formula>AM21=CléPersonnelle</formula>
    </cfRule>
    <cfRule type="expression" dxfId="8915" priority="1397" stopIfTrue="1">
      <formula>AM21=CléCongés</formula>
    </cfRule>
  </conditionalFormatting>
  <conditionalFormatting sqref="AQ21:AR22">
    <cfRule type="expression" priority="1386" stopIfTrue="1">
      <formula>AQ21=""</formula>
    </cfRule>
    <cfRule type="expression" dxfId="8914" priority="1387" stopIfTrue="1">
      <formula>AQ21=CléPersonnalisée2</formula>
    </cfRule>
    <cfRule type="expression" dxfId="8913" priority="1388" stopIfTrue="1">
      <formula>AQ21=CléPersonnalisée1</formula>
    </cfRule>
    <cfRule type="expression" dxfId="8912" priority="1389" stopIfTrue="1">
      <formula>AQ21=CléMaladie</formula>
    </cfRule>
    <cfRule type="expression" dxfId="8911" priority="1390" stopIfTrue="1">
      <formula>AQ21=CléPersonnelle</formula>
    </cfRule>
    <cfRule type="expression" dxfId="8910" priority="1391" stopIfTrue="1">
      <formula>AQ21=CléCongés</formula>
    </cfRule>
  </conditionalFormatting>
  <conditionalFormatting sqref="AM23 AP23">
    <cfRule type="expression" priority="1380" stopIfTrue="1">
      <formula>AM23=""</formula>
    </cfRule>
    <cfRule type="expression" dxfId="8909" priority="1381" stopIfTrue="1">
      <formula>AM23=CléPersonnalisée2</formula>
    </cfRule>
    <cfRule type="expression" dxfId="8908" priority="1382" stopIfTrue="1">
      <formula>AM23=CléPersonnalisée1</formula>
    </cfRule>
    <cfRule type="expression" dxfId="8907" priority="1383" stopIfTrue="1">
      <formula>AM23=CléMaladie</formula>
    </cfRule>
    <cfRule type="expression" dxfId="8906" priority="1384" stopIfTrue="1">
      <formula>AM23=CléPersonnelle</formula>
    </cfRule>
    <cfRule type="expression" dxfId="8905" priority="1385" stopIfTrue="1">
      <formula>AM23=CléCongés</formula>
    </cfRule>
  </conditionalFormatting>
  <conditionalFormatting sqref="AH17:AH18">
    <cfRule type="dataBar" priority="1379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{D6C9B9A4-EC77-457F-A657-F06EBC88603A}</x14:id>
        </ext>
      </extLst>
    </cfRule>
  </conditionalFormatting>
  <conditionalFormatting sqref="AH21:AH22">
    <cfRule type="dataBar" priority="1378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{7D3BB87D-B623-49A2-A72C-E4558EBE3E42}</x14:id>
        </ext>
      </extLst>
    </cfRule>
  </conditionalFormatting>
  <conditionalFormatting sqref="AH25:AH26">
    <cfRule type="dataBar" priority="1377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{AC182E4B-CDFC-4611-81AE-893A18FE4BB6}</x14:id>
        </ext>
      </extLst>
    </cfRule>
  </conditionalFormatting>
  <conditionalFormatting sqref="AH29:AH30">
    <cfRule type="dataBar" priority="1376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{C18B82CF-1F4C-423C-9167-2EBDDC5187A8}</x14:id>
        </ext>
      </extLst>
    </cfRule>
  </conditionalFormatting>
  <conditionalFormatting sqref="AH33:AH34">
    <cfRule type="dataBar" priority="1375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{4A29624D-AF68-4C8A-B46C-EE34BD1E532B}</x14:id>
        </ext>
      </extLst>
    </cfRule>
  </conditionalFormatting>
  <conditionalFormatting sqref="AH37:AH38">
    <cfRule type="dataBar" priority="1374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{FF32C6BE-6E74-4EBC-9115-339DBA9BCFCB}</x14:id>
        </ext>
      </extLst>
    </cfRule>
  </conditionalFormatting>
  <conditionalFormatting sqref="AH41:AH42">
    <cfRule type="dataBar" priority="1373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{6D5ABAC4-8693-4E73-BB7C-F5B3D98C479B}</x14:id>
        </ext>
      </extLst>
    </cfRule>
  </conditionalFormatting>
  <conditionalFormatting sqref="AH45:AH46">
    <cfRule type="dataBar" priority="1372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{3112957B-AB3E-49A3-8BB5-1B309603F4C9}</x14:id>
        </ext>
      </extLst>
    </cfRule>
  </conditionalFormatting>
  <conditionalFormatting sqref="AH49:AH50">
    <cfRule type="dataBar" priority="1371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{ADBDAC68-F535-4B4C-8275-9942FD0D80AE}</x14:id>
        </ext>
      </extLst>
    </cfRule>
  </conditionalFormatting>
  <conditionalFormatting sqref="AH53:AH54">
    <cfRule type="dataBar" priority="1370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{070775BF-6380-486D-A68D-1ED4614689BC}</x14:id>
        </ext>
      </extLst>
    </cfRule>
  </conditionalFormatting>
  <conditionalFormatting sqref="AH61:AH62">
    <cfRule type="dataBar" priority="1369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{E5971BB5-A6B5-4AFA-951D-232FDE924C71}</x14:id>
        </ext>
      </extLst>
    </cfRule>
  </conditionalFormatting>
  <conditionalFormatting sqref="AH69:AH70">
    <cfRule type="dataBar" priority="1368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{72FD3DA3-D79C-44DD-9437-AAB225C933AD}</x14:id>
        </ext>
      </extLst>
    </cfRule>
  </conditionalFormatting>
  <conditionalFormatting sqref="AO11">
    <cfRule type="expression" priority="1362" stopIfTrue="1">
      <formula>AO11=""</formula>
    </cfRule>
    <cfRule type="expression" dxfId="8904" priority="1363" stopIfTrue="1">
      <formula>AO11=CléPersonnalisée2</formula>
    </cfRule>
    <cfRule type="expression" dxfId="8903" priority="1364" stopIfTrue="1">
      <formula>AO11=CléPersonnalisée1</formula>
    </cfRule>
    <cfRule type="expression" dxfId="8902" priority="1365" stopIfTrue="1">
      <formula>AO11=CléMaladie</formula>
    </cfRule>
    <cfRule type="expression" dxfId="8901" priority="1366" stopIfTrue="1">
      <formula>AO11=CléPersonnelle</formula>
    </cfRule>
    <cfRule type="expression" dxfId="8900" priority="1367" stopIfTrue="1">
      <formula>AO11=CléCongés</formula>
    </cfRule>
  </conditionalFormatting>
  <conditionalFormatting sqref="AO19">
    <cfRule type="expression" priority="1356" stopIfTrue="1">
      <formula>AO19=""</formula>
    </cfRule>
    <cfRule type="expression" dxfId="8899" priority="1357" stopIfTrue="1">
      <formula>AO19=CléPersonnalisée2</formula>
    </cfRule>
    <cfRule type="expression" dxfId="8898" priority="1358" stopIfTrue="1">
      <formula>AO19=CléPersonnalisée1</formula>
    </cfRule>
    <cfRule type="expression" dxfId="8897" priority="1359" stopIfTrue="1">
      <formula>AO19=CléMaladie</formula>
    </cfRule>
    <cfRule type="expression" dxfId="8896" priority="1360" stopIfTrue="1">
      <formula>AO19=CléPersonnelle</formula>
    </cfRule>
    <cfRule type="expression" dxfId="8895" priority="1361" stopIfTrue="1">
      <formula>AO19=CléCongés</formula>
    </cfRule>
  </conditionalFormatting>
  <conditionalFormatting sqref="AO23">
    <cfRule type="expression" priority="1350" stopIfTrue="1">
      <formula>AO23=""</formula>
    </cfRule>
    <cfRule type="expression" dxfId="8894" priority="1351" stopIfTrue="1">
      <formula>AO23=CléPersonnalisée2</formula>
    </cfRule>
    <cfRule type="expression" dxfId="8893" priority="1352" stopIfTrue="1">
      <formula>AO23=CléPersonnalisée1</formula>
    </cfRule>
    <cfRule type="expression" dxfId="8892" priority="1353" stopIfTrue="1">
      <formula>AO23=CléMaladie</formula>
    </cfRule>
    <cfRule type="expression" dxfId="8891" priority="1354" stopIfTrue="1">
      <formula>AO23=CléPersonnelle</formula>
    </cfRule>
    <cfRule type="expression" dxfId="8890" priority="1355" stopIfTrue="1">
      <formula>AO23=CléCongés</formula>
    </cfRule>
  </conditionalFormatting>
  <conditionalFormatting sqref="AO27">
    <cfRule type="expression" priority="1344" stopIfTrue="1">
      <formula>AO27=""</formula>
    </cfRule>
    <cfRule type="expression" dxfId="8889" priority="1345" stopIfTrue="1">
      <formula>AO27=CléPersonnalisée2</formula>
    </cfRule>
    <cfRule type="expression" dxfId="8888" priority="1346" stopIfTrue="1">
      <formula>AO27=CléPersonnalisée1</formula>
    </cfRule>
    <cfRule type="expression" dxfId="8887" priority="1347" stopIfTrue="1">
      <formula>AO27=CléMaladie</formula>
    </cfRule>
    <cfRule type="expression" dxfId="8886" priority="1348" stopIfTrue="1">
      <formula>AO27=CléPersonnelle</formula>
    </cfRule>
    <cfRule type="expression" dxfId="8885" priority="1349" stopIfTrue="1">
      <formula>AO27=CléCongés</formula>
    </cfRule>
  </conditionalFormatting>
  <conditionalFormatting sqref="AM65:AP66">
    <cfRule type="expression" priority="1090" stopIfTrue="1">
      <formula>AM65=""</formula>
    </cfRule>
    <cfRule type="expression" dxfId="8884" priority="1091" stopIfTrue="1">
      <formula>AM65=CléPersonnalisée2</formula>
    </cfRule>
    <cfRule type="expression" dxfId="8883" priority="1092" stopIfTrue="1">
      <formula>AM65=CléPersonnalisée1</formula>
    </cfRule>
    <cfRule type="expression" dxfId="8882" priority="1093" stopIfTrue="1">
      <formula>AM65=CléMaladie</formula>
    </cfRule>
    <cfRule type="expression" dxfId="8881" priority="1094" stopIfTrue="1">
      <formula>AM65=CléPersonnelle</formula>
    </cfRule>
    <cfRule type="expression" dxfId="8880" priority="1095" stopIfTrue="1">
      <formula>AM65=CléCongés</formula>
    </cfRule>
  </conditionalFormatting>
  <conditionalFormatting sqref="AO35">
    <cfRule type="expression" priority="1332" stopIfTrue="1">
      <formula>AO35=""</formula>
    </cfRule>
    <cfRule type="expression" dxfId="8879" priority="1333" stopIfTrue="1">
      <formula>AO35=CléPersonnalisée2</formula>
    </cfRule>
    <cfRule type="expression" dxfId="8878" priority="1334" stopIfTrue="1">
      <formula>AO35=CléPersonnalisée1</formula>
    </cfRule>
    <cfRule type="expression" dxfId="8877" priority="1335" stopIfTrue="1">
      <formula>AO35=CléMaladie</formula>
    </cfRule>
    <cfRule type="expression" dxfId="8876" priority="1336" stopIfTrue="1">
      <formula>AO35=CléPersonnelle</formula>
    </cfRule>
    <cfRule type="expression" dxfId="8875" priority="1337" stopIfTrue="1">
      <formula>AO35=CléCongés</formula>
    </cfRule>
  </conditionalFormatting>
  <conditionalFormatting sqref="AM67 AP67">
    <cfRule type="expression" priority="1078" stopIfTrue="1">
      <formula>AM67=""</formula>
    </cfRule>
    <cfRule type="expression" dxfId="8874" priority="1079" stopIfTrue="1">
      <formula>AM67=CléPersonnalisée2</formula>
    </cfRule>
    <cfRule type="expression" dxfId="8873" priority="1080" stopIfTrue="1">
      <formula>AM67=CléPersonnalisée1</formula>
    </cfRule>
    <cfRule type="expression" dxfId="8872" priority="1081" stopIfTrue="1">
      <formula>AM67=CléMaladie</formula>
    </cfRule>
    <cfRule type="expression" dxfId="8871" priority="1082" stopIfTrue="1">
      <formula>AM67=CléPersonnelle</formula>
    </cfRule>
    <cfRule type="expression" dxfId="8870" priority="1083" stopIfTrue="1">
      <formula>AM67=CléCongés</formula>
    </cfRule>
  </conditionalFormatting>
  <conditionalFormatting sqref="AO43">
    <cfRule type="expression" priority="1320" stopIfTrue="1">
      <formula>AO43=""</formula>
    </cfRule>
    <cfRule type="expression" dxfId="8869" priority="1321" stopIfTrue="1">
      <formula>AO43=CléPersonnalisée2</formula>
    </cfRule>
    <cfRule type="expression" dxfId="8868" priority="1322" stopIfTrue="1">
      <formula>AO43=CléPersonnalisée1</formula>
    </cfRule>
    <cfRule type="expression" dxfId="8867" priority="1323" stopIfTrue="1">
      <formula>AO43=CléMaladie</formula>
    </cfRule>
    <cfRule type="expression" dxfId="8866" priority="1324" stopIfTrue="1">
      <formula>AO43=CléPersonnelle</formula>
    </cfRule>
    <cfRule type="expression" dxfId="8865" priority="1325" stopIfTrue="1">
      <formula>AO43=CléCongés</formula>
    </cfRule>
  </conditionalFormatting>
  <conditionalFormatting sqref="AO47">
    <cfRule type="expression" priority="1314" stopIfTrue="1">
      <formula>AO47=""</formula>
    </cfRule>
    <cfRule type="expression" dxfId="8864" priority="1315" stopIfTrue="1">
      <formula>AO47=CléPersonnalisée2</formula>
    </cfRule>
    <cfRule type="expression" dxfId="8863" priority="1316" stopIfTrue="1">
      <formula>AO47=CléPersonnalisée1</formula>
    </cfRule>
    <cfRule type="expression" dxfId="8862" priority="1317" stopIfTrue="1">
      <formula>AO47=CléMaladie</formula>
    </cfRule>
    <cfRule type="expression" dxfId="8861" priority="1318" stopIfTrue="1">
      <formula>AO47=CléPersonnelle</formula>
    </cfRule>
    <cfRule type="expression" dxfId="8860" priority="1319" stopIfTrue="1">
      <formula>AO47=CléCongés</formula>
    </cfRule>
  </conditionalFormatting>
  <conditionalFormatting sqref="AO51">
    <cfRule type="expression" priority="1308" stopIfTrue="1">
      <formula>AO51=""</formula>
    </cfRule>
    <cfRule type="expression" dxfId="8859" priority="1309" stopIfTrue="1">
      <formula>AO51=CléPersonnalisée2</formula>
    </cfRule>
    <cfRule type="expression" dxfId="8858" priority="1310" stopIfTrue="1">
      <formula>AO51=CléPersonnalisée1</formula>
    </cfRule>
    <cfRule type="expression" dxfId="8857" priority="1311" stopIfTrue="1">
      <formula>AO51=CléMaladie</formula>
    </cfRule>
    <cfRule type="expression" dxfId="8856" priority="1312" stopIfTrue="1">
      <formula>AO51=CléPersonnelle</formula>
    </cfRule>
    <cfRule type="expression" dxfId="8855" priority="1313" stopIfTrue="1">
      <formula>AO51=CléCongés</formula>
    </cfRule>
  </conditionalFormatting>
  <conditionalFormatting sqref="AO55">
    <cfRule type="expression" priority="1302" stopIfTrue="1">
      <formula>AO55=""</formula>
    </cfRule>
    <cfRule type="expression" dxfId="8854" priority="1303" stopIfTrue="1">
      <formula>AO55=CléPersonnalisée2</formula>
    </cfRule>
    <cfRule type="expression" dxfId="8853" priority="1304" stopIfTrue="1">
      <formula>AO55=CléPersonnalisée1</formula>
    </cfRule>
    <cfRule type="expression" dxfId="8852" priority="1305" stopIfTrue="1">
      <formula>AO55=CléMaladie</formula>
    </cfRule>
    <cfRule type="expression" dxfId="8851" priority="1306" stopIfTrue="1">
      <formula>AO55=CléPersonnelle</formula>
    </cfRule>
    <cfRule type="expression" dxfId="8850" priority="1307" stopIfTrue="1">
      <formula>AO55=CléCongés</formula>
    </cfRule>
  </conditionalFormatting>
  <conditionalFormatting sqref="AO63">
    <cfRule type="expression" priority="1296" stopIfTrue="1">
      <formula>AO63=""</formula>
    </cfRule>
    <cfRule type="expression" dxfId="8849" priority="1297" stopIfTrue="1">
      <formula>AO63=CléPersonnalisée2</formula>
    </cfRule>
    <cfRule type="expression" dxfId="8848" priority="1298" stopIfTrue="1">
      <formula>AO63=CléPersonnalisée1</formula>
    </cfRule>
    <cfRule type="expression" dxfId="8847" priority="1299" stopIfTrue="1">
      <formula>AO63=CléMaladie</formula>
    </cfRule>
    <cfRule type="expression" dxfId="8846" priority="1300" stopIfTrue="1">
      <formula>AO63=CléPersonnelle</formula>
    </cfRule>
    <cfRule type="expression" dxfId="8845" priority="1301" stopIfTrue="1">
      <formula>AO63=CléCongés</formula>
    </cfRule>
  </conditionalFormatting>
  <conditionalFormatting sqref="AO71">
    <cfRule type="expression" priority="1290" stopIfTrue="1">
      <formula>AO71=""</formula>
    </cfRule>
    <cfRule type="expression" dxfId="8844" priority="1291" stopIfTrue="1">
      <formula>AO71=CléPersonnalisée2</formula>
    </cfRule>
    <cfRule type="expression" dxfId="8843" priority="1292" stopIfTrue="1">
      <formula>AO71=CléPersonnalisée1</formula>
    </cfRule>
    <cfRule type="expression" dxfId="8842" priority="1293" stopIfTrue="1">
      <formula>AO71=CléMaladie</formula>
    </cfRule>
    <cfRule type="expression" dxfId="8841" priority="1294" stopIfTrue="1">
      <formula>AO71=CléPersonnelle</formula>
    </cfRule>
    <cfRule type="expression" dxfId="8840" priority="1295" stopIfTrue="1">
      <formula>AO71=CléCongés</formula>
    </cfRule>
  </conditionalFormatting>
  <conditionalFormatting sqref="AI17:AI18">
    <cfRule type="expression" priority="1284" stopIfTrue="1">
      <formula>AI17=""</formula>
    </cfRule>
    <cfRule type="expression" dxfId="8839" priority="1285" stopIfTrue="1">
      <formula>AI17=CléPersonnalisée2</formula>
    </cfRule>
    <cfRule type="expression" dxfId="8838" priority="1286" stopIfTrue="1">
      <formula>AI17=CléPersonnalisée1</formula>
    </cfRule>
    <cfRule type="expression" dxfId="8837" priority="1287" stopIfTrue="1">
      <formula>AI17=CléMaladie</formula>
    </cfRule>
    <cfRule type="expression" dxfId="8836" priority="1288" stopIfTrue="1">
      <formula>AI17=CléPersonnelle</formula>
    </cfRule>
    <cfRule type="expression" dxfId="8835" priority="1289" stopIfTrue="1">
      <formula>AI17=CléCongés</formula>
    </cfRule>
  </conditionalFormatting>
  <conditionalFormatting sqref="AI21:AI22">
    <cfRule type="expression" priority="1278" stopIfTrue="1">
      <formula>AI21=""</formula>
    </cfRule>
    <cfRule type="expression" dxfId="8834" priority="1279" stopIfTrue="1">
      <formula>AI21=CléPersonnalisée2</formula>
    </cfRule>
    <cfRule type="expression" dxfId="8833" priority="1280" stopIfTrue="1">
      <formula>AI21=CléPersonnalisée1</formula>
    </cfRule>
    <cfRule type="expression" dxfId="8832" priority="1281" stopIfTrue="1">
      <formula>AI21=CléMaladie</formula>
    </cfRule>
    <cfRule type="expression" dxfId="8831" priority="1282" stopIfTrue="1">
      <formula>AI21=CléPersonnelle</formula>
    </cfRule>
    <cfRule type="expression" dxfId="8830" priority="1283" stopIfTrue="1">
      <formula>AI21=CléCongés</formula>
    </cfRule>
  </conditionalFormatting>
  <conditionalFormatting sqref="AI29:AI30">
    <cfRule type="expression" priority="1266" stopIfTrue="1">
      <formula>AI29=""</formula>
    </cfRule>
    <cfRule type="expression" dxfId="8829" priority="1267" stopIfTrue="1">
      <formula>AI29=CléPersonnalisée2</formula>
    </cfRule>
    <cfRule type="expression" dxfId="8828" priority="1268" stopIfTrue="1">
      <formula>AI29=CléPersonnalisée1</formula>
    </cfRule>
    <cfRule type="expression" dxfId="8827" priority="1269" stopIfTrue="1">
      <formula>AI29=CléMaladie</formula>
    </cfRule>
    <cfRule type="expression" dxfId="8826" priority="1270" stopIfTrue="1">
      <formula>AI29=CléPersonnelle</formula>
    </cfRule>
    <cfRule type="expression" dxfId="8825" priority="1271" stopIfTrue="1">
      <formula>AI29=CléCongés</formula>
    </cfRule>
  </conditionalFormatting>
  <conditionalFormatting sqref="AI33:AI34">
    <cfRule type="expression" priority="1260" stopIfTrue="1">
      <formula>AI33=""</formula>
    </cfRule>
    <cfRule type="expression" dxfId="8824" priority="1261" stopIfTrue="1">
      <formula>AI33=CléPersonnalisée2</formula>
    </cfRule>
    <cfRule type="expression" dxfId="8823" priority="1262" stopIfTrue="1">
      <formula>AI33=CléPersonnalisée1</formula>
    </cfRule>
    <cfRule type="expression" dxfId="8822" priority="1263" stopIfTrue="1">
      <formula>AI33=CléMaladie</formula>
    </cfRule>
    <cfRule type="expression" dxfId="8821" priority="1264" stopIfTrue="1">
      <formula>AI33=CléPersonnelle</formula>
    </cfRule>
    <cfRule type="expression" dxfId="8820" priority="1265" stopIfTrue="1">
      <formula>AI33=CléCongés</formula>
    </cfRule>
  </conditionalFormatting>
  <conditionalFormatting sqref="AI37:AI38">
    <cfRule type="expression" priority="1254" stopIfTrue="1">
      <formula>AI37=""</formula>
    </cfRule>
    <cfRule type="expression" dxfId="8819" priority="1255" stopIfTrue="1">
      <formula>AI37=CléPersonnalisée2</formula>
    </cfRule>
    <cfRule type="expression" dxfId="8818" priority="1256" stopIfTrue="1">
      <formula>AI37=CléPersonnalisée1</formula>
    </cfRule>
    <cfRule type="expression" dxfId="8817" priority="1257" stopIfTrue="1">
      <formula>AI37=CléMaladie</formula>
    </cfRule>
    <cfRule type="expression" dxfId="8816" priority="1258" stopIfTrue="1">
      <formula>AI37=CléPersonnelle</formula>
    </cfRule>
    <cfRule type="expression" dxfId="8815" priority="1259" stopIfTrue="1">
      <formula>AI37=CléCongés</formula>
    </cfRule>
  </conditionalFormatting>
  <conditionalFormatting sqref="AI41:AI42">
    <cfRule type="expression" priority="1248" stopIfTrue="1">
      <formula>AI41=""</formula>
    </cfRule>
    <cfRule type="expression" dxfId="8814" priority="1249" stopIfTrue="1">
      <formula>AI41=CléPersonnalisée2</formula>
    </cfRule>
    <cfRule type="expression" dxfId="8813" priority="1250" stopIfTrue="1">
      <formula>AI41=CléPersonnalisée1</formula>
    </cfRule>
    <cfRule type="expression" dxfId="8812" priority="1251" stopIfTrue="1">
      <formula>AI41=CléMaladie</formula>
    </cfRule>
    <cfRule type="expression" dxfId="8811" priority="1252" stopIfTrue="1">
      <formula>AI41=CléPersonnelle</formula>
    </cfRule>
    <cfRule type="expression" dxfId="8810" priority="1253" stopIfTrue="1">
      <formula>AI41=CléCongés</formula>
    </cfRule>
  </conditionalFormatting>
  <conditionalFormatting sqref="AI45:AI46">
    <cfRule type="expression" priority="1242" stopIfTrue="1">
      <formula>AI45=""</formula>
    </cfRule>
    <cfRule type="expression" dxfId="8809" priority="1243" stopIfTrue="1">
      <formula>AI45=CléPersonnalisée2</formula>
    </cfRule>
    <cfRule type="expression" dxfId="8808" priority="1244" stopIfTrue="1">
      <formula>AI45=CléPersonnalisée1</formula>
    </cfRule>
    <cfRule type="expression" dxfId="8807" priority="1245" stopIfTrue="1">
      <formula>AI45=CléMaladie</formula>
    </cfRule>
    <cfRule type="expression" dxfId="8806" priority="1246" stopIfTrue="1">
      <formula>AI45=CléPersonnelle</formula>
    </cfRule>
    <cfRule type="expression" dxfId="8805" priority="1247" stopIfTrue="1">
      <formula>AI45=CléCongés</formula>
    </cfRule>
  </conditionalFormatting>
  <conditionalFormatting sqref="AI49:AI50">
    <cfRule type="expression" priority="1236" stopIfTrue="1">
      <formula>AI49=""</formula>
    </cfRule>
    <cfRule type="expression" dxfId="8804" priority="1237" stopIfTrue="1">
      <formula>AI49=CléPersonnalisée2</formula>
    </cfRule>
    <cfRule type="expression" dxfId="8803" priority="1238" stopIfTrue="1">
      <formula>AI49=CléPersonnalisée1</formula>
    </cfRule>
    <cfRule type="expression" dxfId="8802" priority="1239" stopIfTrue="1">
      <formula>AI49=CléMaladie</formula>
    </cfRule>
    <cfRule type="expression" dxfId="8801" priority="1240" stopIfTrue="1">
      <formula>AI49=CléPersonnelle</formula>
    </cfRule>
    <cfRule type="expression" dxfId="8800" priority="1241" stopIfTrue="1">
      <formula>AI49=CléCongés</formula>
    </cfRule>
  </conditionalFormatting>
  <conditionalFormatting sqref="AI53:AI54">
    <cfRule type="expression" priority="1230" stopIfTrue="1">
      <formula>AI53=""</formula>
    </cfRule>
    <cfRule type="expression" dxfId="8799" priority="1231" stopIfTrue="1">
      <formula>AI53=CléPersonnalisée2</formula>
    </cfRule>
    <cfRule type="expression" dxfId="8798" priority="1232" stopIfTrue="1">
      <formula>AI53=CléPersonnalisée1</formula>
    </cfRule>
    <cfRule type="expression" dxfId="8797" priority="1233" stopIfTrue="1">
      <formula>AI53=CléMaladie</formula>
    </cfRule>
    <cfRule type="expression" dxfId="8796" priority="1234" stopIfTrue="1">
      <formula>AI53=CléPersonnelle</formula>
    </cfRule>
    <cfRule type="expression" dxfId="8795" priority="1235" stopIfTrue="1">
      <formula>AI53=CléCongés</formula>
    </cfRule>
  </conditionalFormatting>
  <conditionalFormatting sqref="AI61:AI62">
    <cfRule type="expression" priority="1224" stopIfTrue="1">
      <formula>AI61=""</formula>
    </cfRule>
    <cfRule type="expression" dxfId="8794" priority="1225" stopIfTrue="1">
      <formula>AI61=CléPersonnalisée2</formula>
    </cfRule>
    <cfRule type="expression" dxfId="8793" priority="1226" stopIfTrue="1">
      <formula>AI61=CléPersonnalisée1</formula>
    </cfRule>
    <cfRule type="expression" dxfId="8792" priority="1227" stopIfTrue="1">
      <formula>AI61=CléMaladie</formula>
    </cfRule>
    <cfRule type="expression" dxfId="8791" priority="1228" stopIfTrue="1">
      <formula>AI61=CléPersonnelle</formula>
    </cfRule>
    <cfRule type="expression" dxfId="8790" priority="1229" stopIfTrue="1">
      <formula>AI61=CléCongés</formula>
    </cfRule>
  </conditionalFormatting>
  <conditionalFormatting sqref="AI69:AI70">
    <cfRule type="expression" priority="1218" stopIfTrue="1">
      <formula>AI69=""</formula>
    </cfRule>
    <cfRule type="expression" dxfId="8789" priority="1219" stopIfTrue="1">
      <formula>AI69=CléPersonnalisée2</formula>
    </cfRule>
    <cfRule type="expression" dxfId="8788" priority="1220" stopIfTrue="1">
      <formula>AI69=CléPersonnalisée1</formula>
    </cfRule>
    <cfRule type="expression" dxfId="8787" priority="1221" stopIfTrue="1">
      <formula>AI69=CléMaladie</formula>
    </cfRule>
    <cfRule type="expression" dxfId="8786" priority="1222" stopIfTrue="1">
      <formula>AI69=CléPersonnelle</formula>
    </cfRule>
    <cfRule type="expression" dxfId="8785" priority="1223" stopIfTrue="1">
      <formula>AI69=CléCongés</formula>
    </cfRule>
  </conditionalFormatting>
  <conditionalFormatting sqref="AN11">
    <cfRule type="expression" priority="1212" stopIfTrue="1">
      <formula>AN11=""</formula>
    </cfRule>
    <cfRule type="expression" dxfId="8784" priority="1213" stopIfTrue="1">
      <formula>AN11=CléPersonnalisée2</formula>
    </cfRule>
    <cfRule type="expression" dxfId="8783" priority="1214" stopIfTrue="1">
      <formula>AN11=CléPersonnalisée1</formula>
    </cfRule>
    <cfRule type="expression" dxfId="8782" priority="1215" stopIfTrue="1">
      <formula>AN11=CléMaladie</formula>
    </cfRule>
    <cfRule type="expression" dxfId="8781" priority="1216" stopIfTrue="1">
      <formula>AN11=CléPersonnelle</formula>
    </cfRule>
    <cfRule type="expression" dxfId="8780" priority="1217" stopIfTrue="1">
      <formula>AN11=CléCongés</formula>
    </cfRule>
  </conditionalFormatting>
  <conditionalFormatting sqref="AN19">
    <cfRule type="expression" priority="1206" stopIfTrue="1">
      <formula>AN19=""</formula>
    </cfRule>
    <cfRule type="expression" dxfId="8779" priority="1207" stopIfTrue="1">
      <formula>AN19=CléPersonnalisée2</formula>
    </cfRule>
    <cfRule type="expression" dxfId="8778" priority="1208" stopIfTrue="1">
      <formula>AN19=CléPersonnalisée1</formula>
    </cfRule>
    <cfRule type="expression" dxfId="8777" priority="1209" stopIfTrue="1">
      <formula>AN19=CléMaladie</formula>
    </cfRule>
    <cfRule type="expression" dxfId="8776" priority="1210" stopIfTrue="1">
      <formula>AN19=CléPersonnelle</formula>
    </cfRule>
    <cfRule type="expression" dxfId="8775" priority="1211" stopIfTrue="1">
      <formula>AN19=CléCongés</formula>
    </cfRule>
  </conditionalFormatting>
  <conditionalFormatting sqref="AN23">
    <cfRule type="expression" priority="1200" stopIfTrue="1">
      <formula>AN23=""</formula>
    </cfRule>
    <cfRule type="expression" dxfId="8774" priority="1201" stopIfTrue="1">
      <formula>AN23=CléPersonnalisée2</formula>
    </cfRule>
    <cfRule type="expression" dxfId="8773" priority="1202" stopIfTrue="1">
      <formula>AN23=CléPersonnalisée1</formula>
    </cfRule>
    <cfRule type="expression" dxfId="8772" priority="1203" stopIfTrue="1">
      <formula>AN23=CléMaladie</formula>
    </cfRule>
    <cfRule type="expression" dxfId="8771" priority="1204" stopIfTrue="1">
      <formula>AN23=CléPersonnelle</formula>
    </cfRule>
    <cfRule type="expression" dxfId="8770" priority="1205" stopIfTrue="1">
      <formula>AN23=CléCongés</formula>
    </cfRule>
  </conditionalFormatting>
  <conditionalFormatting sqref="AN27">
    <cfRule type="expression" priority="1194" stopIfTrue="1">
      <formula>AN27=""</formula>
    </cfRule>
    <cfRule type="expression" dxfId="8769" priority="1195" stopIfTrue="1">
      <formula>AN27=CléPersonnalisée2</formula>
    </cfRule>
    <cfRule type="expression" dxfId="8768" priority="1196" stopIfTrue="1">
      <formula>AN27=CléPersonnalisée1</formula>
    </cfRule>
    <cfRule type="expression" dxfId="8767" priority="1197" stopIfTrue="1">
      <formula>AN27=CléMaladie</formula>
    </cfRule>
    <cfRule type="expression" dxfId="8766" priority="1198" stopIfTrue="1">
      <formula>AN27=CléPersonnelle</formula>
    </cfRule>
    <cfRule type="expression" dxfId="8765" priority="1199" stopIfTrue="1">
      <formula>AN27=CléCongés</formula>
    </cfRule>
  </conditionalFormatting>
  <conditionalFormatting sqref="AN31">
    <cfRule type="expression" priority="1188" stopIfTrue="1">
      <formula>AN31=""</formula>
    </cfRule>
    <cfRule type="expression" dxfId="8764" priority="1189" stopIfTrue="1">
      <formula>AN31=CléPersonnalisée2</formula>
    </cfRule>
    <cfRule type="expression" dxfId="8763" priority="1190" stopIfTrue="1">
      <formula>AN31=CléPersonnalisée1</formula>
    </cfRule>
    <cfRule type="expression" dxfId="8762" priority="1191" stopIfTrue="1">
      <formula>AN31=CléMaladie</formula>
    </cfRule>
    <cfRule type="expression" dxfId="8761" priority="1192" stopIfTrue="1">
      <formula>AN31=CléPersonnelle</formula>
    </cfRule>
    <cfRule type="expression" dxfId="8760" priority="1193" stopIfTrue="1">
      <formula>AN31=CléCongés</formula>
    </cfRule>
  </conditionalFormatting>
  <conditionalFormatting sqref="AN35">
    <cfRule type="expression" priority="1182" stopIfTrue="1">
      <formula>AN35=""</formula>
    </cfRule>
    <cfRule type="expression" dxfId="8759" priority="1183" stopIfTrue="1">
      <formula>AN35=CléPersonnalisée2</formula>
    </cfRule>
    <cfRule type="expression" dxfId="8758" priority="1184" stopIfTrue="1">
      <formula>AN35=CléPersonnalisée1</formula>
    </cfRule>
    <cfRule type="expression" dxfId="8757" priority="1185" stopIfTrue="1">
      <formula>AN35=CléMaladie</formula>
    </cfRule>
    <cfRule type="expression" dxfId="8756" priority="1186" stopIfTrue="1">
      <formula>AN35=CléPersonnelle</formula>
    </cfRule>
    <cfRule type="expression" dxfId="8755" priority="1187" stopIfTrue="1">
      <formula>AN35=CléCongés</formula>
    </cfRule>
  </conditionalFormatting>
  <conditionalFormatting sqref="AN39">
    <cfRule type="expression" priority="1176" stopIfTrue="1">
      <formula>AN39=""</formula>
    </cfRule>
    <cfRule type="expression" dxfId="8754" priority="1177" stopIfTrue="1">
      <formula>AN39=CléPersonnalisée2</formula>
    </cfRule>
    <cfRule type="expression" dxfId="8753" priority="1178" stopIfTrue="1">
      <formula>AN39=CléPersonnalisée1</formula>
    </cfRule>
    <cfRule type="expression" dxfId="8752" priority="1179" stopIfTrue="1">
      <formula>AN39=CléMaladie</formula>
    </cfRule>
    <cfRule type="expression" dxfId="8751" priority="1180" stopIfTrue="1">
      <formula>AN39=CléPersonnelle</formula>
    </cfRule>
    <cfRule type="expression" dxfId="8750" priority="1181" stopIfTrue="1">
      <formula>AN39=CléCongés</formula>
    </cfRule>
  </conditionalFormatting>
  <conditionalFormatting sqref="AN43">
    <cfRule type="expression" priority="1170" stopIfTrue="1">
      <formula>AN43=""</formula>
    </cfRule>
    <cfRule type="expression" dxfId="8749" priority="1171" stopIfTrue="1">
      <formula>AN43=CléPersonnalisée2</formula>
    </cfRule>
    <cfRule type="expression" dxfId="8748" priority="1172" stopIfTrue="1">
      <formula>AN43=CléPersonnalisée1</formula>
    </cfRule>
    <cfRule type="expression" dxfId="8747" priority="1173" stopIfTrue="1">
      <formula>AN43=CléMaladie</formula>
    </cfRule>
    <cfRule type="expression" dxfId="8746" priority="1174" stopIfTrue="1">
      <formula>AN43=CléPersonnelle</formula>
    </cfRule>
    <cfRule type="expression" dxfId="8745" priority="1175" stopIfTrue="1">
      <formula>AN43=CléCongés</formula>
    </cfRule>
  </conditionalFormatting>
  <conditionalFormatting sqref="AN47">
    <cfRule type="expression" priority="1164" stopIfTrue="1">
      <formula>AN47=""</formula>
    </cfRule>
    <cfRule type="expression" dxfId="8744" priority="1165" stopIfTrue="1">
      <formula>AN47=CléPersonnalisée2</formula>
    </cfRule>
    <cfRule type="expression" dxfId="8743" priority="1166" stopIfTrue="1">
      <formula>AN47=CléPersonnalisée1</formula>
    </cfRule>
    <cfRule type="expression" dxfId="8742" priority="1167" stopIfTrue="1">
      <formula>AN47=CléMaladie</formula>
    </cfRule>
    <cfRule type="expression" dxfId="8741" priority="1168" stopIfTrue="1">
      <formula>AN47=CléPersonnelle</formula>
    </cfRule>
    <cfRule type="expression" dxfId="8740" priority="1169" stopIfTrue="1">
      <formula>AN47=CléCongés</formula>
    </cfRule>
  </conditionalFormatting>
  <conditionalFormatting sqref="AN51">
    <cfRule type="expression" priority="1158" stopIfTrue="1">
      <formula>AN51=""</formula>
    </cfRule>
    <cfRule type="expression" dxfId="8739" priority="1159" stopIfTrue="1">
      <formula>AN51=CléPersonnalisée2</formula>
    </cfRule>
    <cfRule type="expression" dxfId="8738" priority="1160" stopIfTrue="1">
      <formula>AN51=CléPersonnalisée1</formula>
    </cfRule>
    <cfRule type="expression" dxfId="8737" priority="1161" stopIfTrue="1">
      <formula>AN51=CléMaladie</formula>
    </cfRule>
    <cfRule type="expression" dxfId="8736" priority="1162" stopIfTrue="1">
      <formula>AN51=CléPersonnelle</formula>
    </cfRule>
    <cfRule type="expression" dxfId="8735" priority="1163" stopIfTrue="1">
      <formula>AN51=CléCongés</formula>
    </cfRule>
  </conditionalFormatting>
  <conditionalFormatting sqref="AN55">
    <cfRule type="expression" priority="1152" stopIfTrue="1">
      <formula>AN55=""</formula>
    </cfRule>
    <cfRule type="expression" dxfId="8734" priority="1153" stopIfTrue="1">
      <formula>AN55=CléPersonnalisée2</formula>
    </cfRule>
    <cfRule type="expression" dxfId="8733" priority="1154" stopIfTrue="1">
      <formula>AN55=CléPersonnalisée1</formula>
    </cfRule>
    <cfRule type="expression" dxfId="8732" priority="1155" stopIfTrue="1">
      <formula>AN55=CléMaladie</formula>
    </cfRule>
    <cfRule type="expression" dxfId="8731" priority="1156" stopIfTrue="1">
      <formula>AN55=CléPersonnelle</formula>
    </cfRule>
    <cfRule type="expression" dxfId="8730" priority="1157" stopIfTrue="1">
      <formula>AN55=CléCongés</formula>
    </cfRule>
  </conditionalFormatting>
  <conditionalFormatting sqref="AN63">
    <cfRule type="expression" priority="1146" stopIfTrue="1">
      <formula>AN63=""</formula>
    </cfRule>
    <cfRule type="expression" dxfId="8729" priority="1147" stopIfTrue="1">
      <formula>AN63=CléPersonnalisée2</formula>
    </cfRule>
    <cfRule type="expression" dxfId="8728" priority="1148" stopIfTrue="1">
      <formula>AN63=CléPersonnalisée1</formula>
    </cfRule>
    <cfRule type="expression" dxfId="8727" priority="1149" stopIfTrue="1">
      <formula>AN63=CléMaladie</formula>
    </cfRule>
    <cfRule type="expression" dxfId="8726" priority="1150" stopIfTrue="1">
      <formula>AN63=CléPersonnelle</formula>
    </cfRule>
    <cfRule type="expression" dxfId="8725" priority="1151" stopIfTrue="1">
      <formula>AN63=CléCongés</formula>
    </cfRule>
  </conditionalFormatting>
  <conditionalFormatting sqref="AN71">
    <cfRule type="expression" priority="1140" stopIfTrue="1">
      <formula>AN71=""</formula>
    </cfRule>
    <cfRule type="expression" dxfId="8724" priority="1141" stopIfTrue="1">
      <formula>AN71=CléPersonnalisée2</formula>
    </cfRule>
    <cfRule type="expression" dxfId="8723" priority="1142" stopIfTrue="1">
      <formula>AN71=CléPersonnalisée1</formula>
    </cfRule>
    <cfRule type="expression" dxfId="8722" priority="1143" stopIfTrue="1">
      <formula>AN71=CléMaladie</formula>
    </cfRule>
    <cfRule type="expression" dxfId="8721" priority="1144" stopIfTrue="1">
      <formula>AN71=CléPersonnelle</formula>
    </cfRule>
    <cfRule type="expression" dxfId="8720" priority="1145" stopIfTrue="1">
      <formula>AN71=CléCongés</formula>
    </cfRule>
  </conditionalFormatting>
  <conditionalFormatting sqref="AH7">
    <cfRule type="dataBar" priority="1139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{C4CD1A8E-6FF5-4D60-860B-14E5AA2790E4}</x14:id>
        </ext>
      </extLst>
    </cfRule>
  </conditionalFormatting>
  <conditionalFormatting sqref="AI7:AL7">
    <cfRule type="expression" priority="1133" stopIfTrue="1">
      <formula>AI7=""</formula>
    </cfRule>
    <cfRule type="expression" dxfId="8719" priority="1134" stopIfTrue="1">
      <formula>AI7=CléPersonnalisée2</formula>
    </cfRule>
    <cfRule type="expression" dxfId="8718" priority="1135" stopIfTrue="1">
      <formula>AI7=CléPersonnalisée1</formula>
    </cfRule>
    <cfRule type="expression" dxfId="8717" priority="1136" stopIfTrue="1">
      <formula>AI7=CléMaladie</formula>
    </cfRule>
    <cfRule type="expression" dxfId="8716" priority="1137" stopIfTrue="1">
      <formula>AI7=CléPersonnelle</formula>
    </cfRule>
    <cfRule type="expression" dxfId="8715" priority="1138" stopIfTrue="1">
      <formula>AI7=CléCongés</formula>
    </cfRule>
  </conditionalFormatting>
  <conditionalFormatting sqref="AM7">
    <cfRule type="expression" priority="1127" stopIfTrue="1">
      <formula>AM7=""</formula>
    </cfRule>
    <cfRule type="expression" dxfId="8714" priority="1128" stopIfTrue="1">
      <formula>AM7=CléPersonnalisée2</formula>
    </cfRule>
    <cfRule type="expression" dxfId="8713" priority="1129" stopIfTrue="1">
      <formula>AM7=CléPersonnalisée1</formula>
    </cfRule>
    <cfRule type="expression" dxfId="8712" priority="1130" stopIfTrue="1">
      <formula>AM7=CléMaladie</formula>
    </cfRule>
    <cfRule type="expression" dxfId="8711" priority="1131" stopIfTrue="1">
      <formula>AM7=CléPersonnelle</formula>
    </cfRule>
    <cfRule type="expression" dxfId="8710" priority="1132" stopIfTrue="1">
      <formula>AM7=CléCongés</formula>
    </cfRule>
  </conditionalFormatting>
  <conditionalFormatting sqref="AO7">
    <cfRule type="expression" priority="1121" stopIfTrue="1">
      <formula>AO7=""</formula>
    </cfRule>
    <cfRule type="expression" dxfId="8709" priority="1122" stopIfTrue="1">
      <formula>AO7=CléPersonnalisée2</formula>
    </cfRule>
    <cfRule type="expression" dxfId="8708" priority="1123" stopIfTrue="1">
      <formula>AO7=CléPersonnalisée1</formula>
    </cfRule>
    <cfRule type="expression" dxfId="8707" priority="1124" stopIfTrue="1">
      <formula>AO7=CléMaladie</formula>
    </cfRule>
    <cfRule type="expression" dxfId="8706" priority="1125" stopIfTrue="1">
      <formula>AO7=CléPersonnelle</formula>
    </cfRule>
    <cfRule type="expression" dxfId="8705" priority="1126" stopIfTrue="1">
      <formula>AO7=CléCongés</formula>
    </cfRule>
  </conditionalFormatting>
  <conditionalFormatting sqref="AN7">
    <cfRule type="expression" priority="1115" stopIfTrue="1">
      <formula>AN7=""</formula>
    </cfRule>
    <cfRule type="expression" dxfId="8704" priority="1116" stopIfTrue="1">
      <formula>AN7=CléPersonnalisée2</formula>
    </cfRule>
    <cfRule type="expression" dxfId="8703" priority="1117" stopIfTrue="1">
      <formula>AN7=CléPersonnalisée1</formula>
    </cfRule>
    <cfRule type="expression" dxfId="8702" priority="1118" stopIfTrue="1">
      <formula>AN7=CléMaladie</formula>
    </cfRule>
    <cfRule type="expression" dxfId="8701" priority="1119" stopIfTrue="1">
      <formula>AN7=CléPersonnelle</formula>
    </cfRule>
    <cfRule type="expression" dxfId="8700" priority="1120" stopIfTrue="1">
      <formula>AN7=CléCongés</formula>
    </cfRule>
  </conditionalFormatting>
  <conditionalFormatting sqref="AQ7">
    <cfRule type="expression" priority="1109" stopIfTrue="1">
      <formula>AQ7=""</formula>
    </cfRule>
    <cfRule type="expression" dxfId="8699" priority="1110" stopIfTrue="1">
      <formula>AQ7=CléPersonnalisée2</formula>
    </cfRule>
    <cfRule type="expression" dxfId="8698" priority="1111" stopIfTrue="1">
      <formula>AQ7=CléPersonnalisée1</formula>
    </cfRule>
    <cfRule type="expression" dxfId="8697" priority="1112" stopIfTrue="1">
      <formula>AQ7=CléMaladie</formula>
    </cfRule>
    <cfRule type="expression" dxfId="8696" priority="1113" stopIfTrue="1">
      <formula>AQ7=CléPersonnelle</formula>
    </cfRule>
    <cfRule type="expression" dxfId="8695" priority="1114" stopIfTrue="1">
      <formula>AQ7=CléCongés</formula>
    </cfRule>
  </conditionalFormatting>
  <conditionalFormatting sqref="AQ71">
    <cfRule type="expression" priority="891" stopIfTrue="1">
      <formula>AQ71=""</formula>
    </cfRule>
    <cfRule type="expression" dxfId="8694" priority="892" stopIfTrue="1">
      <formula>AQ71=CléPersonnalisée2</formula>
    </cfRule>
    <cfRule type="expression" dxfId="8693" priority="893" stopIfTrue="1">
      <formula>AQ71=CléPersonnalisée1</formula>
    </cfRule>
    <cfRule type="expression" dxfId="8692" priority="894" stopIfTrue="1">
      <formula>AQ71=CléMaladie</formula>
    </cfRule>
    <cfRule type="expression" dxfId="8691" priority="895" stopIfTrue="1">
      <formula>AQ71=CléPersonnelle</formula>
    </cfRule>
    <cfRule type="expression" dxfId="8690" priority="896" stopIfTrue="1">
      <formula>AQ71=CléCongés</formula>
    </cfRule>
  </conditionalFormatting>
  <conditionalFormatting sqref="AQ75">
    <cfRule type="expression" priority="841" stopIfTrue="1">
      <formula>AQ75=""</formula>
    </cfRule>
    <cfRule type="expression" dxfId="8689" priority="842" stopIfTrue="1">
      <formula>AQ75=CléPersonnalisée2</formula>
    </cfRule>
    <cfRule type="expression" dxfId="8688" priority="843" stopIfTrue="1">
      <formula>AQ75=CléPersonnalisée1</formula>
    </cfRule>
    <cfRule type="expression" dxfId="8687" priority="844" stopIfTrue="1">
      <formula>AQ75=CléMaladie</formula>
    </cfRule>
    <cfRule type="expression" dxfId="8686" priority="845" stopIfTrue="1">
      <formula>AQ75=CléPersonnelle</formula>
    </cfRule>
    <cfRule type="expression" dxfId="8685" priority="846" stopIfTrue="1">
      <formula>AQ75=CléCongés</formula>
    </cfRule>
  </conditionalFormatting>
  <conditionalFormatting sqref="AQ83">
    <cfRule type="expression" priority="779" stopIfTrue="1">
      <formula>AQ83=""</formula>
    </cfRule>
    <cfRule type="expression" dxfId="8684" priority="780" stopIfTrue="1">
      <formula>AQ83=CléPersonnalisée2</formula>
    </cfRule>
    <cfRule type="expression" dxfId="8683" priority="781" stopIfTrue="1">
      <formula>AQ83=CléPersonnalisée1</formula>
    </cfRule>
    <cfRule type="expression" dxfId="8682" priority="782" stopIfTrue="1">
      <formula>AQ83=CléMaladie</formula>
    </cfRule>
    <cfRule type="expression" dxfId="8681" priority="783" stopIfTrue="1">
      <formula>AQ83=CléPersonnelle</formula>
    </cfRule>
    <cfRule type="expression" dxfId="8680" priority="784" stopIfTrue="1">
      <formula>AQ83=CléCongés</formula>
    </cfRule>
  </conditionalFormatting>
  <conditionalFormatting sqref="AQ91">
    <cfRule type="expression" priority="655" stopIfTrue="1">
      <formula>AQ91=""</formula>
    </cfRule>
    <cfRule type="expression" dxfId="8679" priority="656" stopIfTrue="1">
      <formula>AQ91=CléPersonnalisée2</formula>
    </cfRule>
    <cfRule type="expression" dxfId="8678" priority="657" stopIfTrue="1">
      <formula>AQ91=CléPersonnalisée1</formula>
    </cfRule>
    <cfRule type="expression" dxfId="8677" priority="658" stopIfTrue="1">
      <formula>AQ91=CléMaladie</formula>
    </cfRule>
    <cfRule type="expression" dxfId="8676" priority="659" stopIfTrue="1">
      <formula>AQ91=CléPersonnelle</formula>
    </cfRule>
    <cfRule type="expression" dxfId="8675" priority="660" stopIfTrue="1">
      <formula>AQ91=CléCongés</formula>
    </cfRule>
  </conditionalFormatting>
  <conditionalFormatting sqref="C65:AG67">
    <cfRule type="expression" priority="1102" stopIfTrue="1">
      <formula>C65=""</formula>
    </cfRule>
    <cfRule type="expression" dxfId="8674" priority="1103" stopIfTrue="1">
      <formula>C65=CléPersonnalisée2</formula>
    </cfRule>
    <cfRule type="expression" dxfId="8673" priority="1104" stopIfTrue="1">
      <formula>C65=CléPersonnalisée1</formula>
    </cfRule>
    <cfRule type="expression" dxfId="8672" priority="1105" stopIfTrue="1">
      <formula>C65=CléMaladie</formula>
    </cfRule>
    <cfRule type="expression" dxfId="8671" priority="1106" stopIfTrue="1">
      <formula>C65=CléPersonnelle</formula>
    </cfRule>
    <cfRule type="expression" dxfId="8670" priority="1107" stopIfTrue="1">
      <formula>C65=CléCongés</formula>
    </cfRule>
  </conditionalFormatting>
  <conditionalFormatting sqref="AH67">
    <cfRule type="dataBar" priority="1108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{3C5C61A2-0B49-4BFD-8EC7-13C82E3B3F7E}</x14:id>
        </ext>
      </extLst>
    </cfRule>
  </conditionalFormatting>
  <conditionalFormatting sqref="AI67:AL67 AJ65:AL66">
    <cfRule type="expression" priority="1096" stopIfTrue="1">
      <formula>AI65=""</formula>
    </cfRule>
    <cfRule type="expression" dxfId="8669" priority="1097" stopIfTrue="1">
      <formula>AI65=CléPersonnalisée2</formula>
    </cfRule>
    <cfRule type="expression" dxfId="8668" priority="1098" stopIfTrue="1">
      <formula>AI65=CléPersonnalisée1</formula>
    </cfRule>
    <cfRule type="expression" dxfId="8667" priority="1099" stopIfTrue="1">
      <formula>AI65=CléMaladie</formula>
    </cfRule>
    <cfRule type="expression" dxfId="8666" priority="1100" stopIfTrue="1">
      <formula>AI65=CléPersonnelle</formula>
    </cfRule>
    <cfRule type="expression" dxfId="8665" priority="1101" stopIfTrue="1">
      <formula>AI65=CléCongés</formula>
    </cfRule>
  </conditionalFormatting>
  <conditionalFormatting sqref="AQ65:AR66">
    <cfRule type="expression" priority="1084" stopIfTrue="1">
      <formula>AQ65=""</formula>
    </cfRule>
    <cfRule type="expression" dxfId="8664" priority="1085" stopIfTrue="1">
      <formula>AQ65=CléPersonnalisée2</formula>
    </cfRule>
    <cfRule type="expression" dxfId="8663" priority="1086" stopIfTrue="1">
      <formula>AQ65=CléPersonnalisée1</formula>
    </cfRule>
    <cfRule type="expression" dxfId="8662" priority="1087" stopIfTrue="1">
      <formula>AQ65=CléMaladie</formula>
    </cfRule>
    <cfRule type="expression" dxfId="8661" priority="1088" stopIfTrue="1">
      <formula>AQ65=CléPersonnelle</formula>
    </cfRule>
    <cfRule type="expression" dxfId="8660" priority="1089" stopIfTrue="1">
      <formula>AQ65=CléCongés</formula>
    </cfRule>
  </conditionalFormatting>
  <conditionalFormatting sqref="AH65:AH66">
    <cfRule type="dataBar" priority="1077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{B92F286D-751D-49ED-85A5-71614944AD2E}</x14:id>
        </ext>
      </extLst>
    </cfRule>
  </conditionalFormatting>
  <conditionalFormatting sqref="AO67">
    <cfRule type="expression" priority="1071" stopIfTrue="1">
      <formula>AO67=""</formula>
    </cfRule>
    <cfRule type="expression" dxfId="8659" priority="1072" stopIfTrue="1">
      <formula>AO67=CléPersonnalisée2</formula>
    </cfRule>
    <cfRule type="expression" dxfId="8658" priority="1073" stopIfTrue="1">
      <formula>AO67=CléPersonnalisée1</formula>
    </cfRule>
    <cfRule type="expression" dxfId="8657" priority="1074" stopIfTrue="1">
      <formula>AO67=CléMaladie</formula>
    </cfRule>
    <cfRule type="expression" dxfId="8656" priority="1075" stopIfTrue="1">
      <formula>AO67=CléPersonnelle</formula>
    </cfRule>
    <cfRule type="expression" dxfId="8655" priority="1076" stopIfTrue="1">
      <formula>AO67=CléCongés</formula>
    </cfRule>
  </conditionalFormatting>
  <conditionalFormatting sqref="AI65:AI66">
    <cfRule type="expression" priority="1065" stopIfTrue="1">
      <formula>AI65=""</formula>
    </cfRule>
    <cfRule type="expression" dxfId="8654" priority="1066" stopIfTrue="1">
      <formula>AI65=CléPersonnalisée2</formula>
    </cfRule>
    <cfRule type="expression" dxfId="8653" priority="1067" stopIfTrue="1">
      <formula>AI65=CléPersonnalisée1</formula>
    </cfRule>
    <cfRule type="expression" dxfId="8652" priority="1068" stopIfTrue="1">
      <formula>AI65=CléMaladie</formula>
    </cfRule>
    <cfRule type="expression" dxfId="8651" priority="1069" stopIfTrue="1">
      <formula>AI65=CléPersonnelle</formula>
    </cfRule>
    <cfRule type="expression" dxfId="8650" priority="1070" stopIfTrue="1">
      <formula>AI65=CléCongés</formula>
    </cfRule>
  </conditionalFormatting>
  <conditionalFormatting sqref="AN67">
    <cfRule type="expression" priority="1059" stopIfTrue="1">
      <formula>AN67=""</formula>
    </cfRule>
    <cfRule type="expression" dxfId="8649" priority="1060" stopIfTrue="1">
      <formula>AN67=CléPersonnalisée2</formula>
    </cfRule>
    <cfRule type="expression" dxfId="8648" priority="1061" stopIfTrue="1">
      <formula>AN67=CléPersonnalisée1</formula>
    </cfRule>
    <cfRule type="expression" dxfId="8647" priority="1062" stopIfTrue="1">
      <formula>AN67=CléMaladie</formula>
    </cfRule>
    <cfRule type="expression" dxfId="8646" priority="1063" stopIfTrue="1">
      <formula>AN67=CléPersonnelle</formula>
    </cfRule>
    <cfRule type="expression" dxfId="8645" priority="1064" stopIfTrue="1">
      <formula>AN67=CléCongés</formula>
    </cfRule>
  </conditionalFormatting>
  <conditionalFormatting sqref="AR11">
    <cfRule type="expression" priority="1053" stopIfTrue="1">
      <formula>AR11=""</formula>
    </cfRule>
    <cfRule type="expression" dxfId="8644" priority="1054" stopIfTrue="1">
      <formula>AR11=CléPersonnalisée2</formula>
    </cfRule>
    <cfRule type="expression" dxfId="8643" priority="1055" stopIfTrue="1">
      <formula>AR11=CléPersonnalisée1</formula>
    </cfRule>
    <cfRule type="expression" dxfId="8642" priority="1056" stopIfTrue="1">
      <formula>AR11=CléMaladie</formula>
    </cfRule>
    <cfRule type="expression" dxfId="8641" priority="1057" stopIfTrue="1">
      <formula>AR11=CléPersonnelle</formula>
    </cfRule>
    <cfRule type="expression" dxfId="8640" priority="1058" stopIfTrue="1">
      <formula>AR11=CléCongés</formula>
    </cfRule>
  </conditionalFormatting>
  <conditionalFormatting sqref="AQ11">
    <cfRule type="expression" priority="1047" stopIfTrue="1">
      <formula>AQ11=""</formula>
    </cfRule>
    <cfRule type="expression" dxfId="8639" priority="1048" stopIfTrue="1">
      <formula>AQ11=CléPersonnalisée2</formula>
    </cfRule>
    <cfRule type="expression" dxfId="8638" priority="1049" stopIfTrue="1">
      <formula>AQ11=CléPersonnalisée1</formula>
    </cfRule>
    <cfRule type="expression" dxfId="8637" priority="1050" stopIfTrue="1">
      <formula>AQ11=CléMaladie</formula>
    </cfRule>
    <cfRule type="expression" dxfId="8636" priority="1051" stopIfTrue="1">
      <formula>AQ11=CléPersonnelle</formula>
    </cfRule>
    <cfRule type="expression" dxfId="8635" priority="1052" stopIfTrue="1">
      <formula>AQ11=CléCongés</formula>
    </cfRule>
  </conditionalFormatting>
  <conditionalFormatting sqref="AR19">
    <cfRule type="expression" priority="1041" stopIfTrue="1">
      <formula>AR19=""</formula>
    </cfRule>
    <cfRule type="expression" dxfId="8634" priority="1042" stopIfTrue="1">
      <formula>AR19=CléPersonnalisée2</formula>
    </cfRule>
    <cfRule type="expression" dxfId="8633" priority="1043" stopIfTrue="1">
      <formula>AR19=CléPersonnalisée1</formula>
    </cfRule>
    <cfRule type="expression" dxfId="8632" priority="1044" stopIfTrue="1">
      <formula>AR19=CléMaladie</formula>
    </cfRule>
    <cfRule type="expression" dxfId="8631" priority="1045" stopIfTrue="1">
      <formula>AR19=CléPersonnelle</formula>
    </cfRule>
    <cfRule type="expression" dxfId="8630" priority="1046" stopIfTrue="1">
      <formula>AR19=CléCongés</formula>
    </cfRule>
  </conditionalFormatting>
  <conditionalFormatting sqref="AQ19">
    <cfRule type="expression" priority="1035" stopIfTrue="1">
      <formula>AQ19=""</formula>
    </cfRule>
    <cfRule type="expression" dxfId="8629" priority="1036" stopIfTrue="1">
      <formula>AQ19=CléPersonnalisée2</formula>
    </cfRule>
    <cfRule type="expression" dxfId="8628" priority="1037" stopIfTrue="1">
      <formula>AQ19=CléPersonnalisée1</formula>
    </cfRule>
    <cfRule type="expression" dxfId="8627" priority="1038" stopIfTrue="1">
      <formula>AQ19=CléMaladie</formula>
    </cfRule>
    <cfRule type="expression" dxfId="8626" priority="1039" stopIfTrue="1">
      <formula>AQ19=CléPersonnelle</formula>
    </cfRule>
    <cfRule type="expression" dxfId="8625" priority="1040" stopIfTrue="1">
      <formula>AQ19=CléCongés</formula>
    </cfRule>
  </conditionalFormatting>
  <conditionalFormatting sqref="AR23">
    <cfRule type="expression" priority="1029" stopIfTrue="1">
      <formula>AR23=""</formula>
    </cfRule>
    <cfRule type="expression" dxfId="8624" priority="1030" stopIfTrue="1">
      <formula>AR23=CléPersonnalisée2</formula>
    </cfRule>
    <cfRule type="expression" dxfId="8623" priority="1031" stopIfTrue="1">
      <formula>AR23=CléPersonnalisée1</formula>
    </cfRule>
    <cfRule type="expression" dxfId="8622" priority="1032" stopIfTrue="1">
      <formula>AR23=CléMaladie</formula>
    </cfRule>
    <cfRule type="expression" dxfId="8621" priority="1033" stopIfTrue="1">
      <formula>AR23=CléPersonnelle</formula>
    </cfRule>
    <cfRule type="expression" dxfId="8620" priority="1034" stopIfTrue="1">
      <formula>AR23=CléCongés</formula>
    </cfRule>
  </conditionalFormatting>
  <conditionalFormatting sqref="AQ23">
    <cfRule type="expression" priority="1023" stopIfTrue="1">
      <formula>AQ23=""</formula>
    </cfRule>
    <cfRule type="expression" dxfId="8619" priority="1024" stopIfTrue="1">
      <formula>AQ23=CléPersonnalisée2</formula>
    </cfRule>
    <cfRule type="expression" dxfId="8618" priority="1025" stopIfTrue="1">
      <formula>AQ23=CléPersonnalisée1</formula>
    </cfRule>
    <cfRule type="expression" dxfId="8617" priority="1026" stopIfTrue="1">
      <formula>AQ23=CléMaladie</formula>
    </cfRule>
    <cfRule type="expression" dxfId="8616" priority="1027" stopIfTrue="1">
      <formula>AQ23=CléPersonnelle</formula>
    </cfRule>
    <cfRule type="expression" dxfId="8615" priority="1028" stopIfTrue="1">
      <formula>AQ23=CléCongés</formula>
    </cfRule>
  </conditionalFormatting>
  <conditionalFormatting sqref="AR27">
    <cfRule type="expression" priority="1017" stopIfTrue="1">
      <formula>AR27=""</formula>
    </cfRule>
    <cfRule type="expression" dxfId="8614" priority="1018" stopIfTrue="1">
      <formula>AR27=CléPersonnalisée2</formula>
    </cfRule>
    <cfRule type="expression" dxfId="8613" priority="1019" stopIfTrue="1">
      <formula>AR27=CléPersonnalisée1</formula>
    </cfRule>
    <cfRule type="expression" dxfId="8612" priority="1020" stopIfTrue="1">
      <formula>AR27=CléMaladie</formula>
    </cfRule>
    <cfRule type="expression" dxfId="8611" priority="1021" stopIfTrue="1">
      <formula>AR27=CléPersonnelle</formula>
    </cfRule>
    <cfRule type="expression" dxfId="8610" priority="1022" stopIfTrue="1">
      <formula>AR27=CléCongés</formula>
    </cfRule>
  </conditionalFormatting>
  <conditionalFormatting sqref="AQ27">
    <cfRule type="expression" priority="1011" stopIfTrue="1">
      <formula>AQ27=""</formula>
    </cfRule>
    <cfRule type="expression" dxfId="8609" priority="1012" stopIfTrue="1">
      <formula>AQ27=CléPersonnalisée2</formula>
    </cfRule>
    <cfRule type="expression" dxfId="8608" priority="1013" stopIfTrue="1">
      <formula>AQ27=CléPersonnalisée1</formula>
    </cfRule>
    <cfRule type="expression" dxfId="8607" priority="1014" stopIfTrue="1">
      <formula>AQ27=CléMaladie</formula>
    </cfRule>
    <cfRule type="expression" dxfId="8606" priority="1015" stopIfTrue="1">
      <formula>AQ27=CléPersonnelle</formula>
    </cfRule>
    <cfRule type="expression" dxfId="8605" priority="1016" stopIfTrue="1">
      <formula>AQ27=CléCongés</formula>
    </cfRule>
  </conditionalFormatting>
  <conditionalFormatting sqref="AR31">
    <cfRule type="expression" priority="1005" stopIfTrue="1">
      <formula>AR31=""</formula>
    </cfRule>
    <cfRule type="expression" dxfId="8604" priority="1006" stopIfTrue="1">
      <formula>AR31=CléPersonnalisée2</formula>
    </cfRule>
    <cfRule type="expression" dxfId="8603" priority="1007" stopIfTrue="1">
      <formula>AR31=CléPersonnalisée1</formula>
    </cfRule>
    <cfRule type="expression" dxfId="8602" priority="1008" stopIfTrue="1">
      <formula>AR31=CléMaladie</formula>
    </cfRule>
    <cfRule type="expression" dxfId="8601" priority="1009" stopIfTrue="1">
      <formula>AR31=CléPersonnelle</formula>
    </cfRule>
    <cfRule type="expression" dxfId="8600" priority="1010" stopIfTrue="1">
      <formula>AR31=CléCongés</formula>
    </cfRule>
  </conditionalFormatting>
  <conditionalFormatting sqref="AQ31">
    <cfRule type="expression" priority="999" stopIfTrue="1">
      <formula>AQ31=""</formula>
    </cfRule>
    <cfRule type="expression" dxfId="8599" priority="1000" stopIfTrue="1">
      <formula>AQ31=CléPersonnalisée2</formula>
    </cfRule>
    <cfRule type="expression" dxfId="8598" priority="1001" stopIfTrue="1">
      <formula>AQ31=CléPersonnalisée1</formula>
    </cfRule>
    <cfRule type="expression" dxfId="8597" priority="1002" stopIfTrue="1">
      <formula>AQ31=CléMaladie</formula>
    </cfRule>
    <cfRule type="expression" dxfId="8596" priority="1003" stopIfTrue="1">
      <formula>AQ31=CléPersonnelle</formula>
    </cfRule>
    <cfRule type="expression" dxfId="8595" priority="1004" stopIfTrue="1">
      <formula>AQ31=CléCongés</formula>
    </cfRule>
  </conditionalFormatting>
  <conditionalFormatting sqref="AR35">
    <cfRule type="expression" priority="993" stopIfTrue="1">
      <formula>AR35=""</formula>
    </cfRule>
    <cfRule type="expression" dxfId="8594" priority="994" stopIfTrue="1">
      <formula>AR35=CléPersonnalisée2</formula>
    </cfRule>
    <cfRule type="expression" dxfId="8593" priority="995" stopIfTrue="1">
      <formula>AR35=CléPersonnalisée1</formula>
    </cfRule>
    <cfRule type="expression" dxfId="8592" priority="996" stopIfTrue="1">
      <formula>AR35=CléMaladie</formula>
    </cfRule>
    <cfRule type="expression" dxfId="8591" priority="997" stopIfTrue="1">
      <formula>AR35=CléPersonnelle</formula>
    </cfRule>
    <cfRule type="expression" dxfId="8590" priority="998" stopIfTrue="1">
      <formula>AR35=CléCongés</formula>
    </cfRule>
  </conditionalFormatting>
  <conditionalFormatting sqref="AQ35">
    <cfRule type="expression" priority="987" stopIfTrue="1">
      <formula>AQ35=""</formula>
    </cfRule>
    <cfRule type="expression" dxfId="8589" priority="988" stopIfTrue="1">
      <formula>AQ35=CléPersonnalisée2</formula>
    </cfRule>
    <cfRule type="expression" dxfId="8588" priority="989" stopIfTrue="1">
      <formula>AQ35=CléPersonnalisée1</formula>
    </cfRule>
    <cfRule type="expression" dxfId="8587" priority="990" stopIfTrue="1">
      <formula>AQ35=CléMaladie</formula>
    </cfRule>
    <cfRule type="expression" dxfId="8586" priority="991" stopIfTrue="1">
      <formula>AQ35=CléPersonnelle</formula>
    </cfRule>
    <cfRule type="expression" dxfId="8585" priority="992" stopIfTrue="1">
      <formula>AQ35=CléCongés</formula>
    </cfRule>
  </conditionalFormatting>
  <conditionalFormatting sqref="AR39">
    <cfRule type="expression" priority="981" stopIfTrue="1">
      <formula>AR39=""</formula>
    </cfRule>
    <cfRule type="expression" dxfId="8584" priority="982" stopIfTrue="1">
      <formula>AR39=CléPersonnalisée2</formula>
    </cfRule>
    <cfRule type="expression" dxfId="8583" priority="983" stopIfTrue="1">
      <formula>AR39=CléPersonnalisée1</formula>
    </cfRule>
    <cfRule type="expression" dxfId="8582" priority="984" stopIfTrue="1">
      <formula>AR39=CléMaladie</formula>
    </cfRule>
    <cfRule type="expression" dxfId="8581" priority="985" stopIfTrue="1">
      <formula>AR39=CléPersonnelle</formula>
    </cfRule>
    <cfRule type="expression" dxfId="8580" priority="986" stopIfTrue="1">
      <formula>AR39=CléCongés</formula>
    </cfRule>
  </conditionalFormatting>
  <conditionalFormatting sqref="AQ39">
    <cfRule type="expression" priority="975" stopIfTrue="1">
      <formula>AQ39=""</formula>
    </cfRule>
    <cfRule type="expression" dxfId="8579" priority="976" stopIfTrue="1">
      <formula>AQ39=CléPersonnalisée2</formula>
    </cfRule>
    <cfRule type="expression" dxfId="8578" priority="977" stopIfTrue="1">
      <formula>AQ39=CléPersonnalisée1</formula>
    </cfRule>
    <cfRule type="expression" dxfId="8577" priority="978" stopIfTrue="1">
      <formula>AQ39=CléMaladie</formula>
    </cfRule>
    <cfRule type="expression" dxfId="8576" priority="979" stopIfTrue="1">
      <formula>AQ39=CléPersonnelle</formula>
    </cfRule>
    <cfRule type="expression" dxfId="8575" priority="980" stopIfTrue="1">
      <formula>AQ39=CléCongés</formula>
    </cfRule>
  </conditionalFormatting>
  <conditionalFormatting sqref="AR43">
    <cfRule type="expression" priority="969" stopIfTrue="1">
      <formula>AR43=""</formula>
    </cfRule>
    <cfRule type="expression" dxfId="8574" priority="970" stopIfTrue="1">
      <formula>AR43=CléPersonnalisée2</formula>
    </cfRule>
    <cfRule type="expression" dxfId="8573" priority="971" stopIfTrue="1">
      <formula>AR43=CléPersonnalisée1</formula>
    </cfRule>
    <cfRule type="expression" dxfId="8572" priority="972" stopIfTrue="1">
      <formula>AR43=CléMaladie</formula>
    </cfRule>
    <cfRule type="expression" dxfId="8571" priority="973" stopIfTrue="1">
      <formula>AR43=CléPersonnelle</formula>
    </cfRule>
    <cfRule type="expression" dxfId="8570" priority="974" stopIfTrue="1">
      <formula>AR43=CléCongés</formula>
    </cfRule>
  </conditionalFormatting>
  <conditionalFormatting sqref="AQ43">
    <cfRule type="expression" priority="963" stopIfTrue="1">
      <formula>AQ43=""</formula>
    </cfRule>
    <cfRule type="expression" dxfId="8569" priority="964" stopIfTrue="1">
      <formula>AQ43=CléPersonnalisée2</formula>
    </cfRule>
    <cfRule type="expression" dxfId="8568" priority="965" stopIfTrue="1">
      <formula>AQ43=CléPersonnalisée1</formula>
    </cfRule>
    <cfRule type="expression" dxfId="8567" priority="966" stopIfTrue="1">
      <formula>AQ43=CléMaladie</formula>
    </cfRule>
    <cfRule type="expression" dxfId="8566" priority="967" stopIfTrue="1">
      <formula>AQ43=CléPersonnelle</formula>
    </cfRule>
    <cfRule type="expression" dxfId="8565" priority="968" stopIfTrue="1">
      <formula>AQ43=CléCongés</formula>
    </cfRule>
  </conditionalFormatting>
  <conditionalFormatting sqref="AR47">
    <cfRule type="expression" priority="957" stopIfTrue="1">
      <formula>AR47=""</formula>
    </cfRule>
    <cfRule type="expression" dxfId="8564" priority="958" stopIfTrue="1">
      <formula>AR47=CléPersonnalisée2</formula>
    </cfRule>
    <cfRule type="expression" dxfId="8563" priority="959" stopIfTrue="1">
      <formula>AR47=CléPersonnalisée1</formula>
    </cfRule>
    <cfRule type="expression" dxfId="8562" priority="960" stopIfTrue="1">
      <formula>AR47=CléMaladie</formula>
    </cfRule>
    <cfRule type="expression" dxfId="8561" priority="961" stopIfTrue="1">
      <formula>AR47=CléPersonnelle</formula>
    </cfRule>
    <cfRule type="expression" dxfId="8560" priority="962" stopIfTrue="1">
      <formula>AR47=CléCongés</formula>
    </cfRule>
  </conditionalFormatting>
  <conditionalFormatting sqref="AQ47">
    <cfRule type="expression" priority="951" stopIfTrue="1">
      <formula>AQ47=""</formula>
    </cfRule>
    <cfRule type="expression" dxfId="8559" priority="952" stopIfTrue="1">
      <formula>AQ47=CléPersonnalisée2</formula>
    </cfRule>
    <cfRule type="expression" dxfId="8558" priority="953" stopIfTrue="1">
      <formula>AQ47=CléPersonnalisée1</formula>
    </cfRule>
    <cfRule type="expression" dxfId="8557" priority="954" stopIfTrue="1">
      <formula>AQ47=CléMaladie</formula>
    </cfRule>
    <cfRule type="expression" dxfId="8556" priority="955" stopIfTrue="1">
      <formula>AQ47=CléPersonnelle</formula>
    </cfRule>
    <cfRule type="expression" dxfId="8555" priority="956" stopIfTrue="1">
      <formula>AQ47=CléCongés</formula>
    </cfRule>
  </conditionalFormatting>
  <conditionalFormatting sqref="AR51">
    <cfRule type="expression" priority="945" stopIfTrue="1">
      <formula>AR51=""</formula>
    </cfRule>
    <cfRule type="expression" dxfId="8554" priority="946" stopIfTrue="1">
      <formula>AR51=CléPersonnalisée2</formula>
    </cfRule>
    <cfRule type="expression" dxfId="8553" priority="947" stopIfTrue="1">
      <formula>AR51=CléPersonnalisée1</formula>
    </cfRule>
    <cfRule type="expression" dxfId="8552" priority="948" stopIfTrue="1">
      <formula>AR51=CléMaladie</formula>
    </cfRule>
    <cfRule type="expression" dxfId="8551" priority="949" stopIfTrue="1">
      <formula>AR51=CléPersonnelle</formula>
    </cfRule>
    <cfRule type="expression" dxfId="8550" priority="950" stopIfTrue="1">
      <formula>AR51=CléCongés</formula>
    </cfRule>
  </conditionalFormatting>
  <conditionalFormatting sqref="AQ51">
    <cfRule type="expression" priority="939" stopIfTrue="1">
      <formula>AQ51=""</formula>
    </cfRule>
    <cfRule type="expression" dxfId="8549" priority="940" stopIfTrue="1">
      <formula>AQ51=CléPersonnalisée2</formula>
    </cfRule>
    <cfRule type="expression" dxfId="8548" priority="941" stopIfTrue="1">
      <formula>AQ51=CléPersonnalisée1</formula>
    </cfRule>
    <cfRule type="expression" dxfId="8547" priority="942" stopIfTrue="1">
      <formula>AQ51=CléMaladie</formula>
    </cfRule>
    <cfRule type="expression" dxfId="8546" priority="943" stopIfTrue="1">
      <formula>AQ51=CléPersonnelle</formula>
    </cfRule>
    <cfRule type="expression" dxfId="8545" priority="944" stopIfTrue="1">
      <formula>AQ51=CléCongés</formula>
    </cfRule>
  </conditionalFormatting>
  <conditionalFormatting sqref="AR55">
    <cfRule type="expression" priority="933" stopIfTrue="1">
      <formula>AR55=""</formula>
    </cfRule>
    <cfRule type="expression" dxfId="8544" priority="934" stopIfTrue="1">
      <formula>AR55=CléPersonnalisée2</formula>
    </cfRule>
    <cfRule type="expression" dxfId="8543" priority="935" stopIfTrue="1">
      <formula>AR55=CléPersonnalisée1</formula>
    </cfRule>
    <cfRule type="expression" dxfId="8542" priority="936" stopIfTrue="1">
      <formula>AR55=CléMaladie</formula>
    </cfRule>
    <cfRule type="expression" dxfId="8541" priority="937" stopIfTrue="1">
      <formula>AR55=CléPersonnelle</formula>
    </cfRule>
    <cfRule type="expression" dxfId="8540" priority="938" stopIfTrue="1">
      <formula>AR55=CléCongés</formula>
    </cfRule>
  </conditionalFormatting>
  <conditionalFormatting sqref="AQ55">
    <cfRule type="expression" priority="927" stopIfTrue="1">
      <formula>AQ55=""</formula>
    </cfRule>
    <cfRule type="expression" dxfId="8539" priority="928" stopIfTrue="1">
      <formula>AQ55=CléPersonnalisée2</formula>
    </cfRule>
    <cfRule type="expression" dxfId="8538" priority="929" stopIfTrue="1">
      <formula>AQ55=CléPersonnalisée1</formula>
    </cfRule>
    <cfRule type="expression" dxfId="8537" priority="930" stopIfTrue="1">
      <formula>AQ55=CléMaladie</formula>
    </cfRule>
    <cfRule type="expression" dxfId="8536" priority="931" stopIfTrue="1">
      <formula>AQ55=CléPersonnelle</formula>
    </cfRule>
    <cfRule type="expression" dxfId="8535" priority="932" stopIfTrue="1">
      <formula>AQ55=CléCongés</formula>
    </cfRule>
  </conditionalFormatting>
  <conditionalFormatting sqref="AR63">
    <cfRule type="expression" priority="921" stopIfTrue="1">
      <formula>AR63=""</formula>
    </cfRule>
    <cfRule type="expression" dxfId="8534" priority="922" stopIfTrue="1">
      <formula>AR63=CléPersonnalisée2</formula>
    </cfRule>
    <cfRule type="expression" dxfId="8533" priority="923" stopIfTrue="1">
      <formula>AR63=CléPersonnalisée1</formula>
    </cfRule>
    <cfRule type="expression" dxfId="8532" priority="924" stopIfTrue="1">
      <formula>AR63=CléMaladie</formula>
    </cfRule>
    <cfRule type="expression" dxfId="8531" priority="925" stopIfTrue="1">
      <formula>AR63=CléPersonnelle</formula>
    </cfRule>
    <cfRule type="expression" dxfId="8530" priority="926" stopIfTrue="1">
      <formula>AR63=CléCongés</formula>
    </cfRule>
  </conditionalFormatting>
  <conditionalFormatting sqref="AQ63">
    <cfRule type="expression" priority="915" stopIfTrue="1">
      <formula>AQ63=""</formula>
    </cfRule>
    <cfRule type="expression" dxfId="8529" priority="916" stopIfTrue="1">
      <formula>AQ63=CléPersonnalisée2</formula>
    </cfRule>
    <cfRule type="expression" dxfId="8528" priority="917" stopIfTrue="1">
      <formula>AQ63=CléPersonnalisée1</formula>
    </cfRule>
    <cfRule type="expression" dxfId="8527" priority="918" stopIfTrue="1">
      <formula>AQ63=CléMaladie</formula>
    </cfRule>
    <cfRule type="expression" dxfId="8526" priority="919" stopIfTrue="1">
      <formula>AQ63=CléPersonnelle</formula>
    </cfRule>
    <cfRule type="expression" dxfId="8525" priority="920" stopIfTrue="1">
      <formula>AQ63=CléCongés</formula>
    </cfRule>
  </conditionalFormatting>
  <conditionalFormatting sqref="AR67">
    <cfRule type="expression" priority="909" stopIfTrue="1">
      <formula>AR67=""</formula>
    </cfRule>
    <cfRule type="expression" dxfId="8524" priority="910" stopIfTrue="1">
      <formula>AR67=CléPersonnalisée2</formula>
    </cfRule>
    <cfRule type="expression" dxfId="8523" priority="911" stopIfTrue="1">
      <formula>AR67=CléPersonnalisée1</formula>
    </cfRule>
    <cfRule type="expression" dxfId="8522" priority="912" stopIfTrue="1">
      <formula>AR67=CléMaladie</formula>
    </cfRule>
    <cfRule type="expression" dxfId="8521" priority="913" stopIfTrue="1">
      <formula>AR67=CléPersonnelle</formula>
    </cfRule>
    <cfRule type="expression" dxfId="8520" priority="914" stopIfTrue="1">
      <formula>AR67=CléCongés</formula>
    </cfRule>
  </conditionalFormatting>
  <conditionalFormatting sqref="AQ67">
    <cfRule type="expression" priority="903" stopIfTrue="1">
      <formula>AQ67=""</formula>
    </cfRule>
    <cfRule type="expression" dxfId="8519" priority="904" stopIfTrue="1">
      <formula>AQ67=CléPersonnalisée2</formula>
    </cfRule>
    <cfRule type="expression" dxfId="8518" priority="905" stopIfTrue="1">
      <formula>AQ67=CléPersonnalisée1</formula>
    </cfRule>
    <cfRule type="expression" dxfId="8517" priority="906" stopIfTrue="1">
      <formula>AQ67=CléMaladie</formula>
    </cfRule>
    <cfRule type="expression" dxfId="8516" priority="907" stopIfTrue="1">
      <formula>AQ67=CléPersonnelle</formula>
    </cfRule>
    <cfRule type="expression" dxfId="8515" priority="908" stopIfTrue="1">
      <formula>AQ67=CléCongés</formula>
    </cfRule>
  </conditionalFormatting>
  <conditionalFormatting sqref="AR71">
    <cfRule type="expression" priority="897" stopIfTrue="1">
      <formula>AR71=""</formula>
    </cfRule>
    <cfRule type="expression" dxfId="8514" priority="898" stopIfTrue="1">
      <formula>AR71=CléPersonnalisée2</formula>
    </cfRule>
    <cfRule type="expression" dxfId="8513" priority="899" stopIfTrue="1">
      <formula>AR71=CléPersonnalisée1</formula>
    </cfRule>
    <cfRule type="expression" dxfId="8512" priority="900" stopIfTrue="1">
      <formula>AR71=CléMaladie</formula>
    </cfRule>
    <cfRule type="expression" dxfId="8511" priority="901" stopIfTrue="1">
      <formula>AR71=CléPersonnelle</formula>
    </cfRule>
    <cfRule type="expression" dxfId="8510" priority="902" stopIfTrue="1">
      <formula>AR71=CléCongés</formula>
    </cfRule>
  </conditionalFormatting>
  <conditionalFormatting sqref="C73:AG75">
    <cfRule type="expression" priority="884" stopIfTrue="1">
      <formula>C73=""</formula>
    </cfRule>
    <cfRule type="expression" dxfId="8509" priority="885" stopIfTrue="1">
      <formula>C73=CléPersonnalisée2</formula>
    </cfRule>
    <cfRule type="expression" dxfId="8508" priority="886" stopIfTrue="1">
      <formula>C73=CléPersonnalisée1</formula>
    </cfRule>
    <cfRule type="expression" dxfId="8507" priority="887" stopIfTrue="1">
      <formula>C73=CléMaladie</formula>
    </cfRule>
    <cfRule type="expression" dxfId="8506" priority="888" stopIfTrue="1">
      <formula>C73=CléPersonnelle</formula>
    </cfRule>
    <cfRule type="expression" dxfId="8505" priority="889" stopIfTrue="1">
      <formula>C73=CléCongés</formula>
    </cfRule>
  </conditionalFormatting>
  <conditionalFormatting sqref="AH75">
    <cfRule type="dataBar" priority="890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{891259B8-BBCB-407A-AB0A-78817E26B893}</x14:id>
        </ext>
      </extLst>
    </cfRule>
  </conditionalFormatting>
  <conditionalFormatting sqref="AI75:AL75 AJ73:AL74">
    <cfRule type="expression" priority="878" stopIfTrue="1">
      <formula>AI73=""</formula>
    </cfRule>
    <cfRule type="expression" dxfId="8504" priority="879" stopIfTrue="1">
      <formula>AI73=CléPersonnalisée2</formula>
    </cfRule>
    <cfRule type="expression" dxfId="8503" priority="880" stopIfTrue="1">
      <formula>AI73=CléPersonnalisée1</formula>
    </cfRule>
    <cfRule type="expression" dxfId="8502" priority="881" stopIfTrue="1">
      <formula>AI73=CléMaladie</formula>
    </cfRule>
    <cfRule type="expression" dxfId="8501" priority="882" stopIfTrue="1">
      <formula>AI73=CléPersonnelle</formula>
    </cfRule>
    <cfRule type="expression" dxfId="8500" priority="883" stopIfTrue="1">
      <formula>AI73=CléCongés</formula>
    </cfRule>
  </conditionalFormatting>
  <conditionalFormatting sqref="AM73:AP74">
    <cfRule type="expression" priority="872" stopIfTrue="1">
      <formula>AM73=""</formula>
    </cfRule>
    <cfRule type="expression" dxfId="8499" priority="873" stopIfTrue="1">
      <formula>AM73=CléPersonnalisée2</formula>
    </cfRule>
    <cfRule type="expression" dxfId="8498" priority="874" stopIfTrue="1">
      <formula>AM73=CléPersonnalisée1</formula>
    </cfRule>
    <cfRule type="expression" dxfId="8497" priority="875" stopIfTrue="1">
      <formula>AM73=CléMaladie</formula>
    </cfRule>
    <cfRule type="expression" dxfId="8496" priority="876" stopIfTrue="1">
      <formula>AM73=CléPersonnelle</formula>
    </cfRule>
    <cfRule type="expression" dxfId="8495" priority="877" stopIfTrue="1">
      <formula>AM73=CléCongés</formula>
    </cfRule>
  </conditionalFormatting>
  <conditionalFormatting sqref="AQ73:AR74">
    <cfRule type="expression" priority="866" stopIfTrue="1">
      <formula>AQ73=""</formula>
    </cfRule>
    <cfRule type="expression" dxfId="8494" priority="867" stopIfTrue="1">
      <formula>AQ73=CléPersonnalisée2</formula>
    </cfRule>
    <cfRule type="expression" dxfId="8493" priority="868" stopIfTrue="1">
      <formula>AQ73=CléPersonnalisée1</formula>
    </cfRule>
    <cfRule type="expression" dxfId="8492" priority="869" stopIfTrue="1">
      <formula>AQ73=CléMaladie</formula>
    </cfRule>
    <cfRule type="expression" dxfId="8491" priority="870" stopIfTrue="1">
      <formula>AQ73=CléPersonnelle</formula>
    </cfRule>
    <cfRule type="expression" dxfId="8490" priority="871" stopIfTrue="1">
      <formula>AQ73=CléCongés</formula>
    </cfRule>
  </conditionalFormatting>
  <conditionalFormatting sqref="AM75 AP75">
    <cfRule type="expression" priority="860" stopIfTrue="1">
      <formula>AM75=""</formula>
    </cfRule>
    <cfRule type="expression" dxfId="8489" priority="861" stopIfTrue="1">
      <formula>AM75=CléPersonnalisée2</formula>
    </cfRule>
    <cfRule type="expression" dxfId="8488" priority="862" stopIfTrue="1">
      <formula>AM75=CléPersonnalisée1</formula>
    </cfRule>
    <cfRule type="expression" dxfId="8487" priority="863" stopIfTrue="1">
      <formula>AM75=CléMaladie</formula>
    </cfRule>
    <cfRule type="expression" dxfId="8486" priority="864" stopIfTrue="1">
      <formula>AM75=CléPersonnelle</formula>
    </cfRule>
    <cfRule type="expression" dxfId="8485" priority="865" stopIfTrue="1">
      <formula>AM75=CléCongés</formula>
    </cfRule>
  </conditionalFormatting>
  <conditionalFormatting sqref="AH73:AH74">
    <cfRule type="dataBar" priority="859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{B23D7064-2E5B-4FEE-B36E-21D82232B56F}</x14:id>
        </ext>
      </extLst>
    </cfRule>
  </conditionalFormatting>
  <conditionalFormatting sqref="AI73:AI74">
    <cfRule type="expression" priority="853" stopIfTrue="1">
      <formula>AI73=""</formula>
    </cfRule>
    <cfRule type="expression" dxfId="8484" priority="854" stopIfTrue="1">
      <formula>AI73=CléPersonnalisée2</formula>
    </cfRule>
    <cfRule type="expression" dxfId="8483" priority="855" stopIfTrue="1">
      <formula>AI73=CléPersonnalisée1</formula>
    </cfRule>
    <cfRule type="expression" dxfId="8482" priority="856" stopIfTrue="1">
      <formula>AI73=CléMaladie</formula>
    </cfRule>
    <cfRule type="expression" dxfId="8481" priority="857" stopIfTrue="1">
      <formula>AI73=CléPersonnelle</formula>
    </cfRule>
    <cfRule type="expression" dxfId="8480" priority="858" stopIfTrue="1">
      <formula>AI73=CléCongés</formula>
    </cfRule>
  </conditionalFormatting>
  <conditionalFormatting sqref="AR75">
    <cfRule type="expression" priority="847" stopIfTrue="1">
      <formula>AR75=""</formula>
    </cfRule>
    <cfRule type="expression" dxfId="8479" priority="848" stopIfTrue="1">
      <formula>AR75=CléPersonnalisée2</formula>
    </cfRule>
    <cfRule type="expression" dxfId="8478" priority="849" stopIfTrue="1">
      <formula>AR75=CléPersonnalisée1</formula>
    </cfRule>
    <cfRule type="expression" dxfId="8477" priority="850" stopIfTrue="1">
      <formula>AR75=CléMaladie</formula>
    </cfRule>
    <cfRule type="expression" dxfId="8476" priority="851" stopIfTrue="1">
      <formula>AR75=CléPersonnelle</formula>
    </cfRule>
    <cfRule type="expression" dxfId="8475" priority="852" stopIfTrue="1">
      <formula>AR75=CléCongés</formula>
    </cfRule>
  </conditionalFormatting>
  <conditionalFormatting sqref="C81:AG83">
    <cfRule type="expression" priority="834" stopIfTrue="1">
      <formula>C81=""</formula>
    </cfRule>
    <cfRule type="expression" dxfId="8474" priority="835" stopIfTrue="1">
      <formula>C81=CléPersonnalisée2</formula>
    </cfRule>
    <cfRule type="expression" dxfId="8473" priority="836" stopIfTrue="1">
      <formula>C81=CléPersonnalisée1</formula>
    </cfRule>
    <cfRule type="expression" dxfId="8472" priority="837" stopIfTrue="1">
      <formula>C81=CléMaladie</formula>
    </cfRule>
    <cfRule type="expression" dxfId="8471" priority="838" stopIfTrue="1">
      <formula>C81=CléPersonnelle</formula>
    </cfRule>
    <cfRule type="expression" dxfId="8470" priority="839" stopIfTrue="1">
      <formula>C81=CléCongés</formula>
    </cfRule>
  </conditionalFormatting>
  <conditionalFormatting sqref="AH83">
    <cfRule type="dataBar" priority="840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{35B92B6B-4302-4372-92DF-93E7FAE1E2A7}</x14:id>
        </ext>
      </extLst>
    </cfRule>
  </conditionalFormatting>
  <conditionalFormatting sqref="AI83:AL83 AJ81:AL82">
    <cfRule type="expression" priority="828" stopIfTrue="1">
      <formula>AI81=""</formula>
    </cfRule>
    <cfRule type="expression" dxfId="8469" priority="829" stopIfTrue="1">
      <formula>AI81=CléPersonnalisée2</formula>
    </cfRule>
    <cfRule type="expression" dxfId="8468" priority="830" stopIfTrue="1">
      <formula>AI81=CléPersonnalisée1</formula>
    </cfRule>
    <cfRule type="expression" dxfId="8467" priority="831" stopIfTrue="1">
      <formula>AI81=CléMaladie</formula>
    </cfRule>
    <cfRule type="expression" dxfId="8466" priority="832" stopIfTrue="1">
      <formula>AI81=CléPersonnelle</formula>
    </cfRule>
    <cfRule type="expression" dxfId="8465" priority="833" stopIfTrue="1">
      <formula>AI81=CléCongés</formula>
    </cfRule>
  </conditionalFormatting>
  <conditionalFormatting sqref="AM81:AP82">
    <cfRule type="expression" priority="822" stopIfTrue="1">
      <formula>AM81=""</formula>
    </cfRule>
    <cfRule type="expression" dxfId="8464" priority="823" stopIfTrue="1">
      <formula>AM81=CléPersonnalisée2</formula>
    </cfRule>
    <cfRule type="expression" dxfId="8463" priority="824" stopIfTrue="1">
      <formula>AM81=CléPersonnalisée1</formula>
    </cfRule>
    <cfRule type="expression" dxfId="8462" priority="825" stopIfTrue="1">
      <formula>AM81=CléMaladie</formula>
    </cfRule>
    <cfRule type="expression" dxfId="8461" priority="826" stopIfTrue="1">
      <formula>AM81=CléPersonnelle</formula>
    </cfRule>
    <cfRule type="expression" dxfId="8460" priority="827" stopIfTrue="1">
      <formula>AM81=CléCongés</formula>
    </cfRule>
  </conditionalFormatting>
  <conditionalFormatting sqref="AQ81:AR82">
    <cfRule type="expression" priority="816" stopIfTrue="1">
      <formula>AQ81=""</formula>
    </cfRule>
    <cfRule type="expression" dxfId="8459" priority="817" stopIfTrue="1">
      <formula>AQ81=CléPersonnalisée2</formula>
    </cfRule>
    <cfRule type="expression" dxfId="8458" priority="818" stopIfTrue="1">
      <formula>AQ81=CléPersonnalisée1</formula>
    </cfRule>
    <cfRule type="expression" dxfId="8457" priority="819" stopIfTrue="1">
      <formula>AQ81=CléMaladie</formula>
    </cfRule>
    <cfRule type="expression" dxfId="8456" priority="820" stopIfTrue="1">
      <formula>AQ81=CléPersonnelle</formula>
    </cfRule>
    <cfRule type="expression" dxfId="8455" priority="821" stopIfTrue="1">
      <formula>AQ81=CléCongés</formula>
    </cfRule>
  </conditionalFormatting>
  <conditionalFormatting sqref="AM83 AP83">
    <cfRule type="expression" priority="810" stopIfTrue="1">
      <formula>AM83=""</formula>
    </cfRule>
    <cfRule type="expression" dxfId="8454" priority="811" stopIfTrue="1">
      <formula>AM83=CléPersonnalisée2</formula>
    </cfRule>
    <cfRule type="expression" dxfId="8453" priority="812" stopIfTrue="1">
      <formula>AM83=CléPersonnalisée1</formula>
    </cfRule>
    <cfRule type="expression" dxfId="8452" priority="813" stopIfTrue="1">
      <formula>AM83=CléMaladie</formula>
    </cfRule>
    <cfRule type="expression" dxfId="8451" priority="814" stopIfTrue="1">
      <formula>AM83=CléPersonnelle</formula>
    </cfRule>
    <cfRule type="expression" dxfId="8450" priority="815" stopIfTrue="1">
      <formula>AM83=CléCongés</formula>
    </cfRule>
  </conditionalFormatting>
  <conditionalFormatting sqref="AH81:AH82">
    <cfRule type="dataBar" priority="809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{E0C7D26F-DC85-491B-97A6-218692872F0E}</x14:id>
        </ext>
      </extLst>
    </cfRule>
  </conditionalFormatting>
  <conditionalFormatting sqref="AO83">
    <cfRule type="expression" priority="803" stopIfTrue="1">
      <formula>AO83=""</formula>
    </cfRule>
    <cfRule type="expression" dxfId="8449" priority="804" stopIfTrue="1">
      <formula>AO83=CléPersonnalisée2</formula>
    </cfRule>
    <cfRule type="expression" dxfId="8448" priority="805" stopIfTrue="1">
      <formula>AO83=CléPersonnalisée1</formula>
    </cfRule>
    <cfRule type="expression" dxfId="8447" priority="806" stopIfTrue="1">
      <formula>AO83=CléMaladie</formula>
    </cfRule>
    <cfRule type="expression" dxfId="8446" priority="807" stopIfTrue="1">
      <formula>AO83=CléPersonnelle</formula>
    </cfRule>
    <cfRule type="expression" dxfId="8445" priority="808" stopIfTrue="1">
      <formula>AO83=CléCongés</formula>
    </cfRule>
  </conditionalFormatting>
  <conditionalFormatting sqref="AI81:AI82">
    <cfRule type="expression" priority="797" stopIfTrue="1">
      <formula>AI81=""</formula>
    </cfRule>
    <cfRule type="expression" dxfId="8444" priority="798" stopIfTrue="1">
      <formula>AI81=CléPersonnalisée2</formula>
    </cfRule>
    <cfRule type="expression" dxfId="8443" priority="799" stopIfTrue="1">
      <formula>AI81=CléPersonnalisée1</formula>
    </cfRule>
    <cfRule type="expression" dxfId="8442" priority="800" stopIfTrue="1">
      <formula>AI81=CléMaladie</formula>
    </cfRule>
    <cfRule type="expression" dxfId="8441" priority="801" stopIfTrue="1">
      <formula>AI81=CléPersonnelle</formula>
    </cfRule>
    <cfRule type="expression" dxfId="8440" priority="802" stopIfTrue="1">
      <formula>AI81=CléCongés</formula>
    </cfRule>
  </conditionalFormatting>
  <conditionalFormatting sqref="AN83">
    <cfRule type="expression" priority="791" stopIfTrue="1">
      <formula>AN83=""</formula>
    </cfRule>
    <cfRule type="expression" dxfId="8439" priority="792" stopIfTrue="1">
      <formula>AN83=CléPersonnalisée2</formula>
    </cfRule>
    <cfRule type="expression" dxfId="8438" priority="793" stopIfTrue="1">
      <formula>AN83=CléPersonnalisée1</formula>
    </cfRule>
    <cfRule type="expression" dxfId="8437" priority="794" stopIfTrue="1">
      <formula>AN83=CléMaladie</formula>
    </cfRule>
    <cfRule type="expression" dxfId="8436" priority="795" stopIfTrue="1">
      <formula>AN83=CléPersonnelle</formula>
    </cfRule>
    <cfRule type="expression" dxfId="8435" priority="796" stopIfTrue="1">
      <formula>AN83=CléCongés</formula>
    </cfRule>
  </conditionalFormatting>
  <conditionalFormatting sqref="AR83">
    <cfRule type="expression" priority="785" stopIfTrue="1">
      <formula>AR83=""</formula>
    </cfRule>
    <cfRule type="expression" dxfId="8434" priority="786" stopIfTrue="1">
      <formula>AR83=CléPersonnalisée2</formula>
    </cfRule>
    <cfRule type="expression" dxfId="8433" priority="787" stopIfTrue="1">
      <formula>AR83=CléPersonnalisée1</formula>
    </cfRule>
    <cfRule type="expression" dxfId="8432" priority="788" stopIfTrue="1">
      <formula>AR83=CléMaladie</formula>
    </cfRule>
    <cfRule type="expression" dxfId="8431" priority="789" stopIfTrue="1">
      <formula>AR83=CléPersonnelle</formula>
    </cfRule>
    <cfRule type="expression" dxfId="8430" priority="790" stopIfTrue="1">
      <formula>AR83=CléCongés</formula>
    </cfRule>
  </conditionalFormatting>
  <conditionalFormatting sqref="AQ87">
    <cfRule type="expression" priority="717" stopIfTrue="1">
      <formula>AQ87=""</formula>
    </cfRule>
    <cfRule type="expression" dxfId="8429" priority="718" stopIfTrue="1">
      <formula>AQ87=CléPersonnalisée2</formula>
    </cfRule>
    <cfRule type="expression" dxfId="8428" priority="719" stopIfTrue="1">
      <formula>AQ87=CléPersonnalisée1</formula>
    </cfRule>
    <cfRule type="expression" dxfId="8427" priority="720" stopIfTrue="1">
      <formula>AQ87=CléMaladie</formula>
    </cfRule>
    <cfRule type="expression" dxfId="8426" priority="721" stopIfTrue="1">
      <formula>AQ87=CléPersonnelle</formula>
    </cfRule>
    <cfRule type="expression" dxfId="8425" priority="722" stopIfTrue="1">
      <formula>AQ87=CléCongés</formula>
    </cfRule>
  </conditionalFormatting>
  <conditionalFormatting sqref="C85:AG87">
    <cfRule type="expression" priority="772" stopIfTrue="1">
      <formula>C85=""</formula>
    </cfRule>
    <cfRule type="expression" dxfId="8424" priority="773" stopIfTrue="1">
      <formula>C85=CléPersonnalisée2</formula>
    </cfRule>
    <cfRule type="expression" dxfId="8423" priority="774" stopIfTrue="1">
      <formula>C85=CléPersonnalisée1</formula>
    </cfRule>
    <cfRule type="expression" dxfId="8422" priority="775" stopIfTrue="1">
      <formula>C85=CléMaladie</formula>
    </cfRule>
    <cfRule type="expression" dxfId="8421" priority="776" stopIfTrue="1">
      <formula>C85=CléPersonnelle</formula>
    </cfRule>
    <cfRule type="expression" dxfId="8420" priority="777" stopIfTrue="1">
      <formula>C85=CléCongés</formula>
    </cfRule>
  </conditionalFormatting>
  <conditionalFormatting sqref="AH87">
    <cfRule type="dataBar" priority="778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{B0262CA3-6F43-422A-8303-94208EB80757}</x14:id>
        </ext>
      </extLst>
    </cfRule>
  </conditionalFormatting>
  <conditionalFormatting sqref="AI87:AL87 AJ85:AL86">
    <cfRule type="expression" priority="766" stopIfTrue="1">
      <formula>AI85=""</formula>
    </cfRule>
    <cfRule type="expression" dxfId="8419" priority="767" stopIfTrue="1">
      <formula>AI85=CléPersonnalisée2</formula>
    </cfRule>
    <cfRule type="expression" dxfId="8418" priority="768" stopIfTrue="1">
      <formula>AI85=CléPersonnalisée1</formula>
    </cfRule>
    <cfRule type="expression" dxfId="8417" priority="769" stopIfTrue="1">
      <formula>AI85=CléMaladie</formula>
    </cfRule>
    <cfRule type="expression" dxfId="8416" priority="770" stopIfTrue="1">
      <formula>AI85=CléPersonnelle</formula>
    </cfRule>
    <cfRule type="expression" dxfId="8415" priority="771" stopIfTrue="1">
      <formula>AI85=CléCongés</formula>
    </cfRule>
  </conditionalFormatting>
  <conditionalFormatting sqref="AM85:AP86">
    <cfRule type="expression" priority="760" stopIfTrue="1">
      <formula>AM85=""</formula>
    </cfRule>
    <cfRule type="expression" dxfId="8414" priority="761" stopIfTrue="1">
      <formula>AM85=CléPersonnalisée2</formula>
    </cfRule>
    <cfRule type="expression" dxfId="8413" priority="762" stopIfTrue="1">
      <formula>AM85=CléPersonnalisée1</formula>
    </cfRule>
    <cfRule type="expression" dxfId="8412" priority="763" stopIfTrue="1">
      <formula>AM85=CléMaladie</formula>
    </cfRule>
    <cfRule type="expression" dxfId="8411" priority="764" stopIfTrue="1">
      <formula>AM85=CléPersonnelle</formula>
    </cfRule>
    <cfRule type="expression" dxfId="8410" priority="765" stopIfTrue="1">
      <formula>AM85=CléCongés</formula>
    </cfRule>
  </conditionalFormatting>
  <conditionalFormatting sqref="AQ85:AR86">
    <cfRule type="expression" priority="754" stopIfTrue="1">
      <formula>AQ85=""</formula>
    </cfRule>
    <cfRule type="expression" dxfId="8409" priority="755" stopIfTrue="1">
      <formula>AQ85=CléPersonnalisée2</formula>
    </cfRule>
    <cfRule type="expression" dxfId="8408" priority="756" stopIfTrue="1">
      <formula>AQ85=CléPersonnalisée1</formula>
    </cfRule>
    <cfRule type="expression" dxfId="8407" priority="757" stopIfTrue="1">
      <formula>AQ85=CléMaladie</formula>
    </cfRule>
    <cfRule type="expression" dxfId="8406" priority="758" stopIfTrue="1">
      <formula>AQ85=CléPersonnelle</formula>
    </cfRule>
    <cfRule type="expression" dxfId="8405" priority="759" stopIfTrue="1">
      <formula>AQ85=CléCongés</formula>
    </cfRule>
  </conditionalFormatting>
  <conditionalFormatting sqref="AM87 AP87">
    <cfRule type="expression" priority="748" stopIfTrue="1">
      <formula>AM87=""</formula>
    </cfRule>
    <cfRule type="expression" dxfId="8404" priority="749" stopIfTrue="1">
      <formula>AM87=CléPersonnalisée2</formula>
    </cfRule>
    <cfRule type="expression" dxfId="8403" priority="750" stopIfTrue="1">
      <formula>AM87=CléPersonnalisée1</formula>
    </cfRule>
    <cfRule type="expression" dxfId="8402" priority="751" stopIfTrue="1">
      <formula>AM87=CléMaladie</formula>
    </cfRule>
    <cfRule type="expression" dxfId="8401" priority="752" stopIfTrue="1">
      <formula>AM87=CléPersonnelle</formula>
    </cfRule>
    <cfRule type="expression" dxfId="8400" priority="753" stopIfTrue="1">
      <formula>AM87=CléCongés</formula>
    </cfRule>
  </conditionalFormatting>
  <conditionalFormatting sqref="AH85:AH86">
    <cfRule type="dataBar" priority="747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{41C1EFC7-39C0-45CE-B5A7-26B6F6626BDF}</x14:id>
        </ext>
      </extLst>
    </cfRule>
  </conditionalFormatting>
  <conditionalFormatting sqref="AO87">
    <cfRule type="expression" priority="741" stopIfTrue="1">
      <formula>AO87=""</formula>
    </cfRule>
    <cfRule type="expression" dxfId="8399" priority="742" stopIfTrue="1">
      <formula>AO87=CléPersonnalisée2</formula>
    </cfRule>
    <cfRule type="expression" dxfId="8398" priority="743" stopIfTrue="1">
      <formula>AO87=CléPersonnalisée1</formula>
    </cfRule>
    <cfRule type="expression" dxfId="8397" priority="744" stopIfTrue="1">
      <formula>AO87=CléMaladie</formula>
    </cfRule>
    <cfRule type="expression" dxfId="8396" priority="745" stopIfTrue="1">
      <formula>AO87=CléPersonnelle</formula>
    </cfRule>
    <cfRule type="expression" dxfId="8395" priority="746" stopIfTrue="1">
      <formula>AO87=CléCongés</formula>
    </cfRule>
  </conditionalFormatting>
  <conditionalFormatting sqref="AI85:AI86">
    <cfRule type="expression" priority="735" stopIfTrue="1">
      <formula>AI85=""</formula>
    </cfRule>
    <cfRule type="expression" dxfId="8394" priority="736" stopIfTrue="1">
      <formula>AI85=CléPersonnalisée2</formula>
    </cfRule>
    <cfRule type="expression" dxfId="8393" priority="737" stopIfTrue="1">
      <formula>AI85=CléPersonnalisée1</formula>
    </cfRule>
    <cfRule type="expression" dxfId="8392" priority="738" stopIfTrue="1">
      <formula>AI85=CléMaladie</formula>
    </cfRule>
    <cfRule type="expression" dxfId="8391" priority="739" stopIfTrue="1">
      <formula>AI85=CléPersonnelle</formula>
    </cfRule>
    <cfRule type="expression" dxfId="8390" priority="740" stopIfTrue="1">
      <formula>AI85=CléCongés</formula>
    </cfRule>
  </conditionalFormatting>
  <conditionalFormatting sqref="AN87">
    <cfRule type="expression" priority="729" stopIfTrue="1">
      <formula>AN87=""</formula>
    </cfRule>
    <cfRule type="expression" dxfId="8389" priority="730" stopIfTrue="1">
      <formula>AN87=CléPersonnalisée2</formula>
    </cfRule>
    <cfRule type="expression" dxfId="8388" priority="731" stopIfTrue="1">
      <formula>AN87=CléPersonnalisée1</formula>
    </cfRule>
    <cfRule type="expression" dxfId="8387" priority="732" stopIfTrue="1">
      <formula>AN87=CléMaladie</formula>
    </cfRule>
    <cfRule type="expression" dxfId="8386" priority="733" stopIfTrue="1">
      <formula>AN87=CléPersonnelle</formula>
    </cfRule>
    <cfRule type="expression" dxfId="8385" priority="734" stopIfTrue="1">
      <formula>AN87=CléCongés</formula>
    </cfRule>
  </conditionalFormatting>
  <conditionalFormatting sqref="AR87">
    <cfRule type="expression" priority="723" stopIfTrue="1">
      <formula>AR87=""</formula>
    </cfRule>
    <cfRule type="expression" dxfId="8384" priority="724" stopIfTrue="1">
      <formula>AR87=CléPersonnalisée2</formula>
    </cfRule>
    <cfRule type="expression" dxfId="8383" priority="725" stopIfTrue="1">
      <formula>AR87=CléPersonnalisée1</formula>
    </cfRule>
    <cfRule type="expression" dxfId="8382" priority="726" stopIfTrue="1">
      <formula>AR87=CléMaladie</formula>
    </cfRule>
    <cfRule type="expression" dxfId="8381" priority="727" stopIfTrue="1">
      <formula>AR87=CléPersonnelle</formula>
    </cfRule>
    <cfRule type="expression" dxfId="8380" priority="728" stopIfTrue="1">
      <formula>AR87=CléCongés</formula>
    </cfRule>
  </conditionalFormatting>
  <conditionalFormatting sqref="C89:AG91">
    <cfRule type="expression" priority="710" stopIfTrue="1">
      <formula>C89=""</formula>
    </cfRule>
    <cfRule type="expression" dxfId="8379" priority="711" stopIfTrue="1">
      <formula>C89=CléPersonnalisée2</formula>
    </cfRule>
    <cfRule type="expression" dxfId="8378" priority="712" stopIfTrue="1">
      <formula>C89=CléPersonnalisée1</formula>
    </cfRule>
    <cfRule type="expression" dxfId="8377" priority="713" stopIfTrue="1">
      <formula>C89=CléMaladie</formula>
    </cfRule>
    <cfRule type="expression" dxfId="8376" priority="714" stopIfTrue="1">
      <formula>C89=CléPersonnelle</formula>
    </cfRule>
    <cfRule type="expression" dxfId="8375" priority="715" stopIfTrue="1">
      <formula>C89=CléCongés</formula>
    </cfRule>
  </conditionalFormatting>
  <conditionalFormatting sqref="AH91">
    <cfRule type="dataBar" priority="716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{4C856F34-9629-4F15-8F1C-57F1A9F7B4C4}</x14:id>
        </ext>
      </extLst>
    </cfRule>
  </conditionalFormatting>
  <conditionalFormatting sqref="AI91:AL91 AJ89:AL90">
    <cfRule type="expression" priority="704" stopIfTrue="1">
      <formula>AI89=""</formula>
    </cfRule>
    <cfRule type="expression" dxfId="8374" priority="705" stopIfTrue="1">
      <formula>AI89=CléPersonnalisée2</formula>
    </cfRule>
    <cfRule type="expression" dxfId="8373" priority="706" stopIfTrue="1">
      <formula>AI89=CléPersonnalisée1</formula>
    </cfRule>
    <cfRule type="expression" dxfId="8372" priority="707" stopIfTrue="1">
      <formula>AI89=CléMaladie</formula>
    </cfRule>
    <cfRule type="expression" dxfId="8371" priority="708" stopIfTrue="1">
      <formula>AI89=CléPersonnelle</formula>
    </cfRule>
    <cfRule type="expression" dxfId="8370" priority="709" stopIfTrue="1">
      <formula>AI89=CléCongés</formula>
    </cfRule>
  </conditionalFormatting>
  <conditionalFormatting sqref="AM89:AP90">
    <cfRule type="expression" priority="698" stopIfTrue="1">
      <formula>AM89=""</formula>
    </cfRule>
    <cfRule type="expression" dxfId="8369" priority="699" stopIfTrue="1">
      <formula>AM89=CléPersonnalisée2</formula>
    </cfRule>
    <cfRule type="expression" dxfId="8368" priority="700" stopIfTrue="1">
      <formula>AM89=CléPersonnalisée1</formula>
    </cfRule>
    <cfRule type="expression" dxfId="8367" priority="701" stopIfTrue="1">
      <formula>AM89=CléMaladie</formula>
    </cfRule>
    <cfRule type="expression" dxfId="8366" priority="702" stopIfTrue="1">
      <formula>AM89=CléPersonnelle</formula>
    </cfRule>
    <cfRule type="expression" dxfId="8365" priority="703" stopIfTrue="1">
      <formula>AM89=CléCongés</formula>
    </cfRule>
  </conditionalFormatting>
  <conditionalFormatting sqref="AQ89:AR90">
    <cfRule type="expression" priority="692" stopIfTrue="1">
      <formula>AQ89=""</formula>
    </cfRule>
    <cfRule type="expression" dxfId="8364" priority="693" stopIfTrue="1">
      <formula>AQ89=CléPersonnalisée2</formula>
    </cfRule>
    <cfRule type="expression" dxfId="8363" priority="694" stopIfTrue="1">
      <formula>AQ89=CléPersonnalisée1</formula>
    </cfRule>
    <cfRule type="expression" dxfId="8362" priority="695" stopIfTrue="1">
      <formula>AQ89=CléMaladie</formula>
    </cfRule>
    <cfRule type="expression" dxfId="8361" priority="696" stopIfTrue="1">
      <formula>AQ89=CléPersonnelle</formula>
    </cfRule>
    <cfRule type="expression" dxfId="8360" priority="697" stopIfTrue="1">
      <formula>AQ89=CléCongés</formula>
    </cfRule>
  </conditionalFormatting>
  <conditionalFormatting sqref="AM91 AP91">
    <cfRule type="expression" priority="686" stopIfTrue="1">
      <formula>AM91=""</formula>
    </cfRule>
    <cfRule type="expression" dxfId="8359" priority="687" stopIfTrue="1">
      <formula>AM91=CléPersonnalisée2</formula>
    </cfRule>
    <cfRule type="expression" dxfId="8358" priority="688" stopIfTrue="1">
      <formula>AM91=CléPersonnalisée1</formula>
    </cfRule>
    <cfRule type="expression" dxfId="8357" priority="689" stopIfTrue="1">
      <formula>AM91=CléMaladie</formula>
    </cfRule>
    <cfRule type="expression" dxfId="8356" priority="690" stopIfTrue="1">
      <formula>AM91=CléPersonnelle</formula>
    </cfRule>
    <cfRule type="expression" dxfId="8355" priority="691" stopIfTrue="1">
      <formula>AM91=CléCongés</formula>
    </cfRule>
  </conditionalFormatting>
  <conditionalFormatting sqref="AH89:AH90">
    <cfRule type="dataBar" priority="685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{32D179C4-FD6D-4167-83ED-A7F5E97E6CE7}</x14:id>
        </ext>
      </extLst>
    </cfRule>
  </conditionalFormatting>
  <conditionalFormatting sqref="AO91">
    <cfRule type="expression" priority="679" stopIfTrue="1">
      <formula>AO91=""</formula>
    </cfRule>
    <cfRule type="expression" dxfId="8354" priority="680" stopIfTrue="1">
      <formula>AO91=CléPersonnalisée2</formula>
    </cfRule>
    <cfRule type="expression" dxfId="8353" priority="681" stopIfTrue="1">
      <formula>AO91=CléPersonnalisée1</formula>
    </cfRule>
    <cfRule type="expression" dxfId="8352" priority="682" stopIfTrue="1">
      <formula>AO91=CléMaladie</formula>
    </cfRule>
    <cfRule type="expression" dxfId="8351" priority="683" stopIfTrue="1">
      <formula>AO91=CléPersonnelle</formula>
    </cfRule>
    <cfRule type="expression" dxfId="8350" priority="684" stopIfTrue="1">
      <formula>AO91=CléCongés</formula>
    </cfRule>
  </conditionalFormatting>
  <conditionalFormatting sqref="AI89:AI90">
    <cfRule type="expression" priority="673" stopIfTrue="1">
      <formula>AI89=""</formula>
    </cfRule>
    <cfRule type="expression" dxfId="8349" priority="674" stopIfTrue="1">
      <formula>AI89=CléPersonnalisée2</formula>
    </cfRule>
    <cfRule type="expression" dxfId="8348" priority="675" stopIfTrue="1">
      <formula>AI89=CléPersonnalisée1</formula>
    </cfRule>
    <cfRule type="expression" dxfId="8347" priority="676" stopIfTrue="1">
      <formula>AI89=CléMaladie</formula>
    </cfRule>
    <cfRule type="expression" dxfId="8346" priority="677" stopIfTrue="1">
      <formula>AI89=CléPersonnelle</formula>
    </cfRule>
    <cfRule type="expression" dxfId="8345" priority="678" stopIfTrue="1">
      <formula>AI89=CléCongés</formula>
    </cfRule>
  </conditionalFormatting>
  <conditionalFormatting sqref="AN91">
    <cfRule type="expression" priority="667" stopIfTrue="1">
      <formula>AN91=""</formula>
    </cfRule>
    <cfRule type="expression" dxfId="8344" priority="668" stopIfTrue="1">
      <formula>AN91=CléPersonnalisée2</formula>
    </cfRule>
    <cfRule type="expression" dxfId="8343" priority="669" stopIfTrue="1">
      <formula>AN91=CléPersonnalisée1</formula>
    </cfRule>
    <cfRule type="expression" dxfId="8342" priority="670" stopIfTrue="1">
      <formula>AN91=CléMaladie</formula>
    </cfRule>
    <cfRule type="expression" dxfId="8341" priority="671" stopIfTrue="1">
      <formula>AN91=CléPersonnelle</formula>
    </cfRule>
    <cfRule type="expression" dxfId="8340" priority="672" stopIfTrue="1">
      <formula>AN91=CléCongés</formula>
    </cfRule>
  </conditionalFormatting>
  <conditionalFormatting sqref="AR91">
    <cfRule type="expression" priority="661" stopIfTrue="1">
      <formula>AR91=""</formula>
    </cfRule>
    <cfRule type="expression" dxfId="8339" priority="662" stopIfTrue="1">
      <formula>AR91=CléPersonnalisée2</formula>
    </cfRule>
    <cfRule type="expression" dxfId="8338" priority="663" stopIfTrue="1">
      <formula>AR91=CléPersonnalisée1</formula>
    </cfRule>
    <cfRule type="expression" dxfId="8337" priority="664" stopIfTrue="1">
      <formula>AR91=CléMaladie</formula>
    </cfRule>
    <cfRule type="expression" dxfId="8336" priority="665" stopIfTrue="1">
      <formula>AR91=CléPersonnelle</formula>
    </cfRule>
    <cfRule type="expression" dxfId="8335" priority="666" stopIfTrue="1">
      <formula>AR91=CléCongés</formula>
    </cfRule>
  </conditionalFormatting>
  <conditionalFormatting sqref="AO75">
    <cfRule type="expression" priority="649" stopIfTrue="1">
      <formula>AO75=""</formula>
    </cfRule>
    <cfRule type="expression" dxfId="8334" priority="650" stopIfTrue="1">
      <formula>AO75=CléPersonnalisée2</formula>
    </cfRule>
    <cfRule type="expression" dxfId="8333" priority="651" stopIfTrue="1">
      <formula>AO75=CléPersonnalisée1</formula>
    </cfRule>
    <cfRule type="expression" dxfId="8332" priority="652" stopIfTrue="1">
      <formula>AO75=CléMaladie</formula>
    </cfRule>
    <cfRule type="expression" dxfId="8331" priority="653" stopIfTrue="1">
      <formula>AO75=CléPersonnelle</formula>
    </cfRule>
    <cfRule type="expression" dxfId="8330" priority="654" stopIfTrue="1">
      <formula>AO75=CléCongés</formula>
    </cfRule>
  </conditionalFormatting>
  <conditionalFormatting sqref="AN75">
    <cfRule type="expression" priority="643" stopIfTrue="1">
      <formula>AN75=""</formula>
    </cfRule>
    <cfRule type="expression" dxfId="8329" priority="644" stopIfTrue="1">
      <formula>AN75=CléPersonnalisée2</formula>
    </cfRule>
    <cfRule type="expression" dxfId="8328" priority="645" stopIfTrue="1">
      <formula>AN75=CléPersonnalisée1</formula>
    </cfRule>
    <cfRule type="expression" dxfId="8327" priority="646" stopIfTrue="1">
      <formula>AN75=CléMaladie</formula>
    </cfRule>
    <cfRule type="expression" dxfId="8326" priority="647" stopIfTrue="1">
      <formula>AN75=CléPersonnelle</formula>
    </cfRule>
    <cfRule type="expression" dxfId="8325" priority="648" stopIfTrue="1">
      <formula>AN75=CléCongés</formula>
    </cfRule>
  </conditionalFormatting>
  <conditionalFormatting sqref="AQ124:AR124">
    <cfRule type="expression" priority="637" stopIfTrue="1">
      <formula>AQ124=""</formula>
    </cfRule>
    <cfRule type="expression" dxfId="8324" priority="638" stopIfTrue="1">
      <formula>AQ124=CléPersonnalisée2</formula>
    </cfRule>
    <cfRule type="expression" dxfId="8323" priority="639" stopIfTrue="1">
      <formula>AQ124=CléPersonnalisée1</formula>
    </cfRule>
    <cfRule type="expression" dxfId="8322" priority="640" stopIfTrue="1">
      <formula>AQ124=CléMaladie</formula>
    </cfRule>
    <cfRule type="expression" dxfId="8321" priority="641" stopIfTrue="1">
      <formula>AQ124=CléPersonnelle</formula>
    </cfRule>
    <cfRule type="expression" dxfId="8320" priority="642" stopIfTrue="1">
      <formula>AQ124=CléCongés</formula>
    </cfRule>
  </conditionalFormatting>
  <conditionalFormatting sqref="AQ123">
    <cfRule type="expression" priority="451" stopIfTrue="1">
      <formula>AQ123=""</formula>
    </cfRule>
    <cfRule type="expression" dxfId="8319" priority="452" stopIfTrue="1">
      <formula>AQ123=CléPersonnalisée2</formula>
    </cfRule>
    <cfRule type="expression" dxfId="8318" priority="453" stopIfTrue="1">
      <formula>AQ123=CléPersonnalisée1</formula>
    </cfRule>
    <cfRule type="expression" dxfId="8317" priority="454" stopIfTrue="1">
      <formula>AQ123=CléMaladie</formula>
    </cfRule>
    <cfRule type="expression" dxfId="8316" priority="455" stopIfTrue="1">
      <formula>AQ123=CléPersonnelle</formula>
    </cfRule>
    <cfRule type="expression" dxfId="8315" priority="456" stopIfTrue="1">
      <formula>AQ123=CléCongés</formula>
    </cfRule>
  </conditionalFormatting>
  <conditionalFormatting sqref="AQ104:AR104 AQ112:AR112 AQ116:AR116">
    <cfRule type="expression" priority="631" stopIfTrue="1">
      <formula>AQ104=""</formula>
    </cfRule>
    <cfRule type="expression" dxfId="8314" priority="632" stopIfTrue="1">
      <formula>AQ104=CléPersonnalisée2</formula>
    </cfRule>
    <cfRule type="expression" dxfId="8313" priority="633" stopIfTrue="1">
      <formula>AQ104=CléPersonnalisée1</formula>
    </cfRule>
    <cfRule type="expression" dxfId="8312" priority="634" stopIfTrue="1">
      <formula>AQ104=CléMaladie</formula>
    </cfRule>
    <cfRule type="expression" dxfId="8311" priority="635" stopIfTrue="1">
      <formula>AQ104=CléPersonnelle</formula>
    </cfRule>
    <cfRule type="expression" dxfId="8310" priority="636" stopIfTrue="1">
      <formula>AQ104=CléCongés</formula>
    </cfRule>
  </conditionalFormatting>
  <conditionalFormatting sqref="AQ95 AQ103 AQ99">
    <cfRule type="expression" priority="569" stopIfTrue="1">
      <formula>AQ95=""</formula>
    </cfRule>
    <cfRule type="expression" dxfId="8309" priority="570" stopIfTrue="1">
      <formula>AQ95=CléPersonnalisée2</formula>
    </cfRule>
    <cfRule type="expression" dxfId="8308" priority="571" stopIfTrue="1">
      <formula>AQ95=CléPersonnalisée1</formula>
    </cfRule>
    <cfRule type="expression" dxfId="8307" priority="572" stopIfTrue="1">
      <formula>AQ95=CléMaladie</formula>
    </cfRule>
    <cfRule type="expression" dxfId="8306" priority="573" stopIfTrue="1">
      <formula>AQ95=CléPersonnelle</formula>
    </cfRule>
    <cfRule type="expression" dxfId="8305" priority="574" stopIfTrue="1">
      <formula>AQ95=CléCongés</formula>
    </cfRule>
  </conditionalFormatting>
  <conditionalFormatting sqref="C93:AG95 C101:AG103 C97:AG99">
    <cfRule type="expression" priority="624" stopIfTrue="1">
      <formula>C93=""</formula>
    </cfRule>
    <cfRule type="expression" dxfId="8304" priority="625" stopIfTrue="1">
      <formula>C93=CléPersonnalisée2</formula>
    </cfRule>
    <cfRule type="expression" dxfId="8303" priority="626" stopIfTrue="1">
      <formula>C93=CléPersonnalisée1</formula>
    </cfRule>
    <cfRule type="expression" dxfId="8302" priority="627" stopIfTrue="1">
      <formula>C93=CléMaladie</formula>
    </cfRule>
    <cfRule type="expression" dxfId="8301" priority="628" stopIfTrue="1">
      <formula>C93=CléPersonnelle</formula>
    </cfRule>
    <cfRule type="expression" dxfId="8300" priority="629" stopIfTrue="1">
      <formula>C93=CléCongés</formula>
    </cfRule>
  </conditionalFormatting>
  <conditionalFormatting sqref="AH101:AH103 AH95 AH97:AH99">
    <cfRule type="dataBar" priority="630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{BFC9EAD0-E5C5-4B6B-9B7B-D138E72D2A49}</x14:id>
        </ext>
      </extLst>
    </cfRule>
  </conditionalFormatting>
  <conditionalFormatting sqref="AI95:AL95 AJ93:AL94 AI101:AL103 AI97:AL99">
    <cfRule type="expression" priority="618" stopIfTrue="1">
      <formula>AI93=""</formula>
    </cfRule>
    <cfRule type="expression" dxfId="8299" priority="619" stopIfTrue="1">
      <formula>AI93=CléPersonnalisée2</formula>
    </cfRule>
    <cfRule type="expression" dxfId="8298" priority="620" stopIfTrue="1">
      <formula>AI93=CléPersonnalisée1</formula>
    </cfRule>
    <cfRule type="expression" dxfId="8297" priority="621" stopIfTrue="1">
      <formula>AI93=CléMaladie</formula>
    </cfRule>
    <cfRule type="expression" dxfId="8296" priority="622" stopIfTrue="1">
      <formula>AI93=CléPersonnelle</formula>
    </cfRule>
    <cfRule type="expression" dxfId="8295" priority="623" stopIfTrue="1">
      <formula>AI93=CléCongés</formula>
    </cfRule>
  </conditionalFormatting>
  <conditionalFormatting sqref="AM93:AP94">
    <cfRule type="expression" priority="612" stopIfTrue="1">
      <formula>AM93=""</formula>
    </cfRule>
    <cfRule type="expression" dxfId="8294" priority="613" stopIfTrue="1">
      <formula>AM93=CléPersonnalisée2</formula>
    </cfRule>
    <cfRule type="expression" dxfId="8293" priority="614" stopIfTrue="1">
      <formula>AM93=CléPersonnalisée1</formula>
    </cfRule>
    <cfRule type="expression" dxfId="8292" priority="615" stopIfTrue="1">
      <formula>AM93=CléMaladie</formula>
    </cfRule>
    <cfRule type="expression" dxfId="8291" priority="616" stopIfTrue="1">
      <formula>AM93=CléPersonnelle</formula>
    </cfRule>
    <cfRule type="expression" dxfId="8290" priority="617" stopIfTrue="1">
      <formula>AM93=CléCongés</formula>
    </cfRule>
  </conditionalFormatting>
  <conditionalFormatting sqref="AQ93:AR94">
    <cfRule type="expression" priority="606" stopIfTrue="1">
      <formula>AQ93=""</formula>
    </cfRule>
    <cfRule type="expression" dxfId="8289" priority="607" stopIfTrue="1">
      <formula>AQ93=CléPersonnalisée2</formula>
    </cfRule>
    <cfRule type="expression" dxfId="8288" priority="608" stopIfTrue="1">
      <formula>AQ93=CléPersonnalisée1</formula>
    </cfRule>
    <cfRule type="expression" dxfId="8287" priority="609" stopIfTrue="1">
      <formula>AQ93=CléMaladie</formula>
    </cfRule>
    <cfRule type="expression" dxfId="8286" priority="610" stopIfTrue="1">
      <formula>AQ93=CléPersonnelle</formula>
    </cfRule>
    <cfRule type="expression" dxfId="8285" priority="611" stopIfTrue="1">
      <formula>AQ93=CléCongés</formula>
    </cfRule>
  </conditionalFormatting>
  <conditionalFormatting sqref="AP95 AP103 AM103 AP99 AM99">
    <cfRule type="expression" priority="600" stopIfTrue="1">
      <formula>AM95=""</formula>
    </cfRule>
    <cfRule type="expression" dxfId="8284" priority="601" stopIfTrue="1">
      <formula>AM95=CléPersonnalisée2</formula>
    </cfRule>
    <cfRule type="expression" dxfId="8283" priority="602" stopIfTrue="1">
      <formula>AM95=CléPersonnalisée1</formula>
    </cfRule>
    <cfRule type="expression" dxfId="8282" priority="603" stopIfTrue="1">
      <formula>AM95=CléMaladie</formula>
    </cfRule>
    <cfRule type="expression" dxfId="8281" priority="604" stopIfTrue="1">
      <formula>AM95=CléPersonnelle</formula>
    </cfRule>
    <cfRule type="expression" dxfId="8280" priority="605" stopIfTrue="1">
      <formula>AM95=CléCongés</formula>
    </cfRule>
  </conditionalFormatting>
  <conditionalFormatting sqref="AH93:AH94">
    <cfRule type="dataBar" priority="599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{E13962E4-85EF-46D1-80B4-5F8E0E21EED0}</x14:id>
        </ext>
      </extLst>
    </cfRule>
  </conditionalFormatting>
  <conditionalFormatting sqref="AO95 AO103 AO99">
    <cfRule type="expression" priority="593" stopIfTrue="1">
      <formula>AO95=""</formula>
    </cfRule>
    <cfRule type="expression" dxfId="8279" priority="594" stopIfTrue="1">
      <formula>AO95=CléPersonnalisée2</formula>
    </cfRule>
    <cfRule type="expression" dxfId="8278" priority="595" stopIfTrue="1">
      <formula>AO95=CléPersonnalisée1</formula>
    </cfRule>
    <cfRule type="expression" dxfId="8277" priority="596" stopIfTrue="1">
      <formula>AO95=CléMaladie</formula>
    </cfRule>
    <cfRule type="expression" dxfId="8276" priority="597" stopIfTrue="1">
      <formula>AO95=CléPersonnelle</formula>
    </cfRule>
    <cfRule type="expression" dxfId="8275" priority="598" stopIfTrue="1">
      <formula>AO95=CléCongés</formula>
    </cfRule>
  </conditionalFormatting>
  <conditionalFormatting sqref="AI93:AI94">
    <cfRule type="expression" priority="587" stopIfTrue="1">
      <formula>AI93=""</formula>
    </cfRule>
    <cfRule type="expression" dxfId="8274" priority="588" stopIfTrue="1">
      <formula>AI93=CléPersonnalisée2</formula>
    </cfRule>
    <cfRule type="expression" dxfId="8273" priority="589" stopIfTrue="1">
      <formula>AI93=CléPersonnalisée1</formula>
    </cfRule>
    <cfRule type="expression" dxfId="8272" priority="590" stopIfTrue="1">
      <formula>AI93=CléMaladie</formula>
    </cfRule>
    <cfRule type="expression" dxfId="8271" priority="591" stopIfTrue="1">
      <formula>AI93=CléPersonnelle</formula>
    </cfRule>
    <cfRule type="expression" dxfId="8270" priority="592" stopIfTrue="1">
      <formula>AI93=CléCongés</formula>
    </cfRule>
  </conditionalFormatting>
  <conditionalFormatting sqref="AN95 AN103 AN99">
    <cfRule type="expression" priority="581" stopIfTrue="1">
      <formula>AN95=""</formula>
    </cfRule>
    <cfRule type="expression" dxfId="8269" priority="582" stopIfTrue="1">
      <formula>AN95=CléPersonnalisée2</formula>
    </cfRule>
    <cfRule type="expression" dxfId="8268" priority="583" stopIfTrue="1">
      <formula>AN95=CléPersonnalisée1</formula>
    </cfRule>
    <cfRule type="expression" dxfId="8267" priority="584" stopIfTrue="1">
      <formula>AN95=CléMaladie</formula>
    </cfRule>
    <cfRule type="expression" dxfId="8266" priority="585" stopIfTrue="1">
      <formula>AN95=CléPersonnelle</formula>
    </cfRule>
    <cfRule type="expression" dxfId="8265" priority="586" stopIfTrue="1">
      <formula>AN95=CléCongés</formula>
    </cfRule>
  </conditionalFormatting>
  <conditionalFormatting sqref="AR95 AR103 AR99">
    <cfRule type="expression" priority="575" stopIfTrue="1">
      <formula>AR95=""</formula>
    </cfRule>
    <cfRule type="expression" dxfId="8264" priority="576" stopIfTrue="1">
      <formula>AR95=CléPersonnalisée2</formula>
    </cfRule>
    <cfRule type="expression" dxfId="8263" priority="577" stopIfTrue="1">
      <formula>AR95=CléPersonnalisée1</formula>
    </cfRule>
    <cfRule type="expression" dxfId="8262" priority="578" stopIfTrue="1">
      <formula>AR95=CléMaladie</formula>
    </cfRule>
    <cfRule type="expression" dxfId="8261" priority="579" stopIfTrue="1">
      <formula>AR95=CléPersonnelle</formula>
    </cfRule>
    <cfRule type="expression" dxfId="8260" priority="580" stopIfTrue="1">
      <formula>AR95=CléCongés</formula>
    </cfRule>
  </conditionalFormatting>
  <conditionalFormatting sqref="AQ111">
    <cfRule type="expression" priority="513" stopIfTrue="1">
      <formula>AQ111=""</formula>
    </cfRule>
    <cfRule type="expression" dxfId="8259" priority="514" stopIfTrue="1">
      <formula>AQ111=CléPersonnalisée2</formula>
    </cfRule>
    <cfRule type="expression" dxfId="8258" priority="515" stopIfTrue="1">
      <formula>AQ111=CléPersonnalisée1</formula>
    </cfRule>
    <cfRule type="expression" dxfId="8257" priority="516" stopIfTrue="1">
      <formula>AQ111=CléMaladie</formula>
    </cfRule>
    <cfRule type="expression" dxfId="8256" priority="517" stopIfTrue="1">
      <formula>AQ111=CléPersonnelle</formula>
    </cfRule>
    <cfRule type="expression" dxfId="8255" priority="518" stopIfTrue="1">
      <formula>AQ111=CléCongés</formula>
    </cfRule>
  </conditionalFormatting>
  <conditionalFormatting sqref="C109:AG111">
    <cfRule type="expression" priority="562" stopIfTrue="1">
      <formula>C109=""</formula>
    </cfRule>
    <cfRule type="expression" dxfId="8254" priority="563" stopIfTrue="1">
      <formula>C109=CléPersonnalisée2</formula>
    </cfRule>
    <cfRule type="expression" dxfId="8253" priority="564" stopIfTrue="1">
      <formula>C109=CléPersonnalisée1</formula>
    </cfRule>
    <cfRule type="expression" dxfId="8252" priority="565" stopIfTrue="1">
      <formula>C109=CléMaladie</formula>
    </cfRule>
    <cfRule type="expression" dxfId="8251" priority="566" stopIfTrue="1">
      <formula>C109=CléPersonnelle</formula>
    </cfRule>
    <cfRule type="expression" dxfId="8250" priority="567" stopIfTrue="1">
      <formula>C109=CléCongés</formula>
    </cfRule>
  </conditionalFormatting>
  <conditionalFormatting sqref="AH111">
    <cfRule type="dataBar" priority="568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{1205E849-A84A-40AF-99BD-B5C54EC3DC03}</x14:id>
        </ext>
      </extLst>
    </cfRule>
  </conditionalFormatting>
  <conditionalFormatting sqref="AI111:AL111 AJ109:AL110">
    <cfRule type="expression" priority="556" stopIfTrue="1">
      <formula>AI109=""</formula>
    </cfRule>
    <cfRule type="expression" dxfId="8249" priority="557" stopIfTrue="1">
      <formula>AI109=CléPersonnalisée2</formula>
    </cfRule>
    <cfRule type="expression" dxfId="8248" priority="558" stopIfTrue="1">
      <formula>AI109=CléPersonnalisée1</formula>
    </cfRule>
    <cfRule type="expression" dxfId="8247" priority="559" stopIfTrue="1">
      <formula>AI109=CléMaladie</formula>
    </cfRule>
    <cfRule type="expression" dxfId="8246" priority="560" stopIfTrue="1">
      <formula>AI109=CléPersonnelle</formula>
    </cfRule>
    <cfRule type="expression" dxfId="8245" priority="561" stopIfTrue="1">
      <formula>AI109=CléCongés</formula>
    </cfRule>
  </conditionalFormatting>
  <conditionalFormatting sqref="AM109:AP110">
    <cfRule type="expression" priority="550" stopIfTrue="1">
      <formula>AM109=""</formula>
    </cfRule>
    <cfRule type="expression" dxfId="8244" priority="551" stopIfTrue="1">
      <formula>AM109=CléPersonnalisée2</formula>
    </cfRule>
    <cfRule type="expression" dxfId="8243" priority="552" stopIfTrue="1">
      <formula>AM109=CléPersonnalisée1</formula>
    </cfRule>
    <cfRule type="expression" dxfId="8242" priority="553" stopIfTrue="1">
      <formula>AM109=CléMaladie</formula>
    </cfRule>
    <cfRule type="expression" dxfId="8241" priority="554" stopIfTrue="1">
      <formula>AM109=CléPersonnelle</formula>
    </cfRule>
    <cfRule type="expression" dxfId="8240" priority="555" stopIfTrue="1">
      <formula>AM109=CléCongés</formula>
    </cfRule>
  </conditionalFormatting>
  <conditionalFormatting sqref="AQ109:AR110">
    <cfRule type="expression" priority="544" stopIfTrue="1">
      <formula>AQ109=""</formula>
    </cfRule>
    <cfRule type="expression" dxfId="8239" priority="545" stopIfTrue="1">
      <formula>AQ109=CléPersonnalisée2</formula>
    </cfRule>
    <cfRule type="expression" dxfId="8238" priority="546" stopIfTrue="1">
      <formula>AQ109=CléPersonnalisée1</formula>
    </cfRule>
    <cfRule type="expression" dxfId="8237" priority="547" stopIfTrue="1">
      <formula>AQ109=CléMaladie</formula>
    </cfRule>
    <cfRule type="expression" dxfId="8236" priority="548" stopIfTrue="1">
      <formula>AQ109=CléPersonnelle</formula>
    </cfRule>
    <cfRule type="expression" dxfId="8235" priority="549" stopIfTrue="1">
      <formula>AQ109=CléCongés</formula>
    </cfRule>
  </conditionalFormatting>
  <conditionalFormatting sqref="AM111 AP111">
    <cfRule type="expression" priority="538" stopIfTrue="1">
      <formula>AM111=""</formula>
    </cfRule>
    <cfRule type="expression" dxfId="8234" priority="539" stopIfTrue="1">
      <formula>AM111=CléPersonnalisée2</formula>
    </cfRule>
    <cfRule type="expression" dxfId="8233" priority="540" stopIfTrue="1">
      <formula>AM111=CléPersonnalisée1</formula>
    </cfRule>
    <cfRule type="expression" dxfId="8232" priority="541" stopIfTrue="1">
      <formula>AM111=CléMaladie</formula>
    </cfRule>
    <cfRule type="expression" dxfId="8231" priority="542" stopIfTrue="1">
      <formula>AM111=CléPersonnelle</formula>
    </cfRule>
    <cfRule type="expression" dxfId="8230" priority="543" stopIfTrue="1">
      <formula>AM111=CléCongés</formula>
    </cfRule>
  </conditionalFormatting>
  <conditionalFormatting sqref="AH109:AH110">
    <cfRule type="dataBar" priority="537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{1CEE39B5-BBE5-497D-BE74-1E017B8760CB}</x14:id>
        </ext>
      </extLst>
    </cfRule>
  </conditionalFormatting>
  <conditionalFormatting sqref="AI109:AI110">
    <cfRule type="expression" priority="531" stopIfTrue="1">
      <formula>AI109=""</formula>
    </cfRule>
    <cfRule type="expression" dxfId="8229" priority="532" stopIfTrue="1">
      <formula>AI109=CléPersonnalisée2</formula>
    </cfRule>
    <cfRule type="expression" dxfId="8228" priority="533" stopIfTrue="1">
      <formula>AI109=CléPersonnalisée1</formula>
    </cfRule>
    <cfRule type="expression" dxfId="8227" priority="534" stopIfTrue="1">
      <formula>AI109=CléMaladie</formula>
    </cfRule>
    <cfRule type="expression" dxfId="8226" priority="535" stopIfTrue="1">
      <formula>AI109=CléPersonnelle</formula>
    </cfRule>
    <cfRule type="expression" dxfId="8225" priority="536" stopIfTrue="1">
      <formula>AI109=CléCongés</formula>
    </cfRule>
  </conditionalFormatting>
  <conditionalFormatting sqref="AN111">
    <cfRule type="expression" priority="525" stopIfTrue="1">
      <formula>AN111=""</formula>
    </cfRule>
    <cfRule type="expression" dxfId="8224" priority="526" stopIfTrue="1">
      <formula>AN111=CléPersonnalisée2</formula>
    </cfRule>
    <cfRule type="expression" dxfId="8223" priority="527" stopIfTrue="1">
      <formula>AN111=CléPersonnalisée1</formula>
    </cfRule>
    <cfRule type="expression" dxfId="8222" priority="528" stopIfTrue="1">
      <formula>AN111=CléMaladie</formula>
    </cfRule>
    <cfRule type="expression" dxfId="8221" priority="529" stopIfTrue="1">
      <formula>AN111=CléPersonnelle</formula>
    </cfRule>
    <cfRule type="expression" dxfId="8220" priority="530" stopIfTrue="1">
      <formula>AN111=CléCongés</formula>
    </cfRule>
  </conditionalFormatting>
  <conditionalFormatting sqref="AR111">
    <cfRule type="expression" priority="519" stopIfTrue="1">
      <formula>AR111=""</formula>
    </cfRule>
    <cfRule type="expression" dxfId="8219" priority="520" stopIfTrue="1">
      <formula>AR111=CléPersonnalisée2</formula>
    </cfRule>
    <cfRule type="expression" dxfId="8218" priority="521" stopIfTrue="1">
      <formula>AR111=CléPersonnalisée1</formula>
    </cfRule>
    <cfRule type="expression" dxfId="8217" priority="522" stopIfTrue="1">
      <formula>AR111=CléMaladie</formula>
    </cfRule>
    <cfRule type="expression" dxfId="8216" priority="523" stopIfTrue="1">
      <formula>AR111=CléPersonnelle</formula>
    </cfRule>
    <cfRule type="expression" dxfId="8215" priority="524" stopIfTrue="1">
      <formula>AR111=CléCongés</formula>
    </cfRule>
  </conditionalFormatting>
  <conditionalFormatting sqref="C121:AG123">
    <cfRule type="expression" priority="506" stopIfTrue="1">
      <formula>C121=""</formula>
    </cfRule>
    <cfRule type="expression" dxfId="8214" priority="507" stopIfTrue="1">
      <formula>C121=CléPersonnalisée2</formula>
    </cfRule>
    <cfRule type="expression" dxfId="8213" priority="508" stopIfTrue="1">
      <formula>C121=CléPersonnalisée1</formula>
    </cfRule>
    <cfRule type="expression" dxfId="8212" priority="509" stopIfTrue="1">
      <formula>C121=CléMaladie</formula>
    </cfRule>
    <cfRule type="expression" dxfId="8211" priority="510" stopIfTrue="1">
      <formula>C121=CléPersonnelle</formula>
    </cfRule>
    <cfRule type="expression" dxfId="8210" priority="511" stopIfTrue="1">
      <formula>C121=CléCongés</formula>
    </cfRule>
  </conditionalFormatting>
  <conditionalFormatting sqref="AH123">
    <cfRule type="dataBar" priority="512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{03B6D587-7B66-42F9-866E-49E8986AA7BF}</x14:id>
        </ext>
      </extLst>
    </cfRule>
  </conditionalFormatting>
  <conditionalFormatting sqref="AI123:AL123 AJ121:AL122">
    <cfRule type="expression" priority="500" stopIfTrue="1">
      <formula>AI121=""</formula>
    </cfRule>
    <cfRule type="expression" dxfId="8209" priority="501" stopIfTrue="1">
      <formula>AI121=CléPersonnalisée2</formula>
    </cfRule>
    <cfRule type="expression" dxfId="8208" priority="502" stopIfTrue="1">
      <formula>AI121=CléPersonnalisée1</formula>
    </cfRule>
    <cfRule type="expression" dxfId="8207" priority="503" stopIfTrue="1">
      <formula>AI121=CléMaladie</formula>
    </cfRule>
    <cfRule type="expression" dxfId="8206" priority="504" stopIfTrue="1">
      <formula>AI121=CléPersonnelle</formula>
    </cfRule>
    <cfRule type="expression" dxfId="8205" priority="505" stopIfTrue="1">
      <formula>AI121=CléCongés</formula>
    </cfRule>
  </conditionalFormatting>
  <conditionalFormatting sqref="AM121:AP122">
    <cfRule type="expression" priority="494" stopIfTrue="1">
      <formula>AM121=""</formula>
    </cfRule>
    <cfRule type="expression" dxfId="8204" priority="495" stopIfTrue="1">
      <formula>AM121=CléPersonnalisée2</formula>
    </cfRule>
    <cfRule type="expression" dxfId="8203" priority="496" stopIfTrue="1">
      <formula>AM121=CléPersonnalisée1</formula>
    </cfRule>
    <cfRule type="expression" dxfId="8202" priority="497" stopIfTrue="1">
      <formula>AM121=CléMaladie</formula>
    </cfRule>
    <cfRule type="expression" dxfId="8201" priority="498" stopIfTrue="1">
      <formula>AM121=CléPersonnelle</formula>
    </cfRule>
    <cfRule type="expression" dxfId="8200" priority="499" stopIfTrue="1">
      <formula>AM121=CléCongés</formula>
    </cfRule>
  </conditionalFormatting>
  <conditionalFormatting sqref="AQ121:AR122">
    <cfRule type="expression" priority="488" stopIfTrue="1">
      <formula>AQ121=""</formula>
    </cfRule>
    <cfRule type="expression" dxfId="8199" priority="489" stopIfTrue="1">
      <formula>AQ121=CléPersonnalisée2</formula>
    </cfRule>
    <cfRule type="expression" dxfId="8198" priority="490" stopIfTrue="1">
      <formula>AQ121=CléPersonnalisée1</formula>
    </cfRule>
    <cfRule type="expression" dxfId="8197" priority="491" stopIfTrue="1">
      <formula>AQ121=CléMaladie</formula>
    </cfRule>
    <cfRule type="expression" dxfId="8196" priority="492" stopIfTrue="1">
      <formula>AQ121=CléPersonnelle</formula>
    </cfRule>
    <cfRule type="expression" dxfId="8195" priority="493" stopIfTrue="1">
      <formula>AQ121=CléCongés</formula>
    </cfRule>
  </conditionalFormatting>
  <conditionalFormatting sqref="AM123 AP123">
    <cfRule type="expression" priority="482" stopIfTrue="1">
      <formula>AM123=""</formula>
    </cfRule>
    <cfRule type="expression" dxfId="8194" priority="483" stopIfTrue="1">
      <formula>AM123=CléPersonnalisée2</formula>
    </cfRule>
    <cfRule type="expression" dxfId="8193" priority="484" stopIfTrue="1">
      <formula>AM123=CléPersonnalisée1</formula>
    </cfRule>
    <cfRule type="expression" dxfId="8192" priority="485" stopIfTrue="1">
      <formula>AM123=CléMaladie</formula>
    </cfRule>
    <cfRule type="expression" dxfId="8191" priority="486" stopIfTrue="1">
      <formula>AM123=CléPersonnelle</formula>
    </cfRule>
    <cfRule type="expression" dxfId="8190" priority="487" stopIfTrue="1">
      <formula>AM123=CléCongés</formula>
    </cfRule>
  </conditionalFormatting>
  <conditionalFormatting sqref="AH121:AH122">
    <cfRule type="dataBar" priority="481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{F9297906-7680-4C4C-98A7-BC892BABDE7A}</x14:id>
        </ext>
      </extLst>
    </cfRule>
  </conditionalFormatting>
  <conditionalFormatting sqref="AO123">
    <cfRule type="expression" priority="475" stopIfTrue="1">
      <formula>AO123=""</formula>
    </cfRule>
    <cfRule type="expression" dxfId="8189" priority="476" stopIfTrue="1">
      <formula>AO123=CléPersonnalisée2</formula>
    </cfRule>
    <cfRule type="expression" dxfId="8188" priority="477" stopIfTrue="1">
      <formula>AO123=CléPersonnalisée1</formula>
    </cfRule>
    <cfRule type="expression" dxfId="8187" priority="478" stopIfTrue="1">
      <formula>AO123=CléMaladie</formula>
    </cfRule>
    <cfRule type="expression" dxfId="8186" priority="479" stopIfTrue="1">
      <formula>AO123=CléPersonnelle</formula>
    </cfRule>
    <cfRule type="expression" dxfId="8185" priority="480" stopIfTrue="1">
      <formula>AO123=CléCongés</formula>
    </cfRule>
  </conditionalFormatting>
  <conditionalFormatting sqref="AI121:AI122">
    <cfRule type="expression" priority="469" stopIfTrue="1">
      <formula>AI121=""</formula>
    </cfRule>
    <cfRule type="expression" dxfId="8184" priority="470" stopIfTrue="1">
      <formula>AI121=CléPersonnalisée2</formula>
    </cfRule>
    <cfRule type="expression" dxfId="8183" priority="471" stopIfTrue="1">
      <formula>AI121=CléPersonnalisée1</formula>
    </cfRule>
    <cfRule type="expression" dxfId="8182" priority="472" stopIfTrue="1">
      <formula>AI121=CléMaladie</formula>
    </cfRule>
    <cfRule type="expression" dxfId="8181" priority="473" stopIfTrue="1">
      <formula>AI121=CléPersonnelle</formula>
    </cfRule>
    <cfRule type="expression" dxfId="8180" priority="474" stopIfTrue="1">
      <formula>AI121=CléCongés</formula>
    </cfRule>
  </conditionalFormatting>
  <conditionalFormatting sqref="AN123">
    <cfRule type="expression" priority="463" stopIfTrue="1">
      <formula>AN123=""</formula>
    </cfRule>
    <cfRule type="expression" dxfId="8179" priority="464" stopIfTrue="1">
      <formula>AN123=CléPersonnalisée2</formula>
    </cfRule>
    <cfRule type="expression" dxfId="8178" priority="465" stopIfTrue="1">
      <formula>AN123=CléPersonnalisée1</formula>
    </cfRule>
    <cfRule type="expression" dxfId="8177" priority="466" stopIfTrue="1">
      <formula>AN123=CléMaladie</formula>
    </cfRule>
    <cfRule type="expression" dxfId="8176" priority="467" stopIfTrue="1">
      <formula>AN123=CléPersonnelle</formula>
    </cfRule>
    <cfRule type="expression" dxfId="8175" priority="468" stopIfTrue="1">
      <formula>AN123=CléCongés</formula>
    </cfRule>
  </conditionalFormatting>
  <conditionalFormatting sqref="AR123">
    <cfRule type="expression" priority="457" stopIfTrue="1">
      <formula>AR123=""</formula>
    </cfRule>
    <cfRule type="expression" dxfId="8174" priority="458" stopIfTrue="1">
      <formula>AR123=CléPersonnalisée2</formula>
    </cfRule>
    <cfRule type="expression" dxfId="8173" priority="459" stopIfTrue="1">
      <formula>AR123=CléPersonnalisée1</formula>
    </cfRule>
    <cfRule type="expression" dxfId="8172" priority="460" stopIfTrue="1">
      <formula>AR123=CléMaladie</formula>
    </cfRule>
    <cfRule type="expression" dxfId="8171" priority="461" stopIfTrue="1">
      <formula>AR123=CléPersonnelle</formula>
    </cfRule>
    <cfRule type="expression" dxfId="8170" priority="462" stopIfTrue="1">
      <formula>AR123=CléCongés</formula>
    </cfRule>
  </conditionalFormatting>
  <conditionalFormatting sqref="AQ115">
    <cfRule type="expression" priority="389" stopIfTrue="1">
      <formula>AQ115=""</formula>
    </cfRule>
    <cfRule type="expression" dxfId="8169" priority="390" stopIfTrue="1">
      <formula>AQ115=CléPersonnalisée2</formula>
    </cfRule>
    <cfRule type="expression" dxfId="8168" priority="391" stopIfTrue="1">
      <formula>AQ115=CléPersonnalisée1</formula>
    </cfRule>
    <cfRule type="expression" dxfId="8167" priority="392" stopIfTrue="1">
      <formula>AQ115=CléMaladie</formula>
    </cfRule>
    <cfRule type="expression" dxfId="8166" priority="393" stopIfTrue="1">
      <formula>AQ115=CléPersonnelle</formula>
    </cfRule>
    <cfRule type="expression" dxfId="8165" priority="394" stopIfTrue="1">
      <formula>AQ115=CléCongés</formula>
    </cfRule>
  </conditionalFormatting>
  <conditionalFormatting sqref="C113:AG115">
    <cfRule type="expression" priority="444" stopIfTrue="1">
      <formula>C113=""</formula>
    </cfRule>
    <cfRule type="expression" dxfId="8164" priority="445" stopIfTrue="1">
      <formula>C113=CléPersonnalisée2</formula>
    </cfRule>
    <cfRule type="expression" dxfId="8163" priority="446" stopIfTrue="1">
      <formula>C113=CléPersonnalisée1</formula>
    </cfRule>
    <cfRule type="expression" dxfId="8162" priority="447" stopIfTrue="1">
      <formula>C113=CléMaladie</formula>
    </cfRule>
    <cfRule type="expression" dxfId="8161" priority="448" stopIfTrue="1">
      <formula>C113=CléPersonnelle</formula>
    </cfRule>
    <cfRule type="expression" dxfId="8160" priority="449" stopIfTrue="1">
      <formula>C113=CléCongés</formula>
    </cfRule>
  </conditionalFormatting>
  <conditionalFormatting sqref="AH115">
    <cfRule type="dataBar" priority="450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{AD14D8C9-5610-4DC5-89DF-E7348DC5516D}</x14:id>
        </ext>
      </extLst>
    </cfRule>
  </conditionalFormatting>
  <conditionalFormatting sqref="AI115:AL115 AJ113:AL114">
    <cfRule type="expression" priority="438" stopIfTrue="1">
      <formula>AI113=""</formula>
    </cfRule>
    <cfRule type="expression" dxfId="8159" priority="439" stopIfTrue="1">
      <formula>AI113=CléPersonnalisée2</formula>
    </cfRule>
    <cfRule type="expression" dxfId="8158" priority="440" stopIfTrue="1">
      <formula>AI113=CléPersonnalisée1</formula>
    </cfRule>
    <cfRule type="expression" dxfId="8157" priority="441" stopIfTrue="1">
      <formula>AI113=CléMaladie</formula>
    </cfRule>
    <cfRule type="expression" dxfId="8156" priority="442" stopIfTrue="1">
      <formula>AI113=CléPersonnelle</formula>
    </cfRule>
    <cfRule type="expression" dxfId="8155" priority="443" stopIfTrue="1">
      <formula>AI113=CléCongés</formula>
    </cfRule>
  </conditionalFormatting>
  <conditionalFormatting sqref="AM113:AP114">
    <cfRule type="expression" priority="432" stopIfTrue="1">
      <formula>AM113=""</formula>
    </cfRule>
    <cfRule type="expression" dxfId="8154" priority="433" stopIfTrue="1">
      <formula>AM113=CléPersonnalisée2</formula>
    </cfRule>
    <cfRule type="expression" dxfId="8153" priority="434" stopIfTrue="1">
      <formula>AM113=CléPersonnalisée1</formula>
    </cfRule>
    <cfRule type="expression" dxfId="8152" priority="435" stopIfTrue="1">
      <formula>AM113=CléMaladie</formula>
    </cfRule>
    <cfRule type="expression" dxfId="8151" priority="436" stopIfTrue="1">
      <formula>AM113=CléPersonnelle</formula>
    </cfRule>
    <cfRule type="expression" dxfId="8150" priority="437" stopIfTrue="1">
      <formula>AM113=CléCongés</formula>
    </cfRule>
  </conditionalFormatting>
  <conditionalFormatting sqref="AQ113:AR114">
    <cfRule type="expression" priority="426" stopIfTrue="1">
      <formula>AQ113=""</formula>
    </cfRule>
    <cfRule type="expression" dxfId="8149" priority="427" stopIfTrue="1">
      <formula>AQ113=CléPersonnalisée2</formula>
    </cfRule>
    <cfRule type="expression" dxfId="8148" priority="428" stopIfTrue="1">
      <formula>AQ113=CléPersonnalisée1</formula>
    </cfRule>
    <cfRule type="expression" dxfId="8147" priority="429" stopIfTrue="1">
      <formula>AQ113=CléMaladie</formula>
    </cfRule>
    <cfRule type="expression" dxfId="8146" priority="430" stopIfTrue="1">
      <formula>AQ113=CléPersonnelle</formula>
    </cfRule>
    <cfRule type="expression" dxfId="8145" priority="431" stopIfTrue="1">
      <formula>AQ113=CléCongés</formula>
    </cfRule>
  </conditionalFormatting>
  <conditionalFormatting sqref="AM115 AP115">
    <cfRule type="expression" priority="420" stopIfTrue="1">
      <formula>AM115=""</formula>
    </cfRule>
    <cfRule type="expression" dxfId="8144" priority="421" stopIfTrue="1">
      <formula>AM115=CléPersonnalisée2</formula>
    </cfRule>
    <cfRule type="expression" dxfId="8143" priority="422" stopIfTrue="1">
      <formula>AM115=CléPersonnalisée1</formula>
    </cfRule>
    <cfRule type="expression" dxfId="8142" priority="423" stopIfTrue="1">
      <formula>AM115=CléMaladie</formula>
    </cfRule>
    <cfRule type="expression" dxfId="8141" priority="424" stopIfTrue="1">
      <formula>AM115=CléPersonnelle</formula>
    </cfRule>
    <cfRule type="expression" dxfId="8140" priority="425" stopIfTrue="1">
      <formula>AM115=CléCongés</formula>
    </cfRule>
  </conditionalFormatting>
  <conditionalFormatting sqref="AH113:AH114">
    <cfRule type="dataBar" priority="419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{B907130F-4CC0-4AFA-A37D-807F375445AA}</x14:id>
        </ext>
      </extLst>
    </cfRule>
  </conditionalFormatting>
  <conditionalFormatting sqref="AO115">
    <cfRule type="expression" priority="413" stopIfTrue="1">
      <formula>AO115=""</formula>
    </cfRule>
    <cfRule type="expression" dxfId="8139" priority="414" stopIfTrue="1">
      <formula>AO115=CléPersonnalisée2</formula>
    </cfRule>
    <cfRule type="expression" dxfId="8138" priority="415" stopIfTrue="1">
      <formula>AO115=CléPersonnalisée1</formula>
    </cfRule>
    <cfRule type="expression" dxfId="8137" priority="416" stopIfTrue="1">
      <formula>AO115=CléMaladie</formula>
    </cfRule>
    <cfRule type="expression" dxfId="8136" priority="417" stopIfTrue="1">
      <formula>AO115=CléPersonnelle</formula>
    </cfRule>
    <cfRule type="expression" dxfId="8135" priority="418" stopIfTrue="1">
      <formula>AO115=CléCongés</formula>
    </cfRule>
  </conditionalFormatting>
  <conditionalFormatting sqref="AI113:AI114">
    <cfRule type="expression" priority="407" stopIfTrue="1">
      <formula>AI113=""</formula>
    </cfRule>
    <cfRule type="expression" dxfId="8134" priority="408" stopIfTrue="1">
      <formula>AI113=CléPersonnalisée2</formula>
    </cfRule>
    <cfRule type="expression" dxfId="8133" priority="409" stopIfTrue="1">
      <formula>AI113=CléPersonnalisée1</formula>
    </cfRule>
    <cfRule type="expression" dxfId="8132" priority="410" stopIfTrue="1">
      <formula>AI113=CléMaladie</formula>
    </cfRule>
    <cfRule type="expression" dxfId="8131" priority="411" stopIfTrue="1">
      <formula>AI113=CléPersonnelle</formula>
    </cfRule>
    <cfRule type="expression" dxfId="8130" priority="412" stopIfTrue="1">
      <formula>AI113=CléCongés</formula>
    </cfRule>
  </conditionalFormatting>
  <conditionalFormatting sqref="AN115">
    <cfRule type="expression" priority="401" stopIfTrue="1">
      <formula>AN115=""</formula>
    </cfRule>
    <cfRule type="expression" dxfId="8129" priority="402" stopIfTrue="1">
      <formula>AN115=CléPersonnalisée2</formula>
    </cfRule>
    <cfRule type="expression" dxfId="8128" priority="403" stopIfTrue="1">
      <formula>AN115=CléPersonnalisée1</formula>
    </cfRule>
    <cfRule type="expression" dxfId="8127" priority="404" stopIfTrue="1">
      <formula>AN115=CléMaladie</formula>
    </cfRule>
    <cfRule type="expression" dxfId="8126" priority="405" stopIfTrue="1">
      <formula>AN115=CléPersonnelle</formula>
    </cfRule>
    <cfRule type="expression" dxfId="8125" priority="406" stopIfTrue="1">
      <formula>AN115=CléCongés</formula>
    </cfRule>
  </conditionalFormatting>
  <conditionalFormatting sqref="AR115">
    <cfRule type="expression" priority="395" stopIfTrue="1">
      <formula>AR115=""</formula>
    </cfRule>
    <cfRule type="expression" dxfId="8124" priority="396" stopIfTrue="1">
      <formula>AR115=CléPersonnalisée2</formula>
    </cfRule>
    <cfRule type="expression" dxfId="8123" priority="397" stopIfTrue="1">
      <formula>AR115=CléPersonnalisée1</formula>
    </cfRule>
    <cfRule type="expression" dxfId="8122" priority="398" stopIfTrue="1">
      <formula>AR115=CléMaladie</formula>
    </cfRule>
    <cfRule type="expression" dxfId="8121" priority="399" stopIfTrue="1">
      <formula>AR115=CléPersonnelle</formula>
    </cfRule>
    <cfRule type="expression" dxfId="8120" priority="400" stopIfTrue="1">
      <formula>AR115=CléCongés</formula>
    </cfRule>
  </conditionalFormatting>
  <conditionalFormatting sqref="AQ15">
    <cfRule type="expression" priority="327" stopIfTrue="1">
      <formula>AQ15=""</formula>
    </cfRule>
    <cfRule type="expression" dxfId="8119" priority="328" stopIfTrue="1">
      <formula>AQ15=CléPersonnalisée2</formula>
    </cfRule>
    <cfRule type="expression" dxfId="8118" priority="329" stopIfTrue="1">
      <formula>AQ15=CléPersonnalisée1</formula>
    </cfRule>
    <cfRule type="expression" dxfId="8117" priority="330" stopIfTrue="1">
      <formula>AQ15=CléMaladie</formula>
    </cfRule>
    <cfRule type="expression" dxfId="8116" priority="331" stopIfTrue="1">
      <formula>AQ15=CléPersonnelle</formula>
    </cfRule>
    <cfRule type="expression" dxfId="8115" priority="332" stopIfTrue="1">
      <formula>AQ15=CléCongés</formula>
    </cfRule>
  </conditionalFormatting>
  <conditionalFormatting sqref="C13:AG15">
    <cfRule type="expression" priority="382" stopIfTrue="1">
      <formula>C13=""</formula>
    </cfRule>
    <cfRule type="expression" dxfId="8114" priority="383" stopIfTrue="1">
      <formula>C13=CléPersonnalisée2</formula>
    </cfRule>
    <cfRule type="expression" dxfId="8113" priority="384" stopIfTrue="1">
      <formula>C13=CléPersonnalisée1</formula>
    </cfRule>
    <cfRule type="expression" dxfId="8112" priority="385" stopIfTrue="1">
      <formula>C13=CléMaladie</formula>
    </cfRule>
    <cfRule type="expression" dxfId="8111" priority="386" stopIfTrue="1">
      <formula>C13=CléPersonnelle</formula>
    </cfRule>
    <cfRule type="expression" dxfId="8110" priority="387" stopIfTrue="1">
      <formula>C13=CléCongés</formula>
    </cfRule>
  </conditionalFormatting>
  <conditionalFormatting sqref="AH15">
    <cfRule type="dataBar" priority="388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{8FAE4D8E-B4BF-4853-8741-154A5B1E3910}</x14:id>
        </ext>
      </extLst>
    </cfRule>
  </conditionalFormatting>
  <conditionalFormatting sqref="AI15:AL15 AJ13:AL14">
    <cfRule type="expression" priority="376" stopIfTrue="1">
      <formula>AI13=""</formula>
    </cfRule>
    <cfRule type="expression" dxfId="8109" priority="377" stopIfTrue="1">
      <formula>AI13=CléPersonnalisée2</formula>
    </cfRule>
    <cfRule type="expression" dxfId="8108" priority="378" stopIfTrue="1">
      <formula>AI13=CléPersonnalisée1</formula>
    </cfRule>
    <cfRule type="expression" dxfId="8107" priority="379" stopIfTrue="1">
      <formula>AI13=CléMaladie</formula>
    </cfRule>
    <cfRule type="expression" dxfId="8106" priority="380" stopIfTrue="1">
      <formula>AI13=CléPersonnelle</formula>
    </cfRule>
    <cfRule type="expression" dxfId="8105" priority="381" stopIfTrue="1">
      <formula>AI13=CléCongés</formula>
    </cfRule>
  </conditionalFormatting>
  <conditionalFormatting sqref="AM13:AP14">
    <cfRule type="expression" priority="370" stopIfTrue="1">
      <formula>AM13=""</formula>
    </cfRule>
    <cfRule type="expression" dxfId="8104" priority="371" stopIfTrue="1">
      <formula>AM13=CléPersonnalisée2</formula>
    </cfRule>
    <cfRule type="expression" dxfId="8103" priority="372" stopIfTrue="1">
      <formula>AM13=CléPersonnalisée1</formula>
    </cfRule>
    <cfRule type="expression" dxfId="8102" priority="373" stopIfTrue="1">
      <formula>AM13=CléMaladie</formula>
    </cfRule>
    <cfRule type="expression" dxfId="8101" priority="374" stopIfTrue="1">
      <formula>AM13=CléPersonnelle</formula>
    </cfRule>
    <cfRule type="expression" dxfId="8100" priority="375" stopIfTrue="1">
      <formula>AM13=CléCongés</formula>
    </cfRule>
  </conditionalFormatting>
  <conditionalFormatting sqref="AQ13:AR14">
    <cfRule type="expression" priority="364" stopIfTrue="1">
      <formula>AQ13=""</formula>
    </cfRule>
    <cfRule type="expression" dxfId="8099" priority="365" stopIfTrue="1">
      <formula>AQ13=CléPersonnalisée2</formula>
    </cfRule>
    <cfRule type="expression" dxfId="8098" priority="366" stopIfTrue="1">
      <formula>AQ13=CléPersonnalisée1</formula>
    </cfRule>
    <cfRule type="expression" dxfId="8097" priority="367" stopIfTrue="1">
      <formula>AQ13=CléMaladie</formula>
    </cfRule>
    <cfRule type="expression" dxfId="8096" priority="368" stopIfTrue="1">
      <formula>AQ13=CléPersonnelle</formula>
    </cfRule>
    <cfRule type="expression" dxfId="8095" priority="369" stopIfTrue="1">
      <formula>AQ13=CléCongés</formula>
    </cfRule>
  </conditionalFormatting>
  <conditionalFormatting sqref="AM15 AP15">
    <cfRule type="expression" priority="358" stopIfTrue="1">
      <formula>AM15=""</formula>
    </cfRule>
    <cfRule type="expression" dxfId="8094" priority="359" stopIfTrue="1">
      <formula>AM15=CléPersonnalisée2</formula>
    </cfRule>
    <cfRule type="expression" dxfId="8093" priority="360" stopIfTrue="1">
      <formula>AM15=CléPersonnalisée1</formula>
    </cfRule>
    <cfRule type="expression" dxfId="8092" priority="361" stopIfTrue="1">
      <formula>AM15=CléMaladie</formula>
    </cfRule>
    <cfRule type="expression" dxfId="8091" priority="362" stopIfTrue="1">
      <formula>AM15=CléPersonnelle</formula>
    </cfRule>
    <cfRule type="expression" dxfId="8090" priority="363" stopIfTrue="1">
      <formula>AM15=CléCongés</formula>
    </cfRule>
  </conditionalFormatting>
  <conditionalFormatting sqref="AH13:AH14">
    <cfRule type="dataBar" priority="357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{AD05F196-D777-477A-9CED-B87D59D45B3F}</x14:id>
        </ext>
      </extLst>
    </cfRule>
  </conditionalFormatting>
  <conditionalFormatting sqref="AO15">
    <cfRule type="expression" priority="351" stopIfTrue="1">
      <formula>AO15=""</formula>
    </cfRule>
    <cfRule type="expression" dxfId="8089" priority="352" stopIfTrue="1">
      <formula>AO15=CléPersonnalisée2</formula>
    </cfRule>
    <cfRule type="expression" dxfId="8088" priority="353" stopIfTrue="1">
      <formula>AO15=CléPersonnalisée1</formula>
    </cfRule>
    <cfRule type="expression" dxfId="8087" priority="354" stopIfTrue="1">
      <formula>AO15=CléMaladie</formula>
    </cfRule>
    <cfRule type="expression" dxfId="8086" priority="355" stopIfTrue="1">
      <formula>AO15=CléPersonnelle</formula>
    </cfRule>
    <cfRule type="expression" dxfId="8085" priority="356" stopIfTrue="1">
      <formula>AO15=CléCongés</formula>
    </cfRule>
  </conditionalFormatting>
  <conditionalFormatting sqref="AI13:AI14">
    <cfRule type="expression" priority="345" stopIfTrue="1">
      <formula>AI13=""</formula>
    </cfRule>
    <cfRule type="expression" dxfId="8084" priority="346" stopIfTrue="1">
      <formula>AI13=CléPersonnalisée2</formula>
    </cfRule>
    <cfRule type="expression" dxfId="8083" priority="347" stopIfTrue="1">
      <formula>AI13=CléPersonnalisée1</formula>
    </cfRule>
    <cfRule type="expression" dxfId="8082" priority="348" stopIfTrue="1">
      <formula>AI13=CléMaladie</formula>
    </cfRule>
    <cfRule type="expression" dxfId="8081" priority="349" stopIfTrue="1">
      <formula>AI13=CléPersonnelle</formula>
    </cfRule>
    <cfRule type="expression" dxfId="8080" priority="350" stopIfTrue="1">
      <formula>AI13=CléCongés</formula>
    </cfRule>
  </conditionalFormatting>
  <conditionalFormatting sqref="AN15">
    <cfRule type="expression" priority="339" stopIfTrue="1">
      <formula>AN15=""</formula>
    </cfRule>
    <cfRule type="expression" dxfId="8079" priority="340" stopIfTrue="1">
      <formula>AN15=CléPersonnalisée2</formula>
    </cfRule>
    <cfRule type="expression" dxfId="8078" priority="341" stopIfTrue="1">
      <formula>AN15=CléPersonnalisée1</formula>
    </cfRule>
    <cfRule type="expression" dxfId="8077" priority="342" stopIfTrue="1">
      <formula>AN15=CléMaladie</formula>
    </cfRule>
    <cfRule type="expression" dxfId="8076" priority="343" stopIfTrue="1">
      <formula>AN15=CléPersonnelle</formula>
    </cfRule>
    <cfRule type="expression" dxfId="8075" priority="344" stopIfTrue="1">
      <formula>AN15=CléCongés</formula>
    </cfRule>
  </conditionalFormatting>
  <conditionalFormatting sqref="AR15">
    <cfRule type="expression" priority="333" stopIfTrue="1">
      <formula>AR15=""</formula>
    </cfRule>
    <cfRule type="expression" dxfId="8074" priority="334" stopIfTrue="1">
      <formula>AR15=CléPersonnalisée2</formula>
    </cfRule>
    <cfRule type="expression" dxfId="8073" priority="335" stopIfTrue="1">
      <formula>AR15=CléPersonnalisée1</formula>
    </cfRule>
    <cfRule type="expression" dxfId="8072" priority="336" stopIfTrue="1">
      <formula>AR15=CléMaladie</formula>
    </cfRule>
    <cfRule type="expression" dxfId="8071" priority="337" stopIfTrue="1">
      <formula>AR15=CléPersonnelle</formula>
    </cfRule>
    <cfRule type="expression" dxfId="8070" priority="338" stopIfTrue="1">
      <formula>AR15=CléCongés</formula>
    </cfRule>
  </conditionalFormatting>
  <conditionalFormatting sqref="AO111">
    <cfRule type="expression" priority="321" stopIfTrue="1">
      <formula>AO111=""</formula>
    </cfRule>
    <cfRule type="expression" dxfId="8069" priority="322" stopIfTrue="1">
      <formula>AO111=CléPersonnalisée2</formula>
    </cfRule>
    <cfRule type="expression" dxfId="8068" priority="323" stopIfTrue="1">
      <formula>AO111=CléPersonnalisée1</formula>
    </cfRule>
    <cfRule type="expression" dxfId="8067" priority="324" stopIfTrue="1">
      <formula>AO111=CléMaladie</formula>
    </cfRule>
    <cfRule type="expression" dxfId="8066" priority="325" stopIfTrue="1">
      <formula>AO111=CléPersonnelle</formula>
    </cfRule>
    <cfRule type="expression" dxfId="8065" priority="326" stopIfTrue="1">
      <formula>AO111=CléCongés</formula>
    </cfRule>
  </conditionalFormatting>
  <conditionalFormatting sqref="AQ100:AR100">
    <cfRule type="expression" priority="315" stopIfTrue="1">
      <formula>AQ100=""</formula>
    </cfRule>
    <cfRule type="expression" dxfId="8064" priority="316" stopIfTrue="1">
      <formula>AQ100=CléPersonnalisée2</formula>
    </cfRule>
    <cfRule type="expression" dxfId="8063" priority="317" stopIfTrue="1">
      <formula>AQ100=CléPersonnalisée1</formula>
    </cfRule>
    <cfRule type="expression" dxfId="8062" priority="318" stopIfTrue="1">
      <formula>AQ100=CléMaladie</formula>
    </cfRule>
    <cfRule type="expression" dxfId="8061" priority="319" stopIfTrue="1">
      <formula>AQ100=CléPersonnelle</formula>
    </cfRule>
    <cfRule type="expression" dxfId="8060" priority="320" stopIfTrue="1">
      <formula>AQ100=CléCongés</formula>
    </cfRule>
  </conditionalFormatting>
  <conditionalFormatting sqref="AQ96:AR96">
    <cfRule type="expression" priority="309" stopIfTrue="1">
      <formula>AQ96=""</formula>
    </cfRule>
    <cfRule type="expression" dxfId="8059" priority="310" stopIfTrue="1">
      <formula>AQ96=CléPersonnalisée2</formula>
    </cfRule>
    <cfRule type="expression" dxfId="8058" priority="311" stopIfTrue="1">
      <formula>AQ96=CléPersonnalisée1</formula>
    </cfRule>
    <cfRule type="expression" dxfId="8057" priority="312" stopIfTrue="1">
      <formula>AQ96=CléMaladie</formula>
    </cfRule>
    <cfRule type="expression" dxfId="8056" priority="313" stopIfTrue="1">
      <formula>AQ96=CléPersonnelle</formula>
    </cfRule>
    <cfRule type="expression" dxfId="8055" priority="314" stopIfTrue="1">
      <formula>AQ96=CléCongés</formula>
    </cfRule>
  </conditionalFormatting>
  <conditionalFormatting sqref="AQ120:AR120">
    <cfRule type="expression" priority="303" stopIfTrue="1">
      <formula>AQ120=""</formula>
    </cfRule>
    <cfRule type="expression" dxfId="8054" priority="304" stopIfTrue="1">
      <formula>AQ120=CléPersonnalisée2</formula>
    </cfRule>
    <cfRule type="expression" dxfId="8053" priority="305" stopIfTrue="1">
      <formula>AQ120=CléPersonnalisée1</formula>
    </cfRule>
    <cfRule type="expression" dxfId="8052" priority="306" stopIfTrue="1">
      <formula>AQ120=CléMaladie</formula>
    </cfRule>
    <cfRule type="expression" dxfId="8051" priority="307" stopIfTrue="1">
      <formula>AQ120=CléPersonnelle</formula>
    </cfRule>
    <cfRule type="expression" dxfId="8050" priority="308" stopIfTrue="1">
      <formula>AQ120=CléCongés</formula>
    </cfRule>
  </conditionalFormatting>
  <conditionalFormatting sqref="AQ119">
    <cfRule type="expression" priority="241" stopIfTrue="1">
      <formula>AQ119=""</formula>
    </cfRule>
    <cfRule type="expression" dxfId="8049" priority="242" stopIfTrue="1">
      <formula>AQ119=CléPersonnalisée2</formula>
    </cfRule>
    <cfRule type="expression" dxfId="8048" priority="243" stopIfTrue="1">
      <formula>AQ119=CléPersonnalisée1</formula>
    </cfRule>
    <cfRule type="expression" dxfId="8047" priority="244" stopIfTrue="1">
      <formula>AQ119=CléMaladie</formula>
    </cfRule>
    <cfRule type="expression" dxfId="8046" priority="245" stopIfTrue="1">
      <formula>AQ119=CléPersonnelle</formula>
    </cfRule>
    <cfRule type="expression" dxfId="8045" priority="246" stopIfTrue="1">
      <formula>AQ119=CléCongés</formula>
    </cfRule>
  </conditionalFormatting>
  <conditionalFormatting sqref="C117:AG119">
    <cfRule type="expression" priority="296" stopIfTrue="1">
      <formula>C117=""</formula>
    </cfRule>
    <cfRule type="expression" dxfId="8044" priority="297" stopIfTrue="1">
      <formula>C117=CléPersonnalisée2</formula>
    </cfRule>
    <cfRule type="expression" dxfId="8043" priority="298" stopIfTrue="1">
      <formula>C117=CléPersonnalisée1</formula>
    </cfRule>
    <cfRule type="expression" dxfId="8042" priority="299" stopIfTrue="1">
      <formula>C117=CléMaladie</formula>
    </cfRule>
    <cfRule type="expression" dxfId="8041" priority="300" stopIfTrue="1">
      <formula>C117=CléPersonnelle</formula>
    </cfRule>
    <cfRule type="expression" dxfId="8040" priority="301" stopIfTrue="1">
      <formula>C117=CléCongés</formula>
    </cfRule>
  </conditionalFormatting>
  <conditionalFormatting sqref="AH119">
    <cfRule type="dataBar" priority="302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{3B87EA28-03AD-4FDD-812A-8A7BD6ECA018}</x14:id>
        </ext>
      </extLst>
    </cfRule>
  </conditionalFormatting>
  <conditionalFormatting sqref="AI119:AL119 AJ117:AL118">
    <cfRule type="expression" priority="290" stopIfTrue="1">
      <formula>AI117=""</formula>
    </cfRule>
    <cfRule type="expression" dxfId="8039" priority="291" stopIfTrue="1">
      <formula>AI117=CléPersonnalisée2</formula>
    </cfRule>
    <cfRule type="expression" dxfId="8038" priority="292" stopIfTrue="1">
      <formula>AI117=CléPersonnalisée1</formula>
    </cfRule>
    <cfRule type="expression" dxfId="8037" priority="293" stopIfTrue="1">
      <formula>AI117=CléMaladie</formula>
    </cfRule>
    <cfRule type="expression" dxfId="8036" priority="294" stopIfTrue="1">
      <formula>AI117=CléPersonnelle</formula>
    </cfRule>
    <cfRule type="expression" dxfId="8035" priority="295" stopIfTrue="1">
      <formula>AI117=CléCongés</formula>
    </cfRule>
  </conditionalFormatting>
  <conditionalFormatting sqref="AM117:AP118">
    <cfRule type="expression" priority="284" stopIfTrue="1">
      <formula>AM117=""</formula>
    </cfRule>
    <cfRule type="expression" dxfId="8034" priority="285" stopIfTrue="1">
      <formula>AM117=CléPersonnalisée2</formula>
    </cfRule>
    <cfRule type="expression" dxfId="8033" priority="286" stopIfTrue="1">
      <formula>AM117=CléPersonnalisée1</formula>
    </cfRule>
    <cfRule type="expression" dxfId="8032" priority="287" stopIfTrue="1">
      <formula>AM117=CléMaladie</formula>
    </cfRule>
    <cfRule type="expression" dxfId="8031" priority="288" stopIfTrue="1">
      <formula>AM117=CléPersonnelle</formula>
    </cfRule>
    <cfRule type="expression" dxfId="8030" priority="289" stopIfTrue="1">
      <formula>AM117=CléCongés</formula>
    </cfRule>
  </conditionalFormatting>
  <conditionalFormatting sqref="AQ117:AR118">
    <cfRule type="expression" priority="278" stopIfTrue="1">
      <formula>AQ117=""</formula>
    </cfRule>
    <cfRule type="expression" dxfId="8029" priority="279" stopIfTrue="1">
      <formula>AQ117=CléPersonnalisée2</formula>
    </cfRule>
    <cfRule type="expression" dxfId="8028" priority="280" stopIfTrue="1">
      <formula>AQ117=CléPersonnalisée1</formula>
    </cfRule>
    <cfRule type="expression" dxfId="8027" priority="281" stopIfTrue="1">
      <formula>AQ117=CléMaladie</formula>
    </cfRule>
    <cfRule type="expression" dxfId="8026" priority="282" stopIfTrue="1">
      <formula>AQ117=CléPersonnelle</formula>
    </cfRule>
    <cfRule type="expression" dxfId="8025" priority="283" stopIfTrue="1">
      <formula>AQ117=CléCongés</formula>
    </cfRule>
  </conditionalFormatting>
  <conditionalFormatting sqref="AM119 AP119">
    <cfRule type="expression" priority="272" stopIfTrue="1">
      <formula>AM119=""</formula>
    </cfRule>
    <cfRule type="expression" dxfId="8024" priority="273" stopIfTrue="1">
      <formula>AM119=CléPersonnalisée2</formula>
    </cfRule>
    <cfRule type="expression" dxfId="8023" priority="274" stopIfTrue="1">
      <formula>AM119=CléPersonnalisée1</formula>
    </cfRule>
    <cfRule type="expression" dxfId="8022" priority="275" stopIfTrue="1">
      <formula>AM119=CléMaladie</formula>
    </cfRule>
    <cfRule type="expression" dxfId="8021" priority="276" stopIfTrue="1">
      <formula>AM119=CléPersonnelle</formula>
    </cfRule>
    <cfRule type="expression" dxfId="8020" priority="277" stopIfTrue="1">
      <formula>AM119=CléCongés</formula>
    </cfRule>
  </conditionalFormatting>
  <conditionalFormatting sqref="AH117:AH118">
    <cfRule type="dataBar" priority="271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{F8250CFE-2150-4039-8E57-ACDD0FE5FC17}</x14:id>
        </ext>
      </extLst>
    </cfRule>
  </conditionalFormatting>
  <conditionalFormatting sqref="AO119">
    <cfRule type="expression" priority="265" stopIfTrue="1">
      <formula>AO119=""</formula>
    </cfRule>
    <cfRule type="expression" dxfId="8019" priority="266" stopIfTrue="1">
      <formula>AO119=CléPersonnalisée2</formula>
    </cfRule>
    <cfRule type="expression" dxfId="8018" priority="267" stopIfTrue="1">
      <formula>AO119=CléPersonnalisée1</formula>
    </cfRule>
    <cfRule type="expression" dxfId="8017" priority="268" stopIfTrue="1">
      <formula>AO119=CléMaladie</formula>
    </cfRule>
    <cfRule type="expression" dxfId="8016" priority="269" stopIfTrue="1">
      <formula>AO119=CléPersonnelle</formula>
    </cfRule>
    <cfRule type="expression" dxfId="8015" priority="270" stopIfTrue="1">
      <formula>AO119=CléCongés</formula>
    </cfRule>
  </conditionalFormatting>
  <conditionalFormatting sqref="AI117:AI118">
    <cfRule type="expression" priority="259" stopIfTrue="1">
      <formula>AI117=""</formula>
    </cfRule>
    <cfRule type="expression" dxfId="8014" priority="260" stopIfTrue="1">
      <formula>AI117=CléPersonnalisée2</formula>
    </cfRule>
    <cfRule type="expression" dxfId="8013" priority="261" stopIfTrue="1">
      <formula>AI117=CléPersonnalisée1</formula>
    </cfRule>
    <cfRule type="expression" dxfId="8012" priority="262" stopIfTrue="1">
      <formula>AI117=CléMaladie</formula>
    </cfRule>
    <cfRule type="expression" dxfId="8011" priority="263" stopIfTrue="1">
      <formula>AI117=CléPersonnelle</formula>
    </cfRule>
    <cfRule type="expression" dxfId="8010" priority="264" stopIfTrue="1">
      <formula>AI117=CléCongés</formula>
    </cfRule>
  </conditionalFormatting>
  <conditionalFormatting sqref="AN119">
    <cfRule type="expression" priority="253" stopIfTrue="1">
      <formula>AN119=""</formula>
    </cfRule>
    <cfRule type="expression" dxfId="8009" priority="254" stopIfTrue="1">
      <formula>AN119=CléPersonnalisée2</formula>
    </cfRule>
    <cfRule type="expression" dxfId="8008" priority="255" stopIfTrue="1">
      <formula>AN119=CléPersonnalisée1</formula>
    </cfRule>
    <cfRule type="expression" dxfId="8007" priority="256" stopIfTrue="1">
      <formula>AN119=CléMaladie</formula>
    </cfRule>
    <cfRule type="expression" dxfId="8006" priority="257" stopIfTrue="1">
      <formula>AN119=CléPersonnelle</formula>
    </cfRule>
    <cfRule type="expression" dxfId="8005" priority="258" stopIfTrue="1">
      <formula>AN119=CléCongés</formula>
    </cfRule>
  </conditionalFormatting>
  <conditionalFormatting sqref="AR119">
    <cfRule type="expression" priority="247" stopIfTrue="1">
      <formula>AR119=""</formula>
    </cfRule>
    <cfRule type="expression" dxfId="8004" priority="248" stopIfTrue="1">
      <formula>AR119=CléPersonnalisée2</formula>
    </cfRule>
    <cfRule type="expression" dxfId="8003" priority="249" stopIfTrue="1">
      <formula>AR119=CléPersonnalisée1</formula>
    </cfRule>
    <cfRule type="expression" dxfId="8002" priority="250" stopIfTrue="1">
      <formula>AR119=CléMaladie</formula>
    </cfRule>
    <cfRule type="expression" dxfId="8001" priority="251" stopIfTrue="1">
      <formula>AR119=CléPersonnelle</formula>
    </cfRule>
    <cfRule type="expression" dxfId="8000" priority="252" stopIfTrue="1">
      <formula>AR119=CléCongés</formula>
    </cfRule>
  </conditionalFormatting>
  <conditionalFormatting sqref="AQ108:AR108">
    <cfRule type="expression" priority="235" stopIfTrue="1">
      <formula>AQ108=""</formula>
    </cfRule>
    <cfRule type="expression" dxfId="7999" priority="236" stopIfTrue="1">
      <formula>AQ108=CléPersonnalisée2</formula>
    </cfRule>
    <cfRule type="expression" dxfId="7998" priority="237" stopIfTrue="1">
      <formula>AQ108=CléPersonnalisée1</formula>
    </cfRule>
    <cfRule type="expression" dxfId="7997" priority="238" stopIfTrue="1">
      <formula>AQ108=CléMaladie</formula>
    </cfRule>
    <cfRule type="expression" dxfId="7996" priority="239" stopIfTrue="1">
      <formula>AQ108=CléPersonnelle</formula>
    </cfRule>
    <cfRule type="expression" dxfId="7995" priority="240" stopIfTrue="1">
      <formula>AQ108=CléCongés</formula>
    </cfRule>
  </conditionalFormatting>
  <conditionalFormatting sqref="AQ107">
    <cfRule type="expression" priority="179" stopIfTrue="1">
      <formula>AQ107=""</formula>
    </cfRule>
    <cfRule type="expression" dxfId="7994" priority="180" stopIfTrue="1">
      <formula>AQ107=CléPersonnalisée2</formula>
    </cfRule>
    <cfRule type="expression" dxfId="7993" priority="181" stopIfTrue="1">
      <formula>AQ107=CléPersonnalisée1</formula>
    </cfRule>
    <cfRule type="expression" dxfId="7992" priority="182" stopIfTrue="1">
      <formula>AQ107=CléMaladie</formula>
    </cfRule>
    <cfRule type="expression" dxfId="7991" priority="183" stopIfTrue="1">
      <formula>AQ107=CléPersonnelle</formula>
    </cfRule>
    <cfRule type="expression" dxfId="7990" priority="184" stopIfTrue="1">
      <formula>AQ107=CléCongés</formula>
    </cfRule>
  </conditionalFormatting>
  <conditionalFormatting sqref="C105:AG107">
    <cfRule type="expression" priority="228" stopIfTrue="1">
      <formula>C105=""</formula>
    </cfRule>
    <cfRule type="expression" dxfId="7989" priority="229" stopIfTrue="1">
      <formula>C105=CléPersonnalisée2</formula>
    </cfRule>
    <cfRule type="expression" dxfId="7988" priority="230" stopIfTrue="1">
      <formula>C105=CléPersonnalisée1</formula>
    </cfRule>
    <cfRule type="expression" dxfId="7987" priority="231" stopIfTrue="1">
      <formula>C105=CléMaladie</formula>
    </cfRule>
    <cfRule type="expression" dxfId="7986" priority="232" stopIfTrue="1">
      <formula>C105=CléPersonnelle</formula>
    </cfRule>
    <cfRule type="expression" dxfId="7985" priority="233" stopIfTrue="1">
      <formula>C105=CléCongés</formula>
    </cfRule>
  </conditionalFormatting>
  <conditionalFormatting sqref="AH107">
    <cfRule type="dataBar" priority="234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{2224D7BA-75CB-43C8-B5A2-95F81B0053BC}</x14:id>
        </ext>
      </extLst>
    </cfRule>
  </conditionalFormatting>
  <conditionalFormatting sqref="AI107:AL107 AJ105:AL106">
    <cfRule type="expression" priority="222" stopIfTrue="1">
      <formula>AI105=""</formula>
    </cfRule>
    <cfRule type="expression" dxfId="7984" priority="223" stopIfTrue="1">
      <formula>AI105=CléPersonnalisée2</formula>
    </cfRule>
    <cfRule type="expression" dxfId="7983" priority="224" stopIfTrue="1">
      <formula>AI105=CléPersonnalisée1</formula>
    </cfRule>
    <cfRule type="expression" dxfId="7982" priority="225" stopIfTrue="1">
      <formula>AI105=CléMaladie</formula>
    </cfRule>
    <cfRule type="expression" dxfId="7981" priority="226" stopIfTrue="1">
      <formula>AI105=CléPersonnelle</formula>
    </cfRule>
    <cfRule type="expression" dxfId="7980" priority="227" stopIfTrue="1">
      <formula>AI105=CléCongés</formula>
    </cfRule>
  </conditionalFormatting>
  <conditionalFormatting sqref="AM105:AP106">
    <cfRule type="expression" priority="216" stopIfTrue="1">
      <formula>AM105=""</formula>
    </cfRule>
    <cfRule type="expression" dxfId="7979" priority="217" stopIfTrue="1">
      <formula>AM105=CléPersonnalisée2</formula>
    </cfRule>
    <cfRule type="expression" dxfId="7978" priority="218" stopIfTrue="1">
      <formula>AM105=CléPersonnalisée1</formula>
    </cfRule>
    <cfRule type="expression" dxfId="7977" priority="219" stopIfTrue="1">
      <formula>AM105=CléMaladie</formula>
    </cfRule>
    <cfRule type="expression" dxfId="7976" priority="220" stopIfTrue="1">
      <formula>AM105=CléPersonnelle</formula>
    </cfRule>
    <cfRule type="expression" dxfId="7975" priority="221" stopIfTrue="1">
      <formula>AM105=CléCongés</formula>
    </cfRule>
  </conditionalFormatting>
  <conditionalFormatting sqref="AQ105:AR106">
    <cfRule type="expression" priority="210" stopIfTrue="1">
      <formula>AQ105=""</formula>
    </cfRule>
    <cfRule type="expression" dxfId="7974" priority="211" stopIfTrue="1">
      <formula>AQ105=CléPersonnalisée2</formula>
    </cfRule>
    <cfRule type="expression" dxfId="7973" priority="212" stopIfTrue="1">
      <formula>AQ105=CléPersonnalisée1</formula>
    </cfRule>
    <cfRule type="expression" dxfId="7972" priority="213" stopIfTrue="1">
      <formula>AQ105=CléMaladie</formula>
    </cfRule>
    <cfRule type="expression" dxfId="7971" priority="214" stopIfTrue="1">
      <formula>AQ105=CléPersonnelle</formula>
    </cfRule>
    <cfRule type="expression" dxfId="7970" priority="215" stopIfTrue="1">
      <formula>AQ105=CléCongés</formula>
    </cfRule>
  </conditionalFormatting>
  <conditionalFormatting sqref="AM107 AP107">
    <cfRule type="expression" priority="204" stopIfTrue="1">
      <formula>AM107=""</formula>
    </cfRule>
    <cfRule type="expression" dxfId="7969" priority="205" stopIfTrue="1">
      <formula>AM107=CléPersonnalisée2</formula>
    </cfRule>
    <cfRule type="expression" dxfId="7968" priority="206" stopIfTrue="1">
      <formula>AM107=CléPersonnalisée1</formula>
    </cfRule>
    <cfRule type="expression" dxfId="7967" priority="207" stopIfTrue="1">
      <formula>AM107=CléMaladie</formula>
    </cfRule>
    <cfRule type="expression" dxfId="7966" priority="208" stopIfTrue="1">
      <formula>AM107=CléPersonnelle</formula>
    </cfRule>
    <cfRule type="expression" dxfId="7965" priority="209" stopIfTrue="1">
      <formula>AM107=CléCongés</formula>
    </cfRule>
  </conditionalFormatting>
  <conditionalFormatting sqref="AH105:AH106">
    <cfRule type="dataBar" priority="203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{E0E28E3C-6013-4B2B-9FDB-C3779B7C9924}</x14:id>
        </ext>
      </extLst>
    </cfRule>
  </conditionalFormatting>
  <conditionalFormatting sqref="AI105:AI106">
    <cfRule type="expression" priority="197" stopIfTrue="1">
      <formula>AI105=""</formula>
    </cfRule>
    <cfRule type="expression" dxfId="7964" priority="198" stopIfTrue="1">
      <formula>AI105=CléPersonnalisée2</formula>
    </cfRule>
    <cfRule type="expression" dxfId="7963" priority="199" stopIfTrue="1">
      <formula>AI105=CléPersonnalisée1</formula>
    </cfRule>
    <cfRule type="expression" dxfId="7962" priority="200" stopIfTrue="1">
      <formula>AI105=CléMaladie</formula>
    </cfRule>
    <cfRule type="expression" dxfId="7961" priority="201" stopIfTrue="1">
      <formula>AI105=CléPersonnelle</formula>
    </cfRule>
    <cfRule type="expression" dxfId="7960" priority="202" stopIfTrue="1">
      <formula>AI105=CléCongés</formula>
    </cfRule>
  </conditionalFormatting>
  <conditionalFormatting sqref="AN107">
    <cfRule type="expression" priority="191" stopIfTrue="1">
      <formula>AN107=""</formula>
    </cfRule>
    <cfRule type="expression" dxfId="7959" priority="192" stopIfTrue="1">
      <formula>AN107=CléPersonnalisée2</formula>
    </cfRule>
    <cfRule type="expression" dxfId="7958" priority="193" stopIfTrue="1">
      <formula>AN107=CléPersonnalisée1</formula>
    </cfRule>
    <cfRule type="expression" dxfId="7957" priority="194" stopIfTrue="1">
      <formula>AN107=CléMaladie</formula>
    </cfRule>
    <cfRule type="expression" dxfId="7956" priority="195" stopIfTrue="1">
      <formula>AN107=CléPersonnelle</formula>
    </cfRule>
    <cfRule type="expression" dxfId="7955" priority="196" stopIfTrue="1">
      <formula>AN107=CléCongés</formula>
    </cfRule>
  </conditionalFormatting>
  <conditionalFormatting sqref="AR107">
    <cfRule type="expression" priority="185" stopIfTrue="1">
      <formula>AR107=""</formula>
    </cfRule>
    <cfRule type="expression" dxfId="7954" priority="186" stopIfTrue="1">
      <formula>AR107=CléPersonnalisée2</formula>
    </cfRule>
    <cfRule type="expression" dxfId="7953" priority="187" stopIfTrue="1">
      <formula>AR107=CléPersonnalisée1</formula>
    </cfRule>
    <cfRule type="expression" dxfId="7952" priority="188" stopIfTrue="1">
      <formula>AR107=CléMaladie</formula>
    </cfRule>
    <cfRule type="expression" dxfId="7951" priority="189" stopIfTrue="1">
      <formula>AR107=CléPersonnelle</formula>
    </cfRule>
    <cfRule type="expression" dxfId="7950" priority="190" stopIfTrue="1">
      <formula>AR107=CléCongés</formula>
    </cfRule>
  </conditionalFormatting>
  <conditionalFormatting sqref="AO107">
    <cfRule type="expression" priority="173" stopIfTrue="1">
      <formula>AO107=""</formula>
    </cfRule>
    <cfRule type="expression" dxfId="7949" priority="174" stopIfTrue="1">
      <formula>AO107=CléPersonnalisée2</formula>
    </cfRule>
    <cfRule type="expression" dxfId="7948" priority="175" stopIfTrue="1">
      <formula>AO107=CléPersonnalisée1</formula>
    </cfRule>
    <cfRule type="expression" dxfId="7947" priority="176" stopIfTrue="1">
      <formula>AO107=CléMaladie</formula>
    </cfRule>
    <cfRule type="expression" dxfId="7946" priority="177" stopIfTrue="1">
      <formula>AO107=CléPersonnelle</formula>
    </cfRule>
    <cfRule type="expression" dxfId="7945" priority="178" stopIfTrue="1">
      <formula>AO107=CléCongés</formula>
    </cfRule>
  </conditionalFormatting>
  <conditionalFormatting sqref="C57:AG59">
    <cfRule type="expression" priority="166" stopIfTrue="1">
      <formula>C57=""</formula>
    </cfRule>
    <cfRule type="expression" dxfId="7944" priority="167" stopIfTrue="1">
      <formula>C57=CléPersonnalisée2</formula>
    </cfRule>
    <cfRule type="expression" dxfId="7943" priority="168" stopIfTrue="1">
      <formula>C57=CléPersonnalisée1</formula>
    </cfRule>
    <cfRule type="expression" dxfId="7942" priority="169" stopIfTrue="1">
      <formula>C57=CléMaladie</formula>
    </cfRule>
    <cfRule type="expression" dxfId="7941" priority="170" stopIfTrue="1">
      <formula>C57=CléPersonnelle</formula>
    </cfRule>
    <cfRule type="expression" dxfId="7940" priority="171" stopIfTrue="1">
      <formula>C57=CléCongés</formula>
    </cfRule>
  </conditionalFormatting>
  <conditionalFormatting sqref="AH59">
    <cfRule type="dataBar" priority="172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{439766CB-2533-44C5-A8D9-03F87A21DEF0}</x14:id>
        </ext>
      </extLst>
    </cfRule>
  </conditionalFormatting>
  <conditionalFormatting sqref="AI59:AL59 AJ57:AL58">
    <cfRule type="expression" priority="160" stopIfTrue="1">
      <formula>AI57=""</formula>
    </cfRule>
    <cfRule type="expression" dxfId="7939" priority="161" stopIfTrue="1">
      <formula>AI57=CléPersonnalisée2</formula>
    </cfRule>
    <cfRule type="expression" dxfId="7938" priority="162" stopIfTrue="1">
      <formula>AI57=CléPersonnalisée1</formula>
    </cfRule>
    <cfRule type="expression" dxfId="7937" priority="163" stopIfTrue="1">
      <formula>AI57=CléMaladie</formula>
    </cfRule>
    <cfRule type="expression" dxfId="7936" priority="164" stopIfTrue="1">
      <formula>AI57=CléPersonnelle</formula>
    </cfRule>
    <cfRule type="expression" dxfId="7935" priority="165" stopIfTrue="1">
      <formula>AI57=CléCongés</formula>
    </cfRule>
  </conditionalFormatting>
  <conditionalFormatting sqref="AM57:AP58">
    <cfRule type="expression" priority="154" stopIfTrue="1">
      <formula>AM57=""</formula>
    </cfRule>
    <cfRule type="expression" dxfId="7934" priority="155" stopIfTrue="1">
      <formula>AM57=CléPersonnalisée2</formula>
    </cfRule>
    <cfRule type="expression" dxfId="7933" priority="156" stopIfTrue="1">
      <formula>AM57=CléPersonnalisée1</formula>
    </cfRule>
    <cfRule type="expression" dxfId="7932" priority="157" stopIfTrue="1">
      <formula>AM57=CléMaladie</formula>
    </cfRule>
    <cfRule type="expression" dxfId="7931" priority="158" stopIfTrue="1">
      <formula>AM57=CléPersonnelle</formula>
    </cfRule>
    <cfRule type="expression" dxfId="7930" priority="159" stopIfTrue="1">
      <formula>AM57=CléCongés</formula>
    </cfRule>
  </conditionalFormatting>
  <conditionalFormatting sqref="AQ57:AR58">
    <cfRule type="expression" priority="148" stopIfTrue="1">
      <formula>AQ57=""</formula>
    </cfRule>
    <cfRule type="expression" dxfId="7929" priority="149" stopIfTrue="1">
      <formula>AQ57=CléPersonnalisée2</formula>
    </cfRule>
    <cfRule type="expression" dxfId="7928" priority="150" stopIfTrue="1">
      <formula>AQ57=CléPersonnalisée1</formula>
    </cfRule>
    <cfRule type="expression" dxfId="7927" priority="151" stopIfTrue="1">
      <formula>AQ57=CléMaladie</formula>
    </cfRule>
    <cfRule type="expression" dxfId="7926" priority="152" stopIfTrue="1">
      <formula>AQ57=CléPersonnelle</formula>
    </cfRule>
    <cfRule type="expression" dxfId="7925" priority="153" stopIfTrue="1">
      <formula>AQ57=CléCongés</formula>
    </cfRule>
  </conditionalFormatting>
  <conditionalFormatting sqref="AM59 AP59">
    <cfRule type="expression" priority="142" stopIfTrue="1">
      <formula>AM59=""</formula>
    </cfRule>
    <cfRule type="expression" dxfId="7924" priority="143" stopIfTrue="1">
      <formula>AM59=CléPersonnalisée2</formula>
    </cfRule>
    <cfRule type="expression" dxfId="7923" priority="144" stopIfTrue="1">
      <formula>AM59=CléPersonnalisée1</formula>
    </cfRule>
    <cfRule type="expression" dxfId="7922" priority="145" stopIfTrue="1">
      <formula>AM59=CléMaladie</formula>
    </cfRule>
    <cfRule type="expression" dxfId="7921" priority="146" stopIfTrue="1">
      <formula>AM59=CléPersonnelle</formula>
    </cfRule>
    <cfRule type="expression" dxfId="7920" priority="147" stopIfTrue="1">
      <formula>AM59=CléCongés</formula>
    </cfRule>
  </conditionalFormatting>
  <conditionalFormatting sqref="AH57:AH58">
    <cfRule type="dataBar" priority="141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{883D014C-ED27-4840-A96C-5A3E9F30316F}</x14:id>
        </ext>
      </extLst>
    </cfRule>
  </conditionalFormatting>
  <conditionalFormatting sqref="AO59">
    <cfRule type="expression" priority="135" stopIfTrue="1">
      <formula>AO59=""</formula>
    </cfRule>
    <cfRule type="expression" dxfId="7919" priority="136" stopIfTrue="1">
      <formula>AO59=CléPersonnalisée2</formula>
    </cfRule>
    <cfRule type="expression" dxfId="7918" priority="137" stopIfTrue="1">
      <formula>AO59=CléPersonnalisée1</formula>
    </cfRule>
    <cfRule type="expression" dxfId="7917" priority="138" stopIfTrue="1">
      <formula>AO59=CléMaladie</formula>
    </cfRule>
    <cfRule type="expression" dxfId="7916" priority="139" stopIfTrue="1">
      <formula>AO59=CléPersonnelle</formula>
    </cfRule>
    <cfRule type="expression" dxfId="7915" priority="140" stopIfTrue="1">
      <formula>AO59=CléCongés</formula>
    </cfRule>
  </conditionalFormatting>
  <conditionalFormatting sqref="AI57:AI58">
    <cfRule type="expression" priority="129" stopIfTrue="1">
      <formula>AI57=""</formula>
    </cfRule>
    <cfRule type="expression" dxfId="7914" priority="130" stopIfTrue="1">
      <formula>AI57=CléPersonnalisée2</formula>
    </cfRule>
    <cfRule type="expression" dxfId="7913" priority="131" stopIfTrue="1">
      <formula>AI57=CléPersonnalisée1</formula>
    </cfRule>
    <cfRule type="expression" dxfId="7912" priority="132" stopIfTrue="1">
      <formula>AI57=CléMaladie</formula>
    </cfRule>
    <cfRule type="expression" dxfId="7911" priority="133" stopIfTrue="1">
      <formula>AI57=CléPersonnelle</formula>
    </cfRule>
    <cfRule type="expression" dxfId="7910" priority="134" stopIfTrue="1">
      <formula>AI57=CléCongés</formula>
    </cfRule>
  </conditionalFormatting>
  <conditionalFormatting sqref="AN59">
    <cfRule type="expression" priority="123" stopIfTrue="1">
      <formula>AN59=""</formula>
    </cfRule>
    <cfRule type="expression" dxfId="7909" priority="124" stopIfTrue="1">
      <formula>AN59=CléPersonnalisée2</formula>
    </cfRule>
    <cfRule type="expression" dxfId="7908" priority="125" stopIfTrue="1">
      <formula>AN59=CléPersonnalisée1</formula>
    </cfRule>
    <cfRule type="expression" dxfId="7907" priority="126" stopIfTrue="1">
      <formula>AN59=CléMaladie</formula>
    </cfRule>
    <cfRule type="expression" dxfId="7906" priority="127" stopIfTrue="1">
      <formula>AN59=CléPersonnelle</formula>
    </cfRule>
    <cfRule type="expression" dxfId="7905" priority="128" stopIfTrue="1">
      <formula>AN59=CléCongés</formula>
    </cfRule>
  </conditionalFormatting>
  <conditionalFormatting sqref="AR59">
    <cfRule type="expression" priority="117" stopIfTrue="1">
      <formula>AR59=""</formula>
    </cfRule>
    <cfRule type="expression" dxfId="7904" priority="118" stopIfTrue="1">
      <formula>AR59=CléPersonnalisée2</formula>
    </cfRule>
    <cfRule type="expression" dxfId="7903" priority="119" stopIfTrue="1">
      <formula>AR59=CléPersonnalisée1</formula>
    </cfRule>
    <cfRule type="expression" dxfId="7902" priority="120" stopIfTrue="1">
      <formula>AR59=CléMaladie</formula>
    </cfRule>
    <cfRule type="expression" dxfId="7901" priority="121" stopIfTrue="1">
      <formula>AR59=CléPersonnelle</formula>
    </cfRule>
    <cfRule type="expression" dxfId="7900" priority="122" stopIfTrue="1">
      <formula>AR59=CléCongés</formula>
    </cfRule>
  </conditionalFormatting>
  <conditionalFormatting sqref="AQ59">
    <cfRule type="expression" priority="111" stopIfTrue="1">
      <formula>AQ59=""</formula>
    </cfRule>
    <cfRule type="expression" dxfId="7899" priority="112" stopIfTrue="1">
      <formula>AQ59=CléPersonnalisée2</formula>
    </cfRule>
    <cfRule type="expression" dxfId="7898" priority="113" stopIfTrue="1">
      <formula>AQ59=CléPersonnalisée1</formula>
    </cfRule>
    <cfRule type="expression" dxfId="7897" priority="114" stopIfTrue="1">
      <formula>AQ59=CléMaladie</formula>
    </cfRule>
    <cfRule type="expression" dxfId="7896" priority="115" stopIfTrue="1">
      <formula>AQ59=CléPersonnelle</formula>
    </cfRule>
    <cfRule type="expression" dxfId="7895" priority="116" stopIfTrue="1">
      <formula>AQ59=CléCongés</formula>
    </cfRule>
  </conditionalFormatting>
  <conditionalFormatting sqref="AQ79">
    <cfRule type="expression" priority="61" stopIfTrue="1">
      <formula>AQ79=""</formula>
    </cfRule>
    <cfRule type="expression" dxfId="7894" priority="62" stopIfTrue="1">
      <formula>AQ79=CléPersonnalisée2</formula>
    </cfRule>
    <cfRule type="expression" dxfId="7893" priority="63" stopIfTrue="1">
      <formula>AQ79=CléPersonnalisée1</formula>
    </cfRule>
    <cfRule type="expression" dxfId="7892" priority="64" stopIfTrue="1">
      <formula>AQ79=CléMaladie</formula>
    </cfRule>
    <cfRule type="expression" dxfId="7891" priority="65" stopIfTrue="1">
      <formula>AQ79=CléPersonnelle</formula>
    </cfRule>
    <cfRule type="expression" dxfId="7890" priority="66" stopIfTrue="1">
      <formula>AQ79=CléCongés</formula>
    </cfRule>
  </conditionalFormatting>
  <conditionalFormatting sqref="C77:AG79">
    <cfRule type="expression" priority="104" stopIfTrue="1">
      <formula>C77=""</formula>
    </cfRule>
    <cfRule type="expression" dxfId="7889" priority="105" stopIfTrue="1">
      <formula>C77=CléPersonnalisée2</formula>
    </cfRule>
    <cfRule type="expression" dxfId="7888" priority="106" stopIfTrue="1">
      <formula>C77=CléPersonnalisée1</formula>
    </cfRule>
    <cfRule type="expression" dxfId="7887" priority="107" stopIfTrue="1">
      <formula>C77=CléMaladie</formula>
    </cfRule>
    <cfRule type="expression" dxfId="7886" priority="108" stopIfTrue="1">
      <formula>C77=CléPersonnelle</formula>
    </cfRule>
    <cfRule type="expression" dxfId="7885" priority="109" stopIfTrue="1">
      <formula>C77=CléCongés</formula>
    </cfRule>
  </conditionalFormatting>
  <conditionalFormatting sqref="AH79">
    <cfRule type="dataBar" priority="110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{4073E92D-4604-42E5-AE41-A2284D8108D4}</x14:id>
        </ext>
      </extLst>
    </cfRule>
  </conditionalFormatting>
  <conditionalFormatting sqref="AI79:AL79 AJ77:AL78">
    <cfRule type="expression" priority="98" stopIfTrue="1">
      <formula>AI77=""</formula>
    </cfRule>
    <cfRule type="expression" dxfId="7884" priority="99" stopIfTrue="1">
      <formula>AI77=CléPersonnalisée2</formula>
    </cfRule>
    <cfRule type="expression" dxfId="7883" priority="100" stopIfTrue="1">
      <formula>AI77=CléPersonnalisée1</formula>
    </cfRule>
    <cfRule type="expression" dxfId="7882" priority="101" stopIfTrue="1">
      <formula>AI77=CléMaladie</formula>
    </cfRule>
    <cfRule type="expression" dxfId="7881" priority="102" stopIfTrue="1">
      <formula>AI77=CléPersonnelle</formula>
    </cfRule>
    <cfRule type="expression" dxfId="7880" priority="103" stopIfTrue="1">
      <formula>AI77=CléCongés</formula>
    </cfRule>
  </conditionalFormatting>
  <conditionalFormatting sqref="AM77:AP78">
    <cfRule type="expression" priority="92" stopIfTrue="1">
      <formula>AM77=""</formula>
    </cfRule>
    <cfRule type="expression" dxfId="7879" priority="93" stopIfTrue="1">
      <formula>AM77=CléPersonnalisée2</formula>
    </cfRule>
    <cfRule type="expression" dxfId="7878" priority="94" stopIfTrue="1">
      <formula>AM77=CléPersonnalisée1</formula>
    </cfRule>
    <cfRule type="expression" dxfId="7877" priority="95" stopIfTrue="1">
      <formula>AM77=CléMaladie</formula>
    </cfRule>
    <cfRule type="expression" dxfId="7876" priority="96" stopIfTrue="1">
      <formula>AM77=CléPersonnelle</formula>
    </cfRule>
    <cfRule type="expression" dxfId="7875" priority="97" stopIfTrue="1">
      <formula>AM77=CléCongés</formula>
    </cfRule>
  </conditionalFormatting>
  <conditionalFormatting sqref="AQ77:AR78">
    <cfRule type="expression" priority="86" stopIfTrue="1">
      <formula>AQ77=""</formula>
    </cfRule>
    <cfRule type="expression" dxfId="7874" priority="87" stopIfTrue="1">
      <formula>AQ77=CléPersonnalisée2</formula>
    </cfRule>
    <cfRule type="expression" dxfId="7873" priority="88" stopIfTrue="1">
      <formula>AQ77=CléPersonnalisée1</formula>
    </cfRule>
    <cfRule type="expression" dxfId="7872" priority="89" stopIfTrue="1">
      <formula>AQ77=CléMaladie</formula>
    </cfRule>
    <cfRule type="expression" dxfId="7871" priority="90" stopIfTrue="1">
      <formula>AQ77=CléPersonnelle</formula>
    </cfRule>
    <cfRule type="expression" dxfId="7870" priority="91" stopIfTrue="1">
      <formula>AQ77=CléCongés</formula>
    </cfRule>
  </conditionalFormatting>
  <conditionalFormatting sqref="AM79 AP79">
    <cfRule type="expression" priority="80" stopIfTrue="1">
      <formula>AM79=""</formula>
    </cfRule>
    <cfRule type="expression" dxfId="7869" priority="81" stopIfTrue="1">
      <formula>AM79=CléPersonnalisée2</formula>
    </cfRule>
    <cfRule type="expression" dxfId="7868" priority="82" stopIfTrue="1">
      <formula>AM79=CléPersonnalisée1</formula>
    </cfRule>
    <cfRule type="expression" dxfId="7867" priority="83" stopIfTrue="1">
      <formula>AM79=CléMaladie</formula>
    </cfRule>
    <cfRule type="expression" dxfId="7866" priority="84" stopIfTrue="1">
      <formula>AM79=CléPersonnelle</formula>
    </cfRule>
    <cfRule type="expression" dxfId="7865" priority="85" stopIfTrue="1">
      <formula>AM79=CléCongés</formula>
    </cfRule>
  </conditionalFormatting>
  <conditionalFormatting sqref="AH77:AH78">
    <cfRule type="dataBar" priority="79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{F06EB080-8727-420E-AC3F-B489156D809F}</x14:id>
        </ext>
      </extLst>
    </cfRule>
  </conditionalFormatting>
  <conditionalFormatting sqref="AI77:AI78">
    <cfRule type="expression" priority="73" stopIfTrue="1">
      <formula>AI77=""</formula>
    </cfRule>
    <cfRule type="expression" dxfId="7864" priority="74" stopIfTrue="1">
      <formula>AI77=CléPersonnalisée2</formula>
    </cfRule>
    <cfRule type="expression" dxfId="7863" priority="75" stopIfTrue="1">
      <formula>AI77=CléPersonnalisée1</formula>
    </cfRule>
    <cfRule type="expression" dxfId="7862" priority="76" stopIfTrue="1">
      <formula>AI77=CléMaladie</formula>
    </cfRule>
    <cfRule type="expression" dxfId="7861" priority="77" stopIfTrue="1">
      <formula>AI77=CléPersonnelle</formula>
    </cfRule>
    <cfRule type="expression" dxfId="7860" priority="78" stopIfTrue="1">
      <formula>AI77=CléCongés</formula>
    </cfRule>
  </conditionalFormatting>
  <conditionalFormatting sqref="AR79">
    <cfRule type="expression" priority="67" stopIfTrue="1">
      <formula>AR79=""</formula>
    </cfRule>
    <cfRule type="expression" dxfId="7859" priority="68" stopIfTrue="1">
      <formula>AR79=CléPersonnalisée2</formula>
    </cfRule>
    <cfRule type="expression" dxfId="7858" priority="69" stopIfTrue="1">
      <formula>AR79=CléPersonnalisée1</formula>
    </cfRule>
    <cfRule type="expression" dxfId="7857" priority="70" stopIfTrue="1">
      <formula>AR79=CléMaladie</formula>
    </cfRule>
    <cfRule type="expression" dxfId="7856" priority="71" stopIfTrue="1">
      <formula>AR79=CléPersonnelle</formula>
    </cfRule>
    <cfRule type="expression" dxfId="7855" priority="72" stopIfTrue="1">
      <formula>AR79=CléCongés</formula>
    </cfRule>
  </conditionalFormatting>
  <conditionalFormatting sqref="AO79">
    <cfRule type="expression" priority="55" stopIfTrue="1">
      <formula>AO79=""</formula>
    </cfRule>
    <cfRule type="expression" dxfId="7854" priority="56" stopIfTrue="1">
      <formula>AO79=CléPersonnalisée2</formula>
    </cfRule>
    <cfRule type="expression" dxfId="7853" priority="57" stopIfTrue="1">
      <formula>AO79=CléPersonnalisée1</formula>
    </cfRule>
    <cfRule type="expression" dxfId="7852" priority="58" stopIfTrue="1">
      <formula>AO79=CléMaladie</formula>
    </cfRule>
    <cfRule type="expression" dxfId="7851" priority="59" stopIfTrue="1">
      <formula>AO79=CléPersonnelle</formula>
    </cfRule>
    <cfRule type="expression" dxfId="7850" priority="60" stopIfTrue="1">
      <formula>AO79=CléCongés</formula>
    </cfRule>
  </conditionalFormatting>
  <conditionalFormatting sqref="AN79">
    <cfRule type="expression" priority="49" stopIfTrue="1">
      <formula>AN79=""</formula>
    </cfRule>
    <cfRule type="expression" dxfId="7849" priority="50" stopIfTrue="1">
      <formula>AN79=CléPersonnalisée2</formula>
    </cfRule>
    <cfRule type="expression" dxfId="7848" priority="51" stopIfTrue="1">
      <formula>AN79=CléPersonnalisée1</formula>
    </cfRule>
    <cfRule type="expression" dxfId="7847" priority="52" stopIfTrue="1">
      <formula>AN79=CléMaladie</formula>
    </cfRule>
    <cfRule type="expression" dxfId="7846" priority="53" stopIfTrue="1">
      <formula>AN79=CléPersonnelle</formula>
    </cfRule>
    <cfRule type="expression" dxfId="7845" priority="54" stopIfTrue="1">
      <formula>AN79=CléCongés</formula>
    </cfRule>
  </conditionalFormatting>
  <conditionalFormatting sqref="AM95">
    <cfRule type="expression" priority="43" stopIfTrue="1">
      <formula>AM95=""</formula>
    </cfRule>
    <cfRule type="expression" dxfId="7844" priority="44" stopIfTrue="1">
      <formula>AM95=CléPersonnalisée2</formula>
    </cfRule>
    <cfRule type="expression" dxfId="7843" priority="45" stopIfTrue="1">
      <formula>AM95=CléPersonnalisée1</formula>
    </cfRule>
    <cfRule type="expression" dxfId="7842" priority="46" stopIfTrue="1">
      <formula>AM95=CléMaladie</formula>
    </cfRule>
    <cfRule type="expression" dxfId="7841" priority="47" stopIfTrue="1">
      <formula>AM95=CléPersonnelle</formula>
    </cfRule>
    <cfRule type="expression" dxfId="7840" priority="48" stopIfTrue="1">
      <formula>AM95=CléCongés</formula>
    </cfRule>
  </conditionalFormatting>
  <conditionalFormatting sqref="AM97:AP98">
    <cfRule type="expression" priority="37" stopIfTrue="1">
      <formula>AM97=""</formula>
    </cfRule>
    <cfRule type="expression" dxfId="7839" priority="38" stopIfTrue="1">
      <formula>AM97=CléPersonnalisée2</formula>
    </cfRule>
    <cfRule type="expression" dxfId="7838" priority="39" stopIfTrue="1">
      <formula>AM97=CléPersonnalisée1</formula>
    </cfRule>
    <cfRule type="expression" dxfId="7837" priority="40" stopIfTrue="1">
      <formula>AM97=CléMaladie</formula>
    </cfRule>
    <cfRule type="expression" dxfId="7836" priority="41" stopIfTrue="1">
      <formula>AM97=CléPersonnelle</formula>
    </cfRule>
    <cfRule type="expression" dxfId="7835" priority="42" stopIfTrue="1">
      <formula>AM97=CléCongés</formula>
    </cfRule>
  </conditionalFormatting>
  <conditionalFormatting sqref="AQ97:AR98">
    <cfRule type="expression" priority="31" stopIfTrue="1">
      <formula>AQ97=""</formula>
    </cfRule>
    <cfRule type="expression" dxfId="7834" priority="32" stopIfTrue="1">
      <formula>AQ97=CléPersonnalisée2</formula>
    </cfRule>
    <cfRule type="expression" dxfId="7833" priority="33" stopIfTrue="1">
      <formula>AQ97=CléPersonnalisée1</formula>
    </cfRule>
    <cfRule type="expression" dxfId="7832" priority="34" stopIfTrue="1">
      <formula>AQ97=CléMaladie</formula>
    </cfRule>
    <cfRule type="expression" dxfId="7831" priority="35" stopIfTrue="1">
      <formula>AQ97=CléPersonnelle</formula>
    </cfRule>
    <cfRule type="expression" dxfId="7830" priority="36" stopIfTrue="1">
      <formula>AQ97=CléCongés</formula>
    </cfRule>
  </conditionalFormatting>
  <conditionalFormatting sqref="AM101:AP102">
    <cfRule type="expression" priority="25" stopIfTrue="1">
      <formula>AM101=""</formula>
    </cfRule>
    <cfRule type="expression" dxfId="7829" priority="26" stopIfTrue="1">
      <formula>AM101=CléPersonnalisée2</formula>
    </cfRule>
    <cfRule type="expression" dxfId="7828" priority="27" stopIfTrue="1">
      <formula>AM101=CléPersonnalisée1</formula>
    </cfRule>
    <cfRule type="expression" dxfId="7827" priority="28" stopIfTrue="1">
      <formula>AM101=CléMaladie</formula>
    </cfRule>
    <cfRule type="expression" dxfId="7826" priority="29" stopIfTrue="1">
      <formula>AM101=CléPersonnelle</formula>
    </cfRule>
    <cfRule type="expression" dxfId="7825" priority="30" stopIfTrue="1">
      <formula>AM101=CléCongés</formula>
    </cfRule>
  </conditionalFormatting>
  <conditionalFormatting sqref="AQ101:AR102">
    <cfRule type="expression" priority="19" stopIfTrue="1">
      <formula>AQ101=""</formula>
    </cfRule>
    <cfRule type="expression" dxfId="7824" priority="20" stopIfTrue="1">
      <formula>AQ101=CléPersonnalisée2</formula>
    </cfRule>
    <cfRule type="expression" dxfId="7823" priority="21" stopIfTrue="1">
      <formula>AQ101=CléPersonnalisée1</formula>
    </cfRule>
    <cfRule type="expression" dxfId="7822" priority="22" stopIfTrue="1">
      <formula>AQ101=CléMaladie</formula>
    </cfRule>
    <cfRule type="expression" dxfId="7821" priority="23" stopIfTrue="1">
      <formula>AQ101=CléPersonnelle</formula>
    </cfRule>
    <cfRule type="expression" dxfId="7820" priority="24" stopIfTrue="1">
      <formula>AQ101=CléCongés</formula>
    </cfRule>
  </conditionalFormatting>
  <conditionalFormatting sqref="AS13 AS17 AS21 AS25 AS29 AS33 AS37 AS41 AS45 AS49 AS53 AS57 AS61 AS65 AS69 AS73 AS77 AS81 AS85 AS89 AS93 AS97 AS101 AS105 AS109 AS113 AS117 AS121">
    <cfRule type="expression" priority="13" stopIfTrue="1">
      <formula>AS13=""</formula>
    </cfRule>
    <cfRule type="expression" dxfId="69" priority="14" stopIfTrue="1">
      <formula>AS13=CléPersonnalisée2</formula>
    </cfRule>
    <cfRule type="expression" dxfId="68" priority="15" stopIfTrue="1">
      <formula>AS13=CléPersonnalisée1</formula>
    </cfRule>
    <cfRule type="expression" dxfId="67" priority="16" stopIfTrue="1">
      <formula>AS13=CléMaladie</formula>
    </cfRule>
    <cfRule type="expression" dxfId="66" priority="17" stopIfTrue="1">
      <formula>AS13=CléPersonnelle</formula>
    </cfRule>
    <cfRule type="expression" dxfId="65" priority="18" stopIfTrue="1">
      <formula>AS13=CléCongés</formula>
    </cfRule>
  </conditionalFormatting>
  <conditionalFormatting sqref="AS9">
    <cfRule type="expression" priority="7" stopIfTrue="1">
      <formula>AS9=""</formula>
    </cfRule>
    <cfRule type="expression" dxfId="64" priority="8" stopIfTrue="1">
      <formula>AS9=CléPersonnalisée2</formula>
    </cfRule>
    <cfRule type="expression" dxfId="63" priority="9" stopIfTrue="1">
      <formula>AS9=CléPersonnalisée1</formula>
    </cfRule>
    <cfRule type="expression" dxfId="62" priority="10" stopIfTrue="1">
      <formula>AS9=CléMaladie</formula>
    </cfRule>
    <cfRule type="expression" dxfId="61" priority="11" stopIfTrue="1">
      <formula>AS9=CléPersonnelle</formula>
    </cfRule>
    <cfRule type="expression" dxfId="60" priority="12" stopIfTrue="1">
      <formula>AS9=CléCongés</formula>
    </cfRule>
  </conditionalFormatting>
  <conditionalFormatting sqref="AS5">
    <cfRule type="expression" priority="1" stopIfTrue="1">
      <formula>AS5=""</formula>
    </cfRule>
    <cfRule type="expression" dxfId="59" priority="2" stopIfTrue="1">
      <formula>AS5=CléPersonnalisée2</formula>
    </cfRule>
    <cfRule type="expression" dxfId="58" priority="3" stopIfTrue="1">
      <formula>AS5=CléPersonnalisée1</formula>
    </cfRule>
    <cfRule type="expression" dxfId="57" priority="4" stopIfTrue="1">
      <formula>AS5=CléMaladie</formula>
    </cfRule>
    <cfRule type="expression" dxfId="56" priority="5" stopIfTrue="1">
      <formula>AS5=CléPersonnelle</formula>
    </cfRule>
    <cfRule type="expression" dxfId="55" priority="6" stopIfTrue="1">
      <formula>AS5=CléCongés</formula>
    </cfRule>
  </conditionalFormatting>
  <printOptions horizontalCentered="1"/>
  <pageMargins left="0.25" right="0.25" top="0.75" bottom="0.75" header="0.3" footer="0.3"/>
  <pageSetup scale="56" fitToHeight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17B9B21-D63D-40CB-A73C-2BA18CA861F2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AH5:AH6 AH9:AH11</xm:sqref>
        </x14:conditionalFormatting>
        <x14:conditionalFormatting xmlns:xm="http://schemas.microsoft.com/office/excel/2006/main">
          <x14:cfRule type="dataBar" id="{49E4357C-1D35-4EF0-86A8-DF00F1EBC870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AH27</xm:sqref>
        </x14:conditionalFormatting>
        <x14:conditionalFormatting xmlns:xm="http://schemas.microsoft.com/office/excel/2006/main">
          <x14:cfRule type="dataBar" id="{A1938AB9-67C9-43BC-AB63-56D82516949A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AH31</xm:sqref>
        </x14:conditionalFormatting>
        <x14:conditionalFormatting xmlns:xm="http://schemas.microsoft.com/office/excel/2006/main">
          <x14:cfRule type="dataBar" id="{39CEABBC-836F-4CA2-A53A-A4EDE85F827F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AH35</xm:sqref>
        </x14:conditionalFormatting>
        <x14:conditionalFormatting xmlns:xm="http://schemas.microsoft.com/office/excel/2006/main">
          <x14:cfRule type="dataBar" id="{2910DE02-381E-416E-ABF4-FBD8EE60D63B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AH39</xm:sqref>
        </x14:conditionalFormatting>
        <x14:conditionalFormatting xmlns:xm="http://schemas.microsoft.com/office/excel/2006/main">
          <x14:cfRule type="dataBar" id="{B591289F-F391-4A97-80B5-EA2081CED152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AH43</xm:sqref>
        </x14:conditionalFormatting>
        <x14:conditionalFormatting xmlns:xm="http://schemas.microsoft.com/office/excel/2006/main">
          <x14:cfRule type="dataBar" id="{066CEBB6-DAFD-4922-984D-0946A938E342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AH47</xm:sqref>
        </x14:conditionalFormatting>
        <x14:conditionalFormatting xmlns:xm="http://schemas.microsoft.com/office/excel/2006/main">
          <x14:cfRule type="dataBar" id="{6A0A3DF5-6D7A-4000-AC7A-F661A5346456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AH51</xm:sqref>
        </x14:conditionalFormatting>
        <x14:conditionalFormatting xmlns:xm="http://schemas.microsoft.com/office/excel/2006/main">
          <x14:cfRule type="dataBar" id="{3F1CAD35-9A2A-4ECF-BC12-CE0AD4756D44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AH55</xm:sqref>
        </x14:conditionalFormatting>
        <x14:conditionalFormatting xmlns:xm="http://schemas.microsoft.com/office/excel/2006/main">
          <x14:cfRule type="dataBar" id="{2BD61C06-B08A-4772-B759-07C24F012EDE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AH63</xm:sqref>
        </x14:conditionalFormatting>
        <x14:conditionalFormatting xmlns:xm="http://schemas.microsoft.com/office/excel/2006/main">
          <x14:cfRule type="dataBar" id="{59D8CFAB-1E1C-4E9D-92C4-7CB54842703D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AH71</xm:sqref>
        </x14:conditionalFormatting>
        <x14:conditionalFormatting xmlns:xm="http://schemas.microsoft.com/office/excel/2006/main">
          <x14:cfRule type="dataBar" id="{F741D311-14B5-435F-A568-B53804FEF426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AH19</xm:sqref>
        </x14:conditionalFormatting>
        <x14:conditionalFormatting xmlns:xm="http://schemas.microsoft.com/office/excel/2006/main">
          <x14:cfRule type="dataBar" id="{8C1A3B4E-EDAF-41FE-838B-7913D31E6D86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AH23</xm:sqref>
        </x14:conditionalFormatting>
        <x14:conditionalFormatting xmlns:xm="http://schemas.microsoft.com/office/excel/2006/main">
          <x14:cfRule type="dataBar" id="{D6C9B9A4-EC77-457F-A657-F06EBC88603A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AH17:AH18</xm:sqref>
        </x14:conditionalFormatting>
        <x14:conditionalFormatting xmlns:xm="http://schemas.microsoft.com/office/excel/2006/main">
          <x14:cfRule type="dataBar" id="{7D3BB87D-B623-49A2-A72C-E4558EBE3E42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AH21:AH22</xm:sqref>
        </x14:conditionalFormatting>
        <x14:conditionalFormatting xmlns:xm="http://schemas.microsoft.com/office/excel/2006/main">
          <x14:cfRule type="dataBar" id="{AC182E4B-CDFC-4611-81AE-893A18FE4BB6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AH25:AH26</xm:sqref>
        </x14:conditionalFormatting>
        <x14:conditionalFormatting xmlns:xm="http://schemas.microsoft.com/office/excel/2006/main">
          <x14:cfRule type="dataBar" id="{C18B82CF-1F4C-423C-9167-2EBDDC5187A8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AH29:AH30</xm:sqref>
        </x14:conditionalFormatting>
        <x14:conditionalFormatting xmlns:xm="http://schemas.microsoft.com/office/excel/2006/main">
          <x14:cfRule type="dataBar" id="{4A29624D-AF68-4C8A-B46C-EE34BD1E532B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AH33:AH34</xm:sqref>
        </x14:conditionalFormatting>
        <x14:conditionalFormatting xmlns:xm="http://schemas.microsoft.com/office/excel/2006/main">
          <x14:cfRule type="dataBar" id="{FF32C6BE-6E74-4EBC-9115-339DBA9BCFCB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AH37:AH38</xm:sqref>
        </x14:conditionalFormatting>
        <x14:conditionalFormatting xmlns:xm="http://schemas.microsoft.com/office/excel/2006/main">
          <x14:cfRule type="dataBar" id="{6D5ABAC4-8693-4E73-BB7C-F5B3D98C479B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AH41:AH42</xm:sqref>
        </x14:conditionalFormatting>
        <x14:conditionalFormatting xmlns:xm="http://schemas.microsoft.com/office/excel/2006/main">
          <x14:cfRule type="dataBar" id="{3112957B-AB3E-49A3-8BB5-1B309603F4C9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AH45:AH46</xm:sqref>
        </x14:conditionalFormatting>
        <x14:conditionalFormatting xmlns:xm="http://schemas.microsoft.com/office/excel/2006/main">
          <x14:cfRule type="dataBar" id="{ADBDAC68-F535-4B4C-8275-9942FD0D80AE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AH49:AH50</xm:sqref>
        </x14:conditionalFormatting>
        <x14:conditionalFormatting xmlns:xm="http://schemas.microsoft.com/office/excel/2006/main">
          <x14:cfRule type="dataBar" id="{070775BF-6380-486D-A68D-1ED4614689BC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AH53:AH54</xm:sqref>
        </x14:conditionalFormatting>
        <x14:conditionalFormatting xmlns:xm="http://schemas.microsoft.com/office/excel/2006/main">
          <x14:cfRule type="dataBar" id="{E5971BB5-A6B5-4AFA-951D-232FDE924C71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AH61:AH62</xm:sqref>
        </x14:conditionalFormatting>
        <x14:conditionalFormatting xmlns:xm="http://schemas.microsoft.com/office/excel/2006/main">
          <x14:cfRule type="dataBar" id="{72FD3DA3-D79C-44DD-9437-AAB225C933AD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AH69:AH70</xm:sqref>
        </x14:conditionalFormatting>
        <x14:conditionalFormatting xmlns:xm="http://schemas.microsoft.com/office/excel/2006/main">
          <x14:cfRule type="dataBar" id="{C4CD1A8E-6FF5-4D60-860B-14E5AA2790E4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AH7</xm:sqref>
        </x14:conditionalFormatting>
        <x14:conditionalFormatting xmlns:xm="http://schemas.microsoft.com/office/excel/2006/main">
          <x14:cfRule type="dataBar" id="{3C5C61A2-0B49-4BFD-8EC7-13C82E3B3F7E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AH67</xm:sqref>
        </x14:conditionalFormatting>
        <x14:conditionalFormatting xmlns:xm="http://schemas.microsoft.com/office/excel/2006/main">
          <x14:cfRule type="dataBar" id="{B92F286D-751D-49ED-85A5-71614944AD2E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AH65:AH66</xm:sqref>
        </x14:conditionalFormatting>
        <x14:conditionalFormatting xmlns:xm="http://schemas.microsoft.com/office/excel/2006/main">
          <x14:cfRule type="dataBar" id="{891259B8-BBCB-407A-AB0A-78817E26B893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AH75</xm:sqref>
        </x14:conditionalFormatting>
        <x14:conditionalFormatting xmlns:xm="http://schemas.microsoft.com/office/excel/2006/main">
          <x14:cfRule type="dataBar" id="{B23D7064-2E5B-4FEE-B36E-21D82232B56F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AH73:AH74</xm:sqref>
        </x14:conditionalFormatting>
        <x14:conditionalFormatting xmlns:xm="http://schemas.microsoft.com/office/excel/2006/main">
          <x14:cfRule type="dataBar" id="{35B92B6B-4302-4372-92DF-93E7FAE1E2A7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AH83</xm:sqref>
        </x14:conditionalFormatting>
        <x14:conditionalFormatting xmlns:xm="http://schemas.microsoft.com/office/excel/2006/main">
          <x14:cfRule type="dataBar" id="{E0C7D26F-DC85-491B-97A6-218692872F0E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AH81:AH82</xm:sqref>
        </x14:conditionalFormatting>
        <x14:conditionalFormatting xmlns:xm="http://schemas.microsoft.com/office/excel/2006/main">
          <x14:cfRule type="dataBar" id="{B0262CA3-6F43-422A-8303-94208EB80757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AH87</xm:sqref>
        </x14:conditionalFormatting>
        <x14:conditionalFormatting xmlns:xm="http://schemas.microsoft.com/office/excel/2006/main">
          <x14:cfRule type="dataBar" id="{41C1EFC7-39C0-45CE-B5A7-26B6F6626BDF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AH85:AH86</xm:sqref>
        </x14:conditionalFormatting>
        <x14:conditionalFormatting xmlns:xm="http://schemas.microsoft.com/office/excel/2006/main">
          <x14:cfRule type="dataBar" id="{4C856F34-9629-4F15-8F1C-57F1A9F7B4C4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AH91</xm:sqref>
        </x14:conditionalFormatting>
        <x14:conditionalFormatting xmlns:xm="http://schemas.microsoft.com/office/excel/2006/main">
          <x14:cfRule type="dataBar" id="{32D179C4-FD6D-4167-83ED-A7F5E97E6CE7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AH89:AH90</xm:sqref>
        </x14:conditionalFormatting>
        <x14:conditionalFormatting xmlns:xm="http://schemas.microsoft.com/office/excel/2006/main">
          <x14:cfRule type="dataBar" id="{BFC9EAD0-E5C5-4B6B-9B7B-D138E72D2A49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AH101:AH103 AH95 AH97:AH99</xm:sqref>
        </x14:conditionalFormatting>
        <x14:conditionalFormatting xmlns:xm="http://schemas.microsoft.com/office/excel/2006/main">
          <x14:cfRule type="dataBar" id="{E13962E4-85EF-46D1-80B4-5F8E0E21EED0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AH93:AH94</xm:sqref>
        </x14:conditionalFormatting>
        <x14:conditionalFormatting xmlns:xm="http://schemas.microsoft.com/office/excel/2006/main">
          <x14:cfRule type="dataBar" id="{1205E849-A84A-40AF-99BD-B5C54EC3DC03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AH111</xm:sqref>
        </x14:conditionalFormatting>
        <x14:conditionalFormatting xmlns:xm="http://schemas.microsoft.com/office/excel/2006/main">
          <x14:cfRule type="dataBar" id="{1CEE39B5-BBE5-497D-BE74-1E017B8760CB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AH109:AH110</xm:sqref>
        </x14:conditionalFormatting>
        <x14:conditionalFormatting xmlns:xm="http://schemas.microsoft.com/office/excel/2006/main">
          <x14:cfRule type="dataBar" id="{03B6D587-7B66-42F9-866E-49E8986AA7BF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AH123</xm:sqref>
        </x14:conditionalFormatting>
        <x14:conditionalFormatting xmlns:xm="http://schemas.microsoft.com/office/excel/2006/main">
          <x14:cfRule type="dataBar" id="{F9297906-7680-4C4C-98A7-BC892BABDE7A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AH121:AH122</xm:sqref>
        </x14:conditionalFormatting>
        <x14:conditionalFormatting xmlns:xm="http://schemas.microsoft.com/office/excel/2006/main">
          <x14:cfRule type="dataBar" id="{AD14D8C9-5610-4DC5-89DF-E7348DC5516D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AH115</xm:sqref>
        </x14:conditionalFormatting>
        <x14:conditionalFormatting xmlns:xm="http://schemas.microsoft.com/office/excel/2006/main">
          <x14:cfRule type="dataBar" id="{B907130F-4CC0-4AFA-A37D-807F375445AA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AH113:AH114</xm:sqref>
        </x14:conditionalFormatting>
        <x14:conditionalFormatting xmlns:xm="http://schemas.microsoft.com/office/excel/2006/main">
          <x14:cfRule type="dataBar" id="{8FAE4D8E-B4BF-4853-8741-154A5B1E3910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AH15</xm:sqref>
        </x14:conditionalFormatting>
        <x14:conditionalFormatting xmlns:xm="http://schemas.microsoft.com/office/excel/2006/main">
          <x14:cfRule type="dataBar" id="{AD05F196-D777-477A-9CED-B87D59D45B3F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AH13:AH14</xm:sqref>
        </x14:conditionalFormatting>
        <x14:conditionalFormatting xmlns:xm="http://schemas.microsoft.com/office/excel/2006/main">
          <x14:cfRule type="dataBar" id="{3B87EA28-03AD-4FDD-812A-8A7BD6ECA018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AH119</xm:sqref>
        </x14:conditionalFormatting>
        <x14:conditionalFormatting xmlns:xm="http://schemas.microsoft.com/office/excel/2006/main">
          <x14:cfRule type="dataBar" id="{F8250CFE-2150-4039-8E57-ACDD0FE5FC17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AH117:AH118</xm:sqref>
        </x14:conditionalFormatting>
        <x14:conditionalFormatting xmlns:xm="http://schemas.microsoft.com/office/excel/2006/main">
          <x14:cfRule type="dataBar" id="{2224D7BA-75CB-43C8-B5A2-95F81B0053BC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AH107</xm:sqref>
        </x14:conditionalFormatting>
        <x14:conditionalFormatting xmlns:xm="http://schemas.microsoft.com/office/excel/2006/main">
          <x14:cfRule type="dataBar" id="{E0E28E3C-6013-4B2B-9FDB-C3779B7C9924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AH105:AH106</xm:sqref>
        </x14:conditionalFormatting>
        <x14:conditionalFormatting xmlns:xm="http://schemas.microsoft.com/office/excel/2006/main">
          <x14:cfRule type="dataBar" id="{439766CB-2533-44C5-A8D9-03F87A21DEF0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AH59</xm:sqref>
        </x14:conditionalFormatting>
        <x14:conditionalFormatting xmlns:xm="http://schemas.microsoft.com/office/excel/2006/main">
          <x14:cfRule type="dataBar" id="{883D014C-ED27-4840-A96C-5A3E9F30316F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AH57:AH58</xm:sqref>
        </x14:conditionalFormatting>
        <x14:conditionalFormatting xmlns:xm="http://schemas.microsoft.com/office/excel/2006/main">
          <x14:cfRule type="dataBar" id="{4073E92D-4604-42E5-AE41-A2284D8108D4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AH79</xm:sqref>
        </x14:conditionalFormatting>
        <x14:conditionalFormatting xmlns:xm="http://schemas.microsoft.com/office/excel/2006/main">
          <x14:cfRule type="dataBar" id="{F06EB080-8727-420E-AC3F-B489156D809F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AH77:AH78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2" tint="-0.89999084444715716"/>
    <pageSetUpPr fitToPage="1"/>
  </sheetPr>
  <dimension ref="A1:AS1514"/>
  <sheetViews>
    <sheetView showGridLines="0" topLeftCell="J1" zoomScale="98" zoomScaleNormal="98" workbookViewId="0">
      <selection activeCell="AS7" sqref="AS7"/>
    </sheetView>
  </sheetViews>
  <sheetFormatPr baseColWidth="10" defaultColWidth="9.140625" defaultRowHeight="15" customHeight="1" x14ac:dyDescent="0.25"/>
  <cols>
    <col min="1" max="1" width="24.28515625" style="96" customWidth="1"/>
    <col min="2" max="2" width="6" style="96" customWidth="1"/>
    <col min="3" max="3" width="4.42578125" style="93" customWidth="1"/>
    <col min="4" max="22" width="4" style="93" customWidth="1"/>
    <col min="23" max="23" width="4.42578125" style="93" customWidth="1"/>
    <col min="24" max="26" width="4" style="93" customWidth="1"/>
    <col min="27" max="27" width="4.42578125" style="93" customWidth="1"/>
    <col min="28" max="28" width="4.42578125" style="93" bestFit="1" customWidth="1"/>
    <col min="29" max="32" width="4" style="93" customWidth="1"/>
    <col min="33" max="33" width="4.42578125" style="93" bestFit="1" customWidth="1"/>
    <col min="34" max="34" width="10.7109375" style="94" customWidth="1"/>
    <col min="35" max="35" width="5.5703125" style="93" customWidth="1"/>
    <col min="36" max="36" width="5" style="75" customWidth="1"/>
    <col min="37" max="37" width="4.7109375" style="75" customWidth="1"/>
    <col min="38" max="38" width="4.5703125" style="75" customWidth="1"/>
    <col min="39" max="39" width="7" style="75" customWidth="1"/>
    <col min="40" max="40" width="8.85546875" style="75" customWidth="1"/>
    <col min="41" max="41" width="8.140625" style="75" customWidth="1"/>
    <col min="42" max="42" width="4.7109375" style="75" customWidth="1"/>
    <col min="43" max="43" width="6.5703125" style="75" customWidth="1"/>
    <col min="44" max="44" width="5.28515625" style="75" customWidth="1"/>
    <col min="45" max="45" width="13.140625" style="75" customWidth="1"/>
    <col min="46" max="16384" width="9.140625" style="75"/>
  </cols>
  <sheetData>
    <row r="1" spans="1:45" s="8" customFormat="1" ht="50.25" customHeight="1" thickBot="1" x14ac:dyDescent="0.3">
      <c r="A1" s="1" t="s">
        <v>0</v>
      </c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3"/>
      <c r="AE1" s="3"/>
      <c r="AF1" s="4"/>
      <c r="AG1" s="5"/>
      <c r="AH1" s="5"/>
      <c r="AI1" s="6"/>
      <c r="AJ1" s="7"/>
      <c r="AK1" s="7"/>
      <c r="AL1" s="7"/>
      <c r="AM1" s="7"/>
      <c r="AN1" s="7"/>
      <c r="AO1" s="7"/>
      <c r="AP1" s="7"/>
      <c r="AQ1" s="7"/>
      <c r="AR1" s="7"/>
    </row>
    <row r="2" spans="1:45" s="18" customFormat="1" ht="30" customHeight="1" x14ac:dyDescent="0.25">
      <c r="A2" s="104">
        <v>43131</v>
      </c>
      <c r="B2" s="104"/>
      <c r="C2" s="11" t="s">
        <v>1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2">
        <v>2018</v>
      </c>
      <c r="AI2" s="13" t="s">
        <v>2</v>
      </c>
      <c r="AJ2" s="14"/>
      <c r="AK2" s="14"/>
      <c r="AL2" s="15"/>
      <c r="AM2" s="13" t="s">
        <v>57</v>
      </c>
      <c r="AN2" s="14"/>
      <c r="AO2" s="14"/>
      <c r="AP2" s="15"/>
      <c r="AQ2" s="16" t="s">
        <v>4</v>
      </c>
      <c r="AR2" s="17"/>
    </row>
    <row r="3" spans="1:45" s="27" customFormat="1" ht="15.75" customHeight="1" thickBot="1" x14ac:dyDescent="0.35">
      <c r="A3" s="105">
        <v>43101</v>
      </c>
      <c r="B3" s="105"/>
      <c r="C3" s="20" t="str">
        <f>TEXT(WEEKDAY(DATE(AnnéeCalendrier,1,1),1),"jjj")</f>
        <v>lun</v>
      </c>
      <c r="D3" s="20" t="str">
        <f>TEXT(WEEKDAY(DATE(AnnéeCalendrier,1,2),1),"jjj")</f>
        <v>mar</v>
      </c>
      <c r="E3" s="20" t="str">
        <f>TEXT(WEEKDAY(DATE(AnnéeCalendrier,1,3),1),"jjj")</f>
        <v>mer</v>
      </c>
      <c r="F3" s="20" t="str">
        <f>TEXT(WEEKDAY(DATE(AnnéeCalendrier,1,4),1),"jjj")</f>
        <v>jeu</v>
      </c>
      <c r="G3" s="20" t="str">
        <f>TEXT(WEEKDAY(DATE(AnnéeCalendrier,1,5),1),"jjj")</f>
        <v>ven</v>
      </c>
      <c r="H3" s="20" t="str">
        <f>TEXT(WEEKDAY(DATE(AnnéeCalendrier,1,6),1),"jjj")</f>
        <v>sam</v>
      </c>
      <c r="I3" s="20" t="str">
        <f>TEXT(WEEKDAY(DATE(AnnéeCalendrier,1,7),1),"jjj")</f>
        <v>dim</v>
      </c>
      <c r="J3" s="20" t="str">
        <f>TEXT(WEEKDAY(DATE(AnnéeCalendrier,1,8),1),"jjj")</f>
        <v>lun</v>
      </c>
      <c r="K3" s="20" t="str">
        <f>TEXT(WEEKDAY(DATE(AnnéeCalendrier,1,9),1),"jjj")</f>
        <v>mar</v>
      </c>
      <c r="L3" s="20" t="str">
        <f>TEXT(WEEKDAY(DATE(AnnéeCalendrier,1,10),1),"jjj")</f>
        <v>mer</v>
      </c>
      <c r="M3" s="20" t="str">
        <f>TEXT(WEEKDAY(DATE(AnnéeCalendrier,1,11),1),"jjj")</f>
        <v>jeu</v>
      </c>
      <c r="N3" s="20" t="str">
        <f>TEXT(WEEKDAY(DATE(AnnéeCalendrier,1,12),1),"jjj")</f>
        <v>ven</v>
      </c>
      <c r="O3" s="20" t="str">
        <f>TEXT(WEEKDAY(DATE(AnnéeCalendrier,1,13),1),"jjj")</f>
        <v>sam</v>
      </c>
      <c r="P3" s="20" t="str">
        <f>TEXT(WEEKDAY(DATE(AnnéeCalendrier,1,14),1),"jjj")</f>
        <v>dim</v>
      </c>
      <c r="Q3" s="20" t="str">
        <f>TEXT(WEEKDAY(DATE(AnnéeCalendrier,1,15),1),"jjj")</f>
        <v>lun</v>
      </c>
      <c r="R3" s="20" t="str">
        <f>TEXT(WEEKDAY(DATE(AnnéeCalendrier,1,16),1),"jjj")</f>
        <v>mar</v>
      </c>
      <c r="S3" s="20" t="str">
        <f>TEXT(WEEKDAY(DATE(AnnéeCalendrier,1,17),1),"jjj")</f>
        <v>mer</v>
      </c>
      <c r="T3" s="20" t="str">
        <f>TEXT(WEEKDAY(DATE(AnnéeCalendrier,1,18),1),"jjj")</f>
        <v>jeu</v>
      </c>
      <c r="U3" s="20" t="str">
        <f>TEXT(WEEKDAY(DATE(AnnéeCalendrier,1,19),1),"jjj")</f>
        <v>ven</v>
      </c>
      <c r="V3" s="20" t="str">
        <f>TEXT(WEEKDAY(DATE(AnnéeCalendrier,1,20),1),"jjj")</f>
        <v>sam</v>
      </c>
      <c r="W3" s="20" t="str">
        <f>TEXT(WEEKDAY(DATE(AnnéeCalendrier,1,21),1),"jjj")</f>
        <v>dim</v>
      </c>
      <c r="X3" s="20" t="str">
        <f>TEXT(WEEKDAY(DATE(AnnéeCalendrier,1,22),1),"jjj")</f>
        <v>lun</v>
      </c>
      <c r="Y3" s="20" t="str">
        <f>TEXT(WEEKDAY(DATE(AnnéeCalendrier,1,23),1),"jjj")</f>
        <v>mar</v>
      </c>
      <c r="Z3" s="20" t="str">
        <f>TEXT(WEEKDAY(DATE(AnnéeCalendrier,1,24),1),"jjj")</f>
        <v>mer</v>
      </c>
      <c r="AA3" s="20" t="str">
        <f>TEXT(WEEKDAY(DATE(AnnéeCalendrier,1,25),1),"jjj")</f>
        <v>jeu</v>
      </c>
      <c r="AB3" s="20" t="str">
        <f>TEXT(WEEKDAY(DATE(AnnéeCalendrier,1,26),1),"jjj")</f>
        <v>ven</v>
      </c>
      <c r="AC3" s="20" t="str">
        <f>TEXT(WEEKDAY(DATE(AnnéeCalendrier,1,27),1),"jjj")</f>
        <v>sam</v>
      </c>
      <c r="AD3" s="20" t="str">
        <f>TEXT(WEEKDAY(DATE(AnnéeCalendrier,1,28),1),"jjj")</f>
        <v>dim</v>
      </c>
      <c r="AE3" s="20" t="str">
        <f>TEXT(WEEKDAY(DATE(AnnéeCalendrier,1,29),1),"jjj")</f>
        <v>lun</v>
      </c>
      <c r="AF3" s="20" t="str">
        <f>TEXT(WEEKDAY(DATE(AnnéeCalendrier,1,30),1),"jjj")</f>
        <v>mar</v>
      </c>
      <c r="AG3" s="20" t="str">
        <f>TEXT(WEEKDAY(DATE(AnnéeCalendrier,1,31),1),"jjj")</f>
        <v>mer</v>
      </c>
      <c r="AH3" s="12"/>
      <c r="AI3" s="22"/>
      <c r="AJ3" s="23"/>
      <c r="AK3" s="23"/>
      <c r="AL3" s="24"/>
      <c r="AM3" s="22"/>
      <c r="AN3" s="23"/>
      <c r="AO3" s="23"/>
      <c r="AP3" s="24"/>
      <c r="AQ3" s="25"/>
      <c r="AR3" s="26"/>
    </row>
    <row r="4" spans="1:45" s="40" customFormat="1" ht="63.75" customHeight="1" x14ac:dyDescent="0.25">
      <c r="A4" s="28" t="s">
        <v>22</v>
      </c>
      <c r="B4" s="29"/>
      <c r="C4" s="99" t="s">
        <v>25</v>
      </c>
      <c r="D4" s="32" t="s">
        <v>26</v>
      </c>
      <c r="E4" s="32" t="s">
        <v>27</v>
      </c>
      <c r="F4" s="32" t="s">
        <v>28</v>
      </c>
      <c r="G4" s="32" t="s">
        <v>29</v>
      </c>
      <c r="H4" s="32" t="s">
        <v>30</v>
      </c>
      <c r="I4" s="32" t="s">
        <v>31</v>
      </c>
      <c r="J4" s="32" t="s">
        <v>32</v>
      </c>
      <c r="K4" s="32" t="s">
        <v>33</v>
      </c>
      <c r="L4" s="32" t="s">
        <v>34</v>
      </c>
      <c r="M4" s="32" t="s">
        <v>35</v>
      </c>
      <c r="N4" s="32" t="s">
        <v>36</v>
      </c>
      <c r="O4" s="32" t="s">
        <v>37</v>
      </c>
      <c r="P4" s="32" t="s">
        <v>38</v>
      </c>
      <c r="Q4" s="32" t="s">
        <v>39</v>
      </c>
      <c r="R4" s="32" t="s">
        <v>40</v>
      </c>
      <c r="S4" s="32" t="s">
        <v>41</v>
      </c>
      <c r="T4" s="32" t="s">
        <v>42</v>
      </c>
      <c r="U4" s="32" t="s">
        <v>43</v>
      </c>
      <c r="V4" s="32" t="s">
        <v>44</v>
      </c>
      <c r="W4" s="32" t="s">
        <v>45</v>
      </c>
      <c r="X4" s="32" t="s">
        <v>46</v>
      </c>
      <c r="Y4" s="32" t="s">
        <v>47</v>
      </c>
      <c r="Z4" s="32" t="s">
        <v>48</v>
      </c>
      <c r="AA4" s="32" t="s">
        <v>49</v>
      </c>
      <c r="AB4" s="32" t="s">
        <v>50</v>
      </c>
      <c r="AC4" s="32" t="s">
        <v>51</v>
      </c>
      <c r="AD4" s="32" t="s">
        <v>52</v>
      </c>
      <c r="AE4" s="32" t="s">
        <v>53</v>
      </c>
      <c r="AF4" s="32" t="s">
        <v>54</v>
      </c>
      <c r="AG4" s="32" t="s">
        <v>55</v>
      </c>
      <c r="AH4" s="33" t="s">
        <v>6</v>
      </c>
      <c r="AI4" s="34" t="s">
        <v>7</v>
      </c>
      <c r="AJ4" s="35" t="s">
        <v>8</v>
      </c>
      <c r="AK4" s="36" t="s">
        <v>9</v>
      </c>
      <c r="AL4" s="37" t="s">
        <v>10</v>
      </c>
      <c r="AM4" s="38" t="s">
        <v>11</v>
      </c>
      <c r="AN4" s="38" t="s">
        <v>12</v>
      </c>
      <c r="AO4" s="38" t="s">
        <v>13</v>
      </c>
      <c r="AP4" s="39" t="s">
        <v>14</v>
      </c>
      <c r="AQ4" s="34" t="s">
        <v>7</v>
      </c>
      <c r="AR4" s="35" t="s">
        <v>8</v>
      </c>
      <c r="AS4" s="39" t="s">
        <v>56</v>
      </c>
    </row>
    <row r="5" spans="1:45" s="40" customFormat="1" ht="12.95" customHeight="1" x14ac:dyDescent="0.25">
      <c r="A5" s="41"/>
      <c r="B5" s="42" t="s">
        <v>15</v>
      </c>
      <c r="C5" s="67"/>
      <c r="D5" s="43"/>
      <c r="E5" s="43"/>
      <c r="F5" s="43"/>
      <c r="G5" s="43"/>
      <c r="H5" s="43"/>
      <c r="I5" s="43"/>
      <c r="J5" s="43"/>
      <c r="K5" s="106" t="s">
        <v>7</v>
      </c>
      <c r="L5" s="106" t="s">
        <v>7</v>
      </c>
      <c r="M5" s="106" t="s">
        <v>7</v>
      </c>
      <c r="N5" s="106" t="s">
        <v>7</v>
      </c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43"/>
      <c r="AH5" s="44">
        <f>COUNTA(Janvier!$C5:$AG5)</f>
        <v>4</v>
      </c>
      <c r="AI5" s="45">
        <f>(COUNTIFS(Janvier!$C5:$AG5,("cp")))/2+Décembre!AI5</f>
        <v>8</v>
      </c>
      <c r="AJ5" s="45">
        <f>COUNTIFS(Janvier!$C5:$AG5,"RTT")/2+Décembre!AJ5</f>
        <v>0</v>
      </c>
      <c r="AK5" s="45">
        <f>COUNTIFS(Janvier!$C5:$AG5,"m")/2+Décembre!AK5</f>
        <v>0</v>
      </c>
      <c r="AL5" s="45">
        <f>COUNTIFS(Janvier!$C5:$AG5,"a")/2+Décembre!AL5</f>
        <v>0</v>
      </c>
      <c r="AM5" s="46"/>
      <c r="AN5" s="47"/>
      <c r="AO5" s="47"/>
      <c r="AP5" s="46"/>
      <c r="AQ5" s="47"/>
      <c r="AR5" s="47"/>
      <c r="AS5" s="47"/>
    </row>
    <row r="6" spans="1:45" s="40" customFormat="1" ht="12.95" customHeight="1" x14ac:dyDescent="0.25">
      <c r="A6" s="48">
        <v>41722</v>
      </c>
      <c r="B6" s="42" t="s">
        <v>16</v>
      </c>
      <c r="C6" s="67"/>
      <c r="D6" s="43"/>
      <c r="E6" s="43"/>
      <c r="F6" s="43"/>
      <c r="G6" s="43"/>
      <c r="H6" s="43"/>
      <c r="I6" s="43"/>
      <c r="J6" s="43"/>
      <c r="K6" s="106" t="s">
        <v>7</v>
      </c>
      <c r="L6" s="106" t="s">
        <v>7</v>
      </c>
      <c r="M6" s="106" t="s">
        <v>7</v>
      </c>
      <c r="N6" s="106" t="s">
        <v>7</v>
      </c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3"/>
      <c r="AH6" s="44">
        <f>COUNTA(Janvier!$C6:$AG6)</f>
        <v>4</v>
      </c>
      <c r="AI6" s="45">
        <f>(COUNTIFS(Janvier!$C6:$AG6,("cp")))/2+Décembre!AI6</f>
        <v>8</v>
      </c>
      <c r="AJ6" s="45">
        <f>COUNTIFS(Janvier!$C6:$AG6,"RTT")/2+Décembre!AJ6</f>
        <v>0</v>
      </c>
      <c r="AK6" s="45">
        <f>COUNTIFS(Janvier!$C6:$AG6,"m")/2+Décembre!AK6</f>
        <v>0</v>
      </c>
      <c r="AL6" s="45">
        <f>COUNTIFS(Janvier!$C6:$AG6,"a")/2+Décembre!AL6</f>
        <v>0</v>
      </c>
      <c r="AM6" s="46"/>
      <c r="AN6" s="47"/>
      <c r="AO6" s="47"/>
      <c r="AP6" s="46"/>
      <c r="AQ6" s="47"/>
      <c r="AR6" s="47"/>
      <c r="AS6" s="101"/>
    </row>
    <row r="7" spans="1:45" s="40" customFormat="1" ht="12.95" customHeight="1" x14ac:dyDescent="0.25">
      <c r="A7" s="41"/>
      <c r="B7" s="42"/>
      <c r="C7" s="49" t="str">
        <f t="shared" ref="C7:AG7" si="0">IF(C5&gt;0,C5,IF(C6&gt;0,C6,""))</f>
        <v/>
      </c>
      <c r="D7" s="49" t="str">
        <f t="shared" si="0"/>
        <v/>
      </c>
      <c r="E7" s="49" t="str">
        <f t="shared" si="0"/>
        <v/>
      </c>
      <c r="F7" s="49" t="str">
        <f t="shared" si="0"/>
        <v/>
      </c>
      <c r="G7" s="49" t="str">
        <f t="shared" si="0"/>
        <v/>
      </c>
      <c r="H7" s="49" t="str">
        <f t="shared" si="0"/>
        <v/>
      </c>
      <c r="I7" s="49" t="str">
        <f t="shared" si="0"/>
        <v/>
      </c>
      <c r="J7" s="49" t="str">
        <f t="shared" si="0"/>
        <v/>
      </c>
      <c r="K7" s="107" t="str">
        <f t="shared" si="0"/>
        <v>CP</v>
      </c>
      <c r="L7" s="107" t="str">
        <f t="shared" si="0"/>
        <v>CP</v>
      </c>
      <c r="M7" s="107" t="str">
        <f t="shared" si="0"/>
        <v>CP</v>
      </c>
      <c r="N7" s="107" t="str">
        <f t="shared" si="0"/>
        <v>CP</v>
      </c>
      <c r="O7" s="49" t="str">
        <f t="shared" si="0"/>
        <v/>
      </c>
      <c r="P7" s="49" t="str">
        <f t="shared" si="0"/>
        <v/>
      </c>
      <c r="Q7" s="49" t="str">
        <f t="shared" si="0"/>
        <v/>
      </c>
      <c r="R7" s="49" t="str">
        <f t="shared" si="0"/>
        <v/>
      </c>
      <c r="S7" s="49" t="str">
        <f t="shared" si="0"/>
        <v/>
      </c>
      <c r="T7" s="49" t="str">
        <f t="shared" si="0"/>
        <v/>
      </c>
      <c r="U7" s="49" t="str">
        <f t="shared" si="0"/>
        <v/>
      </c>
      <c r="V7" s="49" t="str">
        <f t="shared" si="0"/>
        <v/>
      </c>
      <c r="W7" s="49" t="str">
        <f t="shared" si="0"/>
        <v/>
      </c>
      <c r="X7" s="49" t="str">
        <f t="shared" si="0"/>
        <v/>
      </c>
      <c r="Y7" s="49" t="str">
        <f t="shared" si="0"/>
        <v/>
      </c>
      <c r="Z7" s="49" t="str">
        <f t="shared" si="0"/>
        <v/>
      </c>
      <c r="AA7" s="49" t="str">
        <f t="shared" si="0"/>
        <v/>
      </c>
      <c r="AB7" s="49" t="str">
        <f t="shared" si="0"/>
        <v/>
      </c>
      <c r="AC7" s="49" t="str">
        <f t="shared" si="0"/>
        <v/>
      </c>
      <c r="AD7" s="49" t="str">
        <f t="shared" si="0"/>
        <v/>
      </c>
      <c r="AE7" s="49" t="str">
        <f t="shared" si="0"/>
        <v/>
      </c>
      <c r="AF7" s="49" t="str">
        <f t="shared" si="0"/>
        <v/>
      </c>
      <c r="AG7" s="49" t="str">
        <f t="shared" si="0"/>
        <v/>
      </c>
      <c r="AH7" s="44">
        <f>SUM(AH5:AH6)</f>
        <v>8</v>
      </c>
      <c r="AI7" s="45">
        <f>SUM(AI5:AI6)</f>
        <v>16</v>
      </c>
      <c r="AJ7" s="45">
        <f>SUM(AJ5:AJ6)</f>
        <v>0</v>
      </c>
      <c r="AK7" s="45">
        <f>SUM(AK5:AK6)</f>
        <v>0</v>
      </c>
      <c r="AL7" s="45">
        <f>SUM(AL5:AL6)</f>
        <v>0</v>
      </c>
      <c r="AM7" s="50">
        <f>Juin!AM7</f>
        <v>9.15</v>
      </c>
      <c r="AN7" s="51">
        <f>IF(A6="","",IF(A6&gt;NomMois,0,IF(A6&lt;$A$3,2.08,(NETWORKDAYS(A6,$A$2)/21.66667)*2.08)))</f>
        <v>2.08</v>
      </c>
      <c r="AO7" s="51">
        <f>IF( AN7="",0,+AN7+Décembre!AO7)</f>
        <v>16.64</v>
      </c>
      <c r="AP7" s="51">
        <f>IF(A6="","",IF(A6&gt;NomMois,0,IF(A6&lt;$A$3,1.5,(NETWORKDAYS(A6,$A$2)/21.66667)*1.5)))</f>
        <v>1.5</v>
      </c>
      <c r="AQ7" s="45">
        <f>+AM7-AI7</f>
        <v>-6.85</v>
      </c>
      <c r="AR7" s="45">
        <f>+IF(AP7="","",AP7-AJ7)</f>
        <v>1.5</v>
      </c>
      <c r="AS7" s="102">
        <f>+AO7+AQ7</f>
        <v>9.7900000000000009</v>
      </c>
    </row>
    <row r="8" spans="1:45" s="40" customFormat="1" ht="6.75" customHeight="1" x14ac:dyDescent="0.25">
      <c r="A8" s="52"/>
      <c r="B8" s="53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  <c r="AF8" s="52"/>
      <c r="AG8" s="52"/>
      <c r="AH8" s="54"/>
      <c r="AI8" s="54"/>
      <c r="AJ8" s="54"/>
      <c r="AK8" s="54"/>
      <c r="AL8" s="54"/>
      <c r="AM8" s="52"/>
      <c r="AN8" s="55"/>
      <c r="AO8" s="55"/>
      <c r="AP8" s="56"/>
      <c r="AQ8" s="58"/>
      <c r="AR8" s="58"/>
      <c r="AS8" s="65"/>
    </row>
    <row r="9" spans="1:45" s="40" customFormat="1" ht="12.95" customHeight="1" x14ac:dyDescent="0.25">
      <c r="A9" s="41"/>
      <c r="B9" s="42" t="s">
        <v>15</v>
      </c>
      <c r="C9" s="67"/>
      <c r="D9" s="43"/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  <c r="AA9" s="43"/>
      <c r="AB9" s="43"/>
      <c r="AC9" s="43"/>
      <c r="AD9" s="43"/>
      <c r="AE9" s="43"/>
      <c r="AF9" s="43"/>
      <c r="AG9" s="43"/>
      <c r="AH9" s="44">
        <f>COUNTA(Janvier!$C9:$AG9)</f>
        <v>0</v>
      </c>
      <c r="AI9" s="45">
        <f>(COUNTIFS(Janvier!$C9:$AG9,("cp")))/2+Décembre!AI9</f>
        <v>3.5</v>
      </c>
      <c r="AJ9" s="45">
        <f>COUNTIFS(Janvier!$C9:$AG9,"RTT")/2+Décembre!AJ9</f>
        <v>0</v>
      </c>
      <c r="AK9" s="45">
        <f>COUNTIFS(Janvier!$C9:$AG9,"m")/2+Décembre!AK9</f>
        <v>0</v>
      </c>
      <c r="AL9" s="45">
        <f>COUNTIFS(Janvier!$C9:$AG9,"a")/2+Décembre!AL9</f>
        <v>0</v>
      </c>
      <c r="AM9" s="46"/>
      <c r="AN9" s="47"/>
      <c r="AO9" s="47"/>
      <c r="AP9" s="46"/>
      <c r="AQ9" s="47"/>
      <c r="AR9" s="47"/>
      <c r="AS9" s="47"/>
    </row>
    <row r="10" spans="1:45" s="40" customFormat="1" ht="12.95" customHeight="1" x14ac:dyDescent="0.25">
      <c r="A10" s="48">
        <v>42740</v>
      </c>
      <c r="B10" s="42" t="s">
        <v>16</v>
      </c>
      <c r="C10" s="67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3"/>
      <c r="AG10" s="43"/>
      <c r="AH10" s="44">
        <f>COUNTA(Janvier!$C10:$AG10)</f>
        <v>0</v>
      </c>
      <c r="AI10" s="45">
        <f>(COUNTIFS(Janvier!$C10:$AG10,("cp")))/2+Décembre!AI10</f>
        <v>3.5</v>
      </c>
      <c r="AJ10" s="45">
        <f>COUNTIFS(Janvier!$C10:$AG10,"RTT")/2+Décembre!AJ10</f>
        <v>0</v>
      </c>
      <c r="AK10" s="45">
        <f>COUNTIFS(Janvier!$C10:$AG10,"m")/2+Décembre!AK10</f>
        <v>0</v>
      </c>
      <c r="AL10" s="45">
        <f>COUNTIFS(Janvier!$C10:$AG10,"a")/2+Décembre!AL10</f>
        <v>0</v>
      </c>
      <c r="AM10" s="46"/>
      <c r="AN10" s="47"/>
      <c r="AO10" s="47"/>
      <c r="AP10" s="46"/>
      <c r="AQ10" s="47"/>
      <c r="AR10" s="47"/>
      <c r="AS10" s="101"/>
    </row>
    <row r="11" spans="1:45" s="40" customFormat="1" ht="12.95" customHeight="1" x14ac:dyDescent="0.25">
      <c r="A11" s="41"/>
      <c r="B11" s="42"/>
      <c r="C11" s="49" t="str">
        <f t="shared" ref="C11:AG11" si="1">IF(C9&gt;0,C9,IF(C10&gt;0,C10,""))</f>
        <v/>
      </c>
      <c r="D11" s="49" t="str">
        <f t="shared" si="1"/>
        <v/>
      </c>
      <c r="E11" s="49" t="str">
        <f t="shared" si="1"/>
        <v/>
      </c>
      <c r="F11" s="49" t="str">
        <f t="shared" si="1"/>
        <v/>
      </c>
      <c r="G11" s="49" t="str">
        <f t="shared" si="1"/>
        <v/>
      </c>
      <c r="H11" s="49" t="str">
        <f t="shared" si="1"/>
        <v/>
      </c>
      <c r="I11" s="49" t="str">
        <f t="shared" si="1"/>
        <v/>
      </c>
      <c r="J11" s="49" t="str">
        <f t="shared" si="1"/>
        <v/>
      </c>
      <c r="K11" s="49" t="str">
        <f t="shared" si="1"/>
        <v/>
      </c>
      <c r="L11" s="49" t="str">
        <f t="shared" si="1"/>
        <v/>
      </c>
      <c r="M11" s="49" t="str">
        <f t="shared" si="1"/>
        <v/>
      </c>
      <c r="N11" s="49" t="str">
        <f t="shared" si="1"/>
        <v/>
      </c>
      <c r="O11" s="49" t="str">
        <f t="shared" si="1"/>
        <v/>
      </c>
      <c r="P11" s="49" t="str">
        <f t="shared" si="1"/>
        <v/>
      </c>
      <c r="Q11" s="49" t="str">
        <f t="shared" si="1"/>
        <v/>
      </c>
      <c r="R11" s="49" t="str">
        <f t="shared" si="1"/>
        <v/>
      </c>
      <c r="S11" s="49" t="str">
        <f t="shared" si="1"/>
        <v/>
      </c>
      <c r="T11" s="49" t="str">
        <f t="shared" si="1"/>
        <v/>
      </c>
      <c r="U11" s="49" t="str">
        <f t="shared" si="1"/>
        <v/>
      </c>
      <c r="V11" s="49" t="str">
        <f t="shared" si="1"/>
        <v/>
      </c>
      <c r="W11" s="49" t="str">
        <f t="shared" si="1"/>
        <v/>
      </c>
      <c r="X11" s="49" t="str">
        <f t="shared" si="1"/>
        <v/>
      </c>
      <c r="Y11" s="49" t="str">
        <f t="shared" si="1"/>
        <v/>
      </c>
      <c r="Z11" s="49" t="str">
        <f t="shared" si="1"/>
        <v/>
      </c>
      <c r="AA11" s="49" t="str">
        <f t="shared" si="1"/>
        <v/>
      </c>
      <c r="AB11" s="49" t="str">
        <f t="shared" si="1"/>
        <v/>
      </c>
      <c r="AC11" s="49" t="str">
        <f t="shared" si="1"/>
        <v/>
      </c>
      <c r="AD11" s="49" t="str">
        <f t="shared" si="1"/>
        <v/>
      </c>
      <c r="AE11" s="49" t="str">
        <f t="shared" si="1"/>
        <v/>
      </c>
      <c r="AF11" s="49" t="str">
        <f t="shared" si="1"/>
        <v/>
      </c>
      <c r="AG11" s="49" t="str">
        <f t="shared" si="1"/>
        <v/>
      </c>
      <c r="AH11" s="44">
        <f>SUM(AH9:AH10)</f>
        <v>0</v>
      </c>
      <c r="AI11" s="45">
        <f>SUM(AI9:AI10)</f>
        <v>7</v>
      </c>
      <c r="AJ11" s="45">
        <f>SUM(AJ9:AJ10)</f>
        <v>0</v>
      </c>
      <c r="AK11" s="45">
        <f>SUM(AK9:AK10)</f>
        <v>0</v>
      </c>
      <c r="AL11" s="45">
        <f>SUM(AL9:AL10)</f>
        <v>0</v>
      </c>
      <c r="AM11" s="50">
        <f>Juin!AM11</f>
        <v>10.32</v>
      </c>
      <c r="AN11" s="51">
        <f>IF(A10="","",IF(A10&gt;NomMois,0,IF(A10&lt;$A$3,2.08,(NETWORKDAYS(A10,$A$2)/21.66667)*2.08)))</f>
        <v>2.08</v>
      </c>
      <c r="AO11" s="51">
        <f>IF( AN11="",0,+AN11+Décembre!AO11)</f>
        <v>16.64</v>
      </c>
      <c r="AP11" s="51">
        <f>IF(A10="","",IF(A10&gt;NomMois,0,IF(A10&lt;$A$3,1.5,(NETWORKDAYS(A10,$A$2)/21.66667)*1.5)))</f>
        <v>1.5</v>
      </c>
      <c r="AQ11" s="45">
        <f>+AM11-AI11</f>
        <v>3.3200000000000003</v>
      </c>
      <c r="AR11" s="45">
        <f>+IF(AP11="","",AP11-AJ11)</f>
        <v>1.5</v>
      </c>
      <c r="AS11" s="102">
        <f>+AO11+AQ11</f>
        <v>19.96</v>
      </c>
    </row>
    <row r="12" spans="1:45" s="63" customFormat="1" ht="6.75" customHeight="1" x14ac:dyDescent="0.25">
      <c r="A12" s="60"/>
      <c r="B12" s="53"/>
      <c r="C12" s="60"/>
      <c r="D12" s="60"/>
      <c r="E12" s="60"/>
      <c r="F12" s="60"/>
      <c r="G12" s="60"/>
      <c r="H12" s="60"/>
      <c r="I12" s="60"/>
      <c r="J12" s="60"/>
      <c r="K12" s="60"/>
      <c r="L12" s="60"/>
      <c r="M12" s="60"/>
      <c r="N12" s="60"/>
      <c r="O12" s="60"/>
      <c r="P12" s="60"/>
      <c r="Q12" s="60"/>
      <c r="R12" s="60"/>
      <c r="S12" s="60"/>
      <c r="T12" s="60"/>
      <c r="U12" s="60"/>
      <c r="V12" s="60"/>
      <c r="W12" s="60"/>
      <c r="X12" s="60"/>
      <c r="Y12" s="60"/>
      <c r="Z12" s="60"/>
      <c r="AA12" s="60"/>
      <c r="AB12" s="60"/>
      <c r="AC12" s="60"/>
      <c r="AD12" s="60"/>
      <c r="AE12" s="60"/>
      <c r="AF12" s="60"/>
      <c r="AG12" s="60"/>
      <c r="AH12" s="61"/>
      <c r="AI12" s="61"/>
      <c r="AJ12" s="61"/>
      <c r="AK12" s="61"/>
      <c r="AL12" s="61"/>
      <c r="AM12" s="60"/>
      <c r="AN12" s="61"/>
      <c r="AO12" s="61"/>
      <c r="AP12" s="60"/>
      <c r="AQ12" s="61"/>
      <c r="AR12" s="61"/>
      <c r="AS12" s="65"/>
    </row>
    <row r="13" spans="1:45" s="79" customFormat="1" ht="12.95" customHeight="1" x14ac:dyDescent="0.25">
      <c r="A13" s="41"/>
      <c r="B13" s="42" t="s">
        <v>15</v>
      </c>
      <c r="C13" s="67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43"/>
      <c r="AB13" s="43"/>
      <c r="AC13" s="43"/>
      <c r="AD13" s="43"/>
      <c r="AE13" s="43"/>
      <c r="AF13" s="43"/>
      <c r="AG13" s="43"/>
      <c r="AH13" s="44">
        <f>COUNTA(Janvier!$C13:$AG13)</f>
        <v>0</v>
      </c>
      <c r="AI13" s="45">
        <f>(COUNTIFS(Janvier!$C13:$AG13,("cp")))/2+Décembre!AI13</f>
        <v>0.5</v>
      </c>
      <c r="AJ13" s="45">
        <f>COUNTIFS(Janvier!$C13:$AG13,"RTT")/2+Décembre!AJ13</f>
        <v>0</v>
      </c>
      <c r="AK13" s="45">
        <f>COUNTIFS(Janvier!$C13:$AG13,"m")/2+Décembre!AK13</f>
        <v>0</v>
      </c>
      <c r="AL13" s="45">
        <f>COUNTIFS(Janvier!$C13:$AG13,"a")/2+Décembre!AL13</f>
        <v>1.5</v>
      </c>
      <c r="AM13" s="46"/>
      <c r="AN13" s="47"/>
      <c r="AO13" s="47"/>
      <c r="AP13" s="46"/>
      <c r="AQ13" s="47"/>
      <c r="AR13" s="47"/>
      <c r="AS13" s="47"/>
    </row>
    <row r="14" spans="1:45" s="79" customFormat="1" ht="12.95" customHeight="1" x14ac:dyDescent="0.25">
      <c r="A14" s="48"/>
      <c r="B14" s="42" t="s">
        <v>16</v>
      </c>
      <c r="C14" s="67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4">
        <f>COUNTA(Janvier!$C14:$AG14)</f>
        <v>0</v>
      </c>
      <c r="AI14" s="45">
        <f>(COUNTIFS(Janvier!$C14:$AG14,("cp")))/2+Décembre!AI14</f>
        <v>0.5</v>
      </c>
      <c r="AJ14" s="45">
        <f>COUNTIFS(Janvier!$C14:$AG14,"RTT")/2+Décembre!AJ14</f>
        <v>0</v>
      </c>
      <c r="AK14" s="45">
        <f>COUNTIFS(Janvier!$C14:$AG14,"m")/2+Décembre!AK14</f>
        <v>0</v>
      </c>
      <c r="AL14" s="45">
        <f>COUNTIFS(Janvier!$C14:$AG14,"a")/2+Décembre!AL14</f>
        <v>1</v>
      </c>
      <c r="AM14" s="46"/>
      <c r="AN14" s="47"/>
      <c r="AO14" s="47"/>
      <c r="AP14" s="46"/>
      <c r="AQ14" s="47"/>
      <c r="AR14" s="47"/>
      <c r="AS14" s="101">
        <v>43014</v>
      </c>
    </row>
    <row r="15" spans="1:45" s="79" customFormat="1" ht="12.95" customHeight="1" x14ac:dyDescent="0.25">
      <c r="A15" s="41"/>
      <c r="B15" s="42"/>
      <c r="C15" s="49" t="str">
        <f t="shared" ref="C15:AG15" si="2">IF(C13&gt;0,C13,IF(C14&gt;0,C14,""))</f>
        <v/>
      </c>
      <c r="D15" s="49" t="str">
        <f t="shared" si="2"/>
        <v/>
      </c>
      <c r="E15" s="49" t="str">
        <f t="shared" si="2"/>
        <v/>
      </c>
      <c r="F15" s="49" t="str">
        <f t="shared" si="2"/>
        <v/>
      </c>
      <c r="G15" s="49" t="str">
        <f t="shared" si="2"/>
        <v/>
      </c>
      <c r="H15" s="49" t="str">
        <f t="shared" si="2"/>
        <v/>
      </c>
      <c r="I15" s="49" t="str">
        <f t="shared" si="2"/>
        <v/>
      </c>
      <c r="J15" s="49" t="str">
        <f t="shared" si="2"/>
        <v/>
      </c>
      <c r="K15" s="49" t="str">
        <f t="shared" si="2"/>
        <v/>
      </c>
      <c r="L15" s="49" t="str">
        <f t="shared" si="2"/>
        <v/>
      </c>
      <c r="M15" s="49" t="str">
        <f t="shared" si="2"/>
        <v/>
      </c>
      <c r="N15" s="49" t="str">
        <f t="shared" si="2"/>
        <v/>
      </c>
      <c r="O15" s="49" t="str">
        <f t="shared" si="2"/>
        <v/>
      </c>
      <c r="P15" s="49" t="str">
        <f t="shared" si="2"/>
        <v/>
      </c>
      <c r="Q15" s="49" t="str">
        <f t="shared" si="2"/>
        <v/>
      </c>
      <c r="R15" s="49" t="str">
        <f t="shared" si="2"/>
        <v/>
      </c>
      <c r="S15" s="49" t="str">
        <f t="shared" si="2"/>
        <v/>
      </c>
      <c r="T15" s="49" t="str">
        <f t="shared" si="2"/>
        <v/>
      </c>
      <c r="U15" s="49" t="str">
        <f t="shared" si="2"/>
        <v/>
      </c>
      <c r="V15" s="49" t="str">
        <f t="shared" si="2"/>
        <v/>
      </c>
      <c r="W15" s="49" t="str">
        <f t="shared" si="2"/>
        <v/>
      </c>
      <c r="X15" s="49" t="str">
        <f t="shared" si="2"/>
        <v/>
      </c>
      <c r="Y15" s="49" t="str">
        <f t="shared" si="2"/>
        <v/>
      </c>
      <c r="Z15" s="49" t="str">
        <f t="shared" si="2"/>
        <v/>
      </c>
      <c r="AA15" s="49" t="str">
        <f t="shared" si="2"/>
        <v/>
      </c>
      <c r="AB15" s="49" t="str">
        <f t="shared" si="2"/>
        <v/>
      </c>
      <c r="AC15" s="49" t="str">
        <f t="shared" si="2"/>
        <v/>
      </c>
      <c r="AD15" s="49" t="str">
        <f t="shared" si="2"/>
        <v/>
      </c>
      <c r="AE15" s="49" t="str">
        <f t="shared" si="2"/>
        <v/>
      </c>
      <c r="AF15" s="49" t="str">
        <f t="shared" si="2"/>
        <v/>
      </c>
      <c r="AG15" s="49" t="str">
        <f t="shared" si="2"/>
        <v/>
      </c>
      <c r="AH15" s="44">
        <f>SUM(AH13:AH14)</f>
        <v>0</v>
      </c>
      <c r="AI15" s="45">
        <f>SUM(AI13:AI14)</f>
        <v>1</v>
      </c>
      <c r="AJ15" s="45">
        <f>SUM(AJ13:AJ14)</f>
        <v>0</v>
      </c>
      <c r="AK15" s="45">
        <f>SUM(AK13:AK14)</f>
        <v>0</v>
      </c>
      <c r="AL15" s="45">
        <f>SUM(AL13:AL14)</f>
        <v>2.5</v>
      </c>
      <c r="AM15" s="50">
        <f>Juin!AM15</f>
        <v>0</v>
      </c>
      <c r="AN15" s="51" t="str">
        <f>IF(A14="","",IF(A14&gt;NomMois,0,IF(A14&lt;$A$3,2.08,(NETWORKDAYS(A14,$A$2)/21.66667)*2.08)))</f>
        <v/>
      </c>
      <c r="AO15" s="51">
        <f>IF( AN15="",0,+AN15+Décembre!AO15)</f>
        <v>0</v>
      </c>
      <c r="AP15" s="51" t="str">
        <f>IF(A14="","",IF(A14&gt;NomMois,0,IF(A14&lt;$A$3,1.5,(NETWORKDAYS(A14,$A$2)/21.66667)*1.5)))</f>
        <v/>
      </c>
      <c r="AQ15" s="45">
        <f>+AM15-AI15</f>
        <v>-1</v>
      </c>
      <c r="AR15" s="45" t="str">
        <f>+IF(AP15="","",AP15-AJ15)</f>
        <v/>
      </c>
      <c r="AS15" s="102">
        <f>+AO15+AQ15</f>
        <v>-1</v>
      </c>
    </row>
    <row r="16" spans="1:45" s="63" customFormat="1" ht="6.75" customHeight="1" x14ac:dyDescent="0.25">
      <c r="A16" s="60"/>
      <c r="B16" s="42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  <c r="N16" s="64"/>
      <c r="O16" s="64"/>
      <c r="P16" s="64"/>
      <c r="Q16" s="64"/>
      <c r="R16" s="64"/>
      <c r="S16" s="64"/>
      <c r="T16" s="64"/>
      <c r="U16" s="64"/>
      <c r="V16" s="64"/>
      <c r="W16" s="64"/>
      <c r="X16" s="64"/>
      <c r="Y16" s="64"/>
      <c r="Z16" s="64"/>
      <c r="AA16" s="64"/>
      <c r="AB16" s="64"/>
      <c r="AC16" s="64"/>
      <c r="AD16" s="64"/>
      <c r="AE16" s="64"/>
      <c r="AF16" s="64"/>
      <c r="AG16" s="64"/>
      <c r="AH16" s="65"/>
      <c r="AI16" s="65"/>
      <c r="AJ16" s="65"/>
      <c r="AK16" s="65"/>
      <c r="AL16" s="65"/>
      <c r="AM16" s="64"/>
      <c r="AN16" s="65"/>
      <c r="AO16" s="65"/>
      <c r="AP16" s="64"/>
      <c r="AQ16" s="65"/>
      <c r="AR16" s="65"/>
      <c r="AS16" s="65"/>
    </row>
    <row r="17" spans="1:45" s="63" customFormat="1" ht="12.95" customHeight="1" x14ac:dyDescent="0.25">
      <c r="A17" s="41"/>
      <c r="B17" s="42" t="s">
        <v>15</v>
      </c>
      <c r="C17" s="67"/>
      <c r="D17" s="108" t="s">
        <v>7</v>
      </c>
      <c r="E17" s="106" t="s">
        <v>7</v>
      </c>
      <c r="F17" s="106" t="s">
        <v>7</v>
      </c>
      <c r="G17" s="106" t="s">
        <v>7</v>
      </c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4">
        <f>COUNTA(Janvier!$C17:$AG17)</f>
        <v>4</v>
      </c>
      <c r="AI17" s="45">
        <f>(COUNTIFS(Janvier!$C17:$AG17,("cp")))/2+Décembre!AI17</f>
        <v>8.5</v>
      </c>
      <c r="AJ17" s="45">
        <f>COUNTIFS(Janvier!$C17:$AG17,"RTT")/2+Décembre!AJ17</f>
        <v>0</v>
      </c>
      <c r="AK17" s="45">
        <f>COUNTIFS(Janvier!$C17:$AG17,"m")/2+Décembre!AK17</f>
        <v>0</v>
      </c>
      <c r="AL17" s="45">
        <f>COUNTIFS(Janvier!$C17:$AG17,"a")/2+Décembre!AL17</f>
        <v>0</v>
      </c>
      <c r="AM17" s="46"/>
      <c r="AN17" s="47"/>
      <c r="AO17" s="47"/>
      <c r="AP17" s="46"/>
      <c r="AQ17" s="47"/>
      <c r="AR17" s="47"/>
      <c r="AS17" s="47"/>
    </row>
    <row r="18" spans="1:45" s="63" customFormat="1" ht="12.95" customHeight="1" x14ac:dyDescent="0.25">
      <c r="A18" s="48">
        <v>38923</v>
      </c>
      <c r="B18" s="42" t="s">
        <v>16</v>
      </c>
      <c r="C18" s="67"/>
      <c r="D18" s="108" t="s">
        <v>7</v>
      </c>
      <c r="E18" s="106" t="s">
        <v>7</v>
      </c>
      <c r="F18" s="106" t="s">
        <v>7</v>
      </c>
      <c r="G18" s="106" t="s">
        <v>7</v>
      </c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3"/>
      <c r="AC18" s="43"/>
      <c r="AD18" s="43"/>
      <c r="AE18" s="43"/>
      <c r="AF18" s="43"/>
      <c r="AG18" s="43"/>
      <c r="AH18" s="44">
        <f>COUNTA(Janvier!$C18:$AG18)</f>
        <v>4</v>
      </c>
      <c r="AI18" s="45">
        <f>(COUNTIFS(Janvier!$C18:$AG18,("cp")))/2+Décembre!AI18</f>
        <v>8.5</v>
      </c>
      <c r="AJ18" s="45">
        <f>COUNTIFS(Janvier!$C18:$AG18,"RTT")/2+Décembre!AJ18</f>
        <v>0</v>
      </c>
      <c r="AK18" s="45">
        <f>COUNTIFS(Janvier!$C18:$AG18,"m")/2+Décembre!AK18</f>
        <v>0</v>
      </c>
      <c r="AL18" s="45">
        <f>COUNTIFS(Janvier!$C18:$AG18,"a")/2+Décembre!AL18</f>
        <v>0</v>
      </c>
      <c r="AM18" s="46"/>
      <c r="AN18" s="47"/>
      <c r="AO18" s="47"/>
      <c r="AP18" s="46"/>
      <c r="AQ18" s="47"/>
      <c r="AR18" s="47"/>
      <c r="AS18" s="101"/>
    </row>
    <row r="19" spans="1:45" s="63" customFormat="1" ht="12.95" customHeight="1" x14ac:dyDescent="0.25">
      <c r="A19" s="41"/>
      <c r="B19" s="42"/>
      <c r="C19" s="49" t="str">
        <f t="shared" ref="C19:AG19" si="3">IF(C17&gt;0,C17,IF(C18&gt;0,C18,""))</f>
        <v/>
      </c>
      <c r="D19" s="107" t="str">
        <f t="shared" si="3"/>
        <v>CP</v>
      </c>
      <c r="E19" s="107" t="str">
        <f t="shared" si="3"/>
        <v>CP</v>
      </c>
      <c r="F19" s="107" t="str">
        <f t="shared" si="3"/>
        <v>CP</v>
      </c>
      <c r="G19" s="107" t="str">
        <f t="shared" si="3"/>
        <v>CP</v>
      </c>
      <c r="H19" s="49" t="str">
        <f t="shared" si="3"/>
        <v/>
      </c>
      <c r="I19" s="49" t="str">
        <f t="shared" si="3"/>
        <v/>
      </c>
      <c r="J19" s="49" t="str">
        <f t="shared" si="3"/>
        <v/>
      </c>
      <c r="K19" s="49" t="str">
        <f t="shared" si="3"/>
        <v/>
      </c>
      <c r="L19" s="49" t="str">
        <f t="shared" si="3"/>
        <v/>
      </c>
      <c r="M19" s="49" t="str">
        <f t="shared" si="3"/>
        <v/>
      </c>
      <c r="N19" s="49" t="str">
        <f t="shared" si="3"/>
        <v/>
      </c>
      <c r="O19" s="49" t="str">
        <f t="shared" si="3"/>
        <v/>
      </c>
      <c r="P19" s="49" t="str">
        <f t="shared" si="3"/>
        <v/>
      </c>
      <c r="Q19" s="49" t="str">
        <f t="shared" si="3"/>
        <v/>
      </c>
      <c r="R19" s="49" t="str">
        <f t="shared" si="3"/>
        <v/>
      </c>
      <c r="S19" s="49" t="str">
        <f t="shared" si="3"/>
        <v/>
      </c>
      <c r="T19" s="49" t="str">
        <f t="shared" si="3"/>
        <v/>
      </c>
      <c r="U19" s="49" t="str">
        <f t="shared" si="3"/>
        <v/>
      </c>
      <c r="V19" s="49" t="str">
        <f t="shared" si="3"/>
        <v/>
      </c>
      <c r="W19" s="49" t="str">
        <f t="shared" si="3"/>
        <v/>
      </c>
      <c r="X19" s="49" t="str">
        <f t="shared" si="3"/>
        <v/>
      </c>
      <c r="Y19" s="49" t="str">
        <f t="shared" si="3"/>
        <v/>
      </c>
      <c r="Z19" s="49" t="str">
        <f t="shared" si="3"/>
        <v/>
      </c>
      <c r="AA19" s="49" t="str">
        <f t="shared" si="3"/>
        <v/>
      </c>
      <c r="AB19" s="49" t="str">
        <f t="shared" si="3"/>
        <v/>
      </c>
      <c r="AC19" s="49" t="str">
        <f t="shared" si="3"/>
        <v/>
      </c>
      <c r="AD19" s="49" t="str">
        <f t="shared" si="3"/>
        <v/>
      </c>
      <c r="AE19" s="49" t="str">
        <f t="shared" si="3"/>
        <v/>
      </c>
      <c r="AF19" s="49" t="str">
        <f t="shared" si="3"/>
        <v/>
      </c>
      <c r="AG19" s="49" t="str">
        <f t="shared" si="3"/>
        <v/>
      </c>
      <c r="AH19" s="44">
        <f>SUM(AH17:AH18)</f>
        <v>8</v>
      </c>
      <c r="AI19" s="45">
        <f>SUM(AI17:AI18)</f>
        <v>17</v>
      </c>
      <c r="AJ19" s="45">
        <f>SUM(AJ17:AJ18)</f>
        <v>0</v>
      </c>
      <c r="AK19" s="45">
        <f>SUM(AK17:AK18)</f>
        <v>0</v>
      </c>
      <c r="AL19" s="45">
        <f>SUM(AL17:AL18)</f>
        <v>0</v>
      </c>
      <c r="AM19" s="50">
        <f>Juin!AM19</f>
        <v>24.54</v>
      </c>
      <c r="AN19" s="51">
        <f>IF(A18="","",IF(A18&gt;NomMois,0,IF(A18&lt;$A$3,2.08,(NETWORKDAYS(A18,$A$2)/21.66667)*2.08)))</f>
        <v>2.08</v>
      </c>
      <c r="AO19" s="51">
        <f>IF( AN19="",0,+AN19+Décembre!AO19)</f>
        <v>16.64</v>
      </c>
      <c r="AP19" s="51">
        <f>IF(A18="","",IF(A18&gt;NomMois,0,IF(A18&lt;$A$3,1.5,(NETWORKDAYS(A18,$A$2)/21.66667)*1.5)))</f>
        <v>1.5</v>
      </c>
      <c r="AQ19" s="45">
        <f>+AM19-AI19</f>
        <v>7.5399999999999991</v>
      </c>
      <c r="AR19" s="45">
        <f>+IF(AP19="","",AP19-AJ19)</f>
        <v>1.5</v>
      </c>
      <c r="AS19" s="102">
        <f t="shared" ref="AS19" si="4">+AO19+AQ19</f>
        <v>24.18</v>
      </c>
    </row>
    <row r="20" spans="1:45" s="63" customFormat="1" ht="6.75" customHeight="1" x14ac:dyDescent="0.25">
      <c r="A20" s="60"/>
      <c r="B20" s="53"/>
      <c r="C20" s="60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0"/>
      <c r="AG20" s="60"/>
      <c r="AH20" s="61"/>
      <c r="AI20" s="61"/>
      <c r="AJ20" s="61"/>
      <c r="AK20" s="61"/>
      <c r="AL20" s="61"/>
      <c r="AM20" s="60"/>
      <c r="AN20" s="61"/>
      <c r="AO20" s="61"/>
      <c r="AP20" s="60"/>
      <c r="AQ20" s="61"/>
      <c r="AR20" s="61"/>
      <c r="AS20" s="65"/>
    </row>
    <row r="21" spans="1:45" s="63" customFormat="1" ht="12.95" customHeight="1" x14ac:dyDescent="0.25">
      <c r="A21" s="41"/>
      <c r="B21" s="42" t="s">
        <v>15</v>
      </c>
      <c r="C21" s="67"/>
      <c r="D21" s="67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43"/>
      <c r="AC21" s="43"/>
      <c r="AD21" s="43"/>
      <c r="AE21" s="43"/>
      <c r="AF21" s="43"/>
      <c r="AG21" s="43"/>
      <c r="AH21" s="44">
        <f>COUNTA(Janvier!$C21:$AG21)</f>
        <v>0</v>
      </c>
      <c r="AI21" s="45">
        <f>(COUNTIFS(Janvier!$C21:$AG21,("cp")))/2+Décembre!AI21</f>
        <v>1.5</v>
      </c>
      <c r="AJ21" s="45">
        <f>COUNTIFS(Janvier!$C21:$AG21,"RTT")/2+Décembre!AJ21</f>
        <v>0</v>
      </c>
      <c r="AK21" s="45">
        <f>COUNTIFS(Janvier!$C21:$AG21,"m")/2+Décembre!AK21</f>
        <v>0</v>
      </c>
      <c r="AL21" s="45">
        <f>COUNTIFS(Janvier!$C21:$AG21,"a")/2+Décembre!AL21</f>
        <v>0.5</v>
      </c>
      <c r="AM21" s="46"/>
      <c r="AN21" s="47"/>
      <c r="AO21" s="47"/>
      <c r="AP21" s="46"/>
      <c r="AQ21" s="47"/>
      <c r="AR21" s="47"/>
      <c r="AS21" s="47"/>
    </row>
    <row r="22" spans="1:45" s="63" customFormat="1" ht="12.95" customHeight="1" x14ac:dyDescent="0.25">
      <c r="A22" s="48">
        <v>41824</v>
      </c>
      <c r="B22" s="42" t="s">
        <v>16</v>
      </c>
      <c r="C22" s="67"/>
      <c r="D22" s="67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43"/>
      <c r="AC22" s="43"/>
      <c r="AD22" s="43"/>
      <c r="AE22" s="43"/>
      <c r="AF22" s="43"/>
      <c r="AG22" s="43"/>
      <c r="AH22" s="44">
        <f>COUNTA(Janvier!$C22:$AG22)</f>
        <v>0</v>
      </c>
      <c r="AI22" s="45">
        <f>(COUNTIFS(Janvier!$C22:$AG22,("cp")))/2+Décembre!AI22</f>
        <v>1.5</v>
      </c>
      <c r="AJ22" s="45">
        <f>COUNTIFS(Janvier!$C22:$AG22,"RTT")/2+Décembre!AJ22</f>
        <v>0</v>
      </c>
      <c r="AK22" s="45">
        <f>COUNTIFS(Janvier!$C22:$AG22,"m")/2+Décembre!AK22</f>
        <v>0</v>
      </c>
      <c r="AL22" s="45">
        <f>COUNTIFS(Janvier!$C22:$AG22,"a")/2+Décembre!AL22</f>
        <v>0.5</v>
      </c>
      <c r="AM22" s="46"/>
      <c r="AN22" s="47"/>
      <c r="AO22" s="47"/>
      <c r="AP22" s="46"/>
      <c r="AQ22" s="47"/>
      <c r="AR22" s="47"/>
      <c r="AS22" s="101"/>
    </row>
    <row r="23" spans="1:45" s="63" customFormat="1" ht="12.95" customHeight="1" x14ac:dyDescent="0.25">
      <c r="A23" s="41"/>
      <c r="B23" s="42"/>
      <c r="C23" s="49" t="str">
        <f t="shared" ref="C23:AG23" si="5">IF(C21&gt;0,C21,IF(C22&gt;0,C22,""))</f>
        <v/>
      </c>
      <c r="D23" s="49" t="str">
        <f t="shared" si="5"/>
        <v/>
      </c>
      <c r="E23" s="49" t="str">
        <f t="shared" si="5"/>
        <v/>
      </c>
      <c r="F23" s="49" t="str">
        <f t="shared" si="5"/>
        <v/>
      </c>
      <c r="G23" s="49" t="str">
        <f t="shared" si="5"/>
        <v/>
      </c>
      <c r="H23" s="49" t="str">
        <f t="shared" si="5"/>
        <v/>
      </c>
      <c r="I23" s="49" t="str">
        <f t="shared" si="5"/>
        <v/>
      </c>
      <c r="J23" s="49" t="str">
        <f t="shared" si="5"/>
        <v/>
      </c>
      <c r="K23" s="49" t="str">
        <f t="shared" si="5"/>
        <v/>
      </c>
      <c r="L23" s="49" t="str">
        <f t="shared" si="5"/>
        <v/>
      </c>
      <c r="M23" s="49" t="str">
        <f t="shared" si="5"/>
        <v/>
      </c>
      <c r="N23" s="49" t="str">
        <f t="shared" si="5"/>
        <v/>
      </c>
      <c r="O23" s="49" t="str">
        <f t="shared" si="5"/>
        <v/>
      </c>
      <c r="P23" s="49" t="str">
        <f t="shared" si="5"/>
        <v/>
      </c>
      <c r="Q23" s="49" t="str">
        <f t="shared" si="5"/>
        <v/>
      </c>
      <c r="R23" s="49" t="str">
        <f t="shared" si="5"/>
        <v/>
      </c>
      <c r="S23" s="49" t="str">
        <f t="shared" si="5"/>
        <v/>
      </c>
      <c r="T23" s="49" t="str">
        <f t="shared" si="5"/>
        <v/>
      </c>
      <c r="U23" s="49" t="str">
        <f t="shared" si="5"/>
        <v/>
      </c>
      <c r="V23" s="49" t="str">
        <f t="shared" si="5"/>
        <v/>
      </c>
      <c r="W23" s="49" t="str">
        <f t="shared" si="5"/>
        <v/>
      </c>
      <c r="X23" s="49" t="str">
        <f t="shared" si="5"/>
        <v/>
      </c>
      <c r="Y23" s="49" t="str">
        <f t="shared" si="5"/>
        <v/>
      </c>
      <c r="Z23" s="49" t="str">
        <f t="shared" si="5"/>
        <v/>
      </c>
      <c r="AA23" s="49" t="str">
        <f t="shared" si="5"/>
        <v/>
      </c>
      <c r="AB23" s="49" t="str">
        <f t="shared" si="5"/>
        <v/>
      </c>
      <c r="AC23" s="49" t="str">
        <f t="shared" si="5"/>
        <v/>
      </c>
      <c r="AD23" s="49" t="str">
        <f t="shared" si="5"/>
        <v/>
      </c>
      <c r="AE23" s="49" t="str">
        <f t="shared" si="5"/>
        <v/>
      </c>
      <c r="AF23" s="49" t="str">
        <f t="shared" si="5"/>
        <v/>
      </c>
      <c r="AG23" s="49" t="str">
        <f t="shared" si="5"/>
        <v/>
      </c>
      <c r="AH23" s="44">
        <f>SUM(AH21:AH22)</f>
        <v>0</v>
      </c>
      <c r="AI23" s="45">
        <f>SUM(AI21:AI22)</f>
        <v>3</v>
      </c>
      <c r="AJ23" s="45">
        <f>SUM(AJ21:AJ22)</f>
        <v>0</v>
      </c>
      <c r="AK23" s="45">
        <f>SUM(AK21:AK22)</f>
        <v>0</v>
      </c>
      <c r="AL23" s="45">
        <f>SUM(AL21:AL22)</f>
        <v>1</v>
      </c>
      <c r="AM23" s="50">
        <f>Juin!AM23</f>
        <v>11.23</v>
      </c>
      <c r="AN23" s="51">
        <f>IF(A22="","",IF(A22&gt;NomMois,0,IF(A22&lt;$A$3,2.08,(NETWORKDAYS(A22,$A$2)/21.66667)*2.08)))</f>
        <v>2.08</v>
      </c>
      <c r="AO23" s="51">
        <f>IF( AN23="",0,+AN23+Décembre!AO23)</f>
        <v>16.64</v>
      </c>
      <c r="AP23" s="51">
        <f>IF(A22="","",IF(A22&gt;NomMois,0,IF(A22&lt;$A$3,1.5,(NETWORKDAYS(A22,$A$2)/21.66667)*1.5)))</f>
        <v>1.5</v>
      </c>
      <c r="AQ23" s="45">
        <f>+AM23-AI23</f>
        <v>8.23</v>
      </c>
      <c r="AR23" s="45">
        <f>+IF(AP23="","",AP23-AJ23)</f>
        <v>1.5</v>
      </c>
      <c r="AS23" s="102">
        <f t="shared" ref="AS23" si="6">+AO23+AQ23</f>
        <v>24.87</v>
      </c>
    </row>
    <row r="24" spans="1:45" s="63" customFormat="1" ht="6.75" customHeight="1" x14ac:dyDescent="0.25">
      <c r="A24" s="60"/>
      <c r="B24" s="53"/>
      <c r="C24" s="60"/>
      <c r="D24" s="60"/>
      <c r="E24" s="60"/>
      <c r="F24" s="60"/>
      <c r="G24" s="60"/>
      <c r="H24" s="60"/>
      <c r="I24" s="60"/>
      <c r="J24" s="60"/>
      <c r="K24" s="60"/>
      <c r="L24" s="60"/>
      <c r="M24" s="60"/>
      <c r="N24" s="60"/>
      <c r="O24" s="60"/>
      <c r="P24" s="60"/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60"/>
      <c r="AD24" s="60"/>
      <c r="AE24" s="60"/>
      <c r="AF24" s="60"/>
      <c r="AG24" s="60"/>
      <c r="AH24" s="61"/>
      <c r="AI24" s="61"/>
      <c r="AJ24" s="61"/>
      <c r="AK24" s="61"/>
      <c r="AL24" s="61"/>
      <c r="AM24" s="60"/>
      <c r="AN24" s="61"/>
      <c r="AO24" s="61"/>
      <c r="AP24" s="60"/>
      <c r="AQ24" s="61"/>
      <c r="AR24" s="61"/>
      <c r="AS24" s="65"/>
    </row>
    <row r="25" spans="1:45" s="63" customFormat="1" ht="12.95" customHeight="1" x14ac:dyDescent="0.25">
      <c r="A25" s="41"/>
      <c r="B25" s="42" t="s">
        <v>15</v>
      </c>
      <c r="C25" s="67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  <c r="AA25" s="43"/>
      <c r="AB25" s="43"/>
      <c r="AC25" s="43"/>
      <c r="AD25" s="43"/>
      <c r="AE25" s="43"/>
      <c r="AF25" s="43"/>
      <c r="AG25" s="43"/>
      <c r="AH25" s="44">
        <f>COUNTA(Janvier!$C25:$AG25)</f>
        <v>0</v>
      </c>
      <c r="AI25" s="45">
        <f>(COUNTIFS(Janvier!$C25:$AG25,("cp")))/2+Décembre!AI25</f>
        <v>3.5</v>
      </c>
      <c r="AJ25" s="45">
        <f>COUNTIFS(Janvier!$C25:$AG25,"RTT")/2+Décembre!AJ25</f>
        <v>0</v>
      </c>
      <c r="AK25" s="45">
        <f>COUNTIFS(Janvier!$C25:$AG25,"m")/2+Décembre!AK25</f>
        <v>0</v>
      </c>
      <c r="AL25" s="45">
        <f>COUNTIFS(Janvier!$C25:$AG25,"a")/2+Décembre!AL25</f>
        <v>0</v>
      </c>
      <c r="AM25" s="46"/>
      <c r="AN25" s="47"/>
      <c r="AO25" s="47"/>
      <c r="AP25" s="46"/>
      <c r="AQ25" s="47"/>
      <c r="AR25" s="47"/>
      <c r="AS25" s="47"/>
    </row>
    <row r="26" spans="1:45" s="63" customFormat="1" ht="12.95" customHeight="1" x14ac:dyDescent="0.25">
      <c r="A26" s="48">
        <v>38626</v>
      </c>
      <c r="B26" s="42" t="s">
        <v>16</v>
      </c>
      <c r="C26" s="67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43"/>
      <c r="AB26" s="43"/>
      <c r="AC26" s="43"/>
      <c r="AD26" s="43"/>
      <c r="AE26" s="43"/>
      <c r="AF26" s="43"/>
      <c r="AG26" s="43"/>
      <c r="AH26" s="44">
        <f>COUNTA(Janvier!$C26:$AG26)</f>
        <v>0</v>
      </c>
      <c r="AI26" s="45">
        <f>(COUNTIFS(Janvier!$C26:$AG26,("cp")))/2+Décembre!AI26</f>
        <v>3.5</v>
      </c>
      <c r="AJ26" s="45">
        <f>COUNTIFS(Janvier!$C26:$AG26,"RTT")/2+Décembre!AJ26</f>
        <v>0</v>
      </c>
      <c r="AK26" s="45">
        <f>COUNTIFS(Janvier!$C26:$AG26,"m")/2+Décembre!AK26</f>
        <v>0</v>
      </c>
      <c r="AL26" s="45">
        <f>COUNTIFS(Janvier!$C26:$AG26,"a")/2+Décembre!AL26</f>
        <v>0</v>
      </c>
      <c r="AM26" s="46"/>
      <c r="AN26" s="47"/>
      <c r="AO26" s="47"/>
      <c r="AP26" s="46"/>
      <c r="AQ26" s="47"/>
      <c r="AR26" s="47"/>
      <c r="AS26" s="101"/>
    </row>
    <row r="27" spans="1:45" s="63" customFormat="1" ht="12.95" customHeight="1" x14ac:dyDescent="0.25">
      <c r="A27" s="41"/>
      <c r="B27" s="42"/>
      <c r="C27" s="49" t="str">
        <f t="shared" ref="C27:AG27" si="7">IF(C25&gt;0,C25,IF(C26&gt;0,C26,""))</f>
        <v/>
      </c>
      <c r="D27" s="49" t="str">
        <f t="shared" si="7"/>
        <v/>
      </c>
      <c r="E27" s="49" t="str">
        <f t="shared" si="7"/>
        <v/>
      </c>
      <c r="F27" s="49" t="str">
        <f t="shared" si="7"/>
        <v/>
      </c>
      <c r="G27" s="49" t="str">
        <f t="shared" si="7"/>
        <v/>
      </c>
      <c r="H27" s="49" t="str">
        <f t="shared" si="7"/>
        <v/>
      </c>
      <c r="I27" s="49" t="str">
        <f t="shared" si="7"/>
        <v/>
      </c>
      <c r="J27" s="49" t="str">
        <f t="shared" si="7"/>
        <v/>
      </c>
      <c r="K27" s="49" t="str">
        <f t="shared" si="7"/>
        <v/>
      </c>
      <c r="L27" s="49" t="str">
        <f t="shared" si="7"/>
        <v/>
      </c>
      <c r="M27" s="49" t="str">
        <f t="shared" si="7"/>
        <v/>
      </c>
      <c r="N27" s="49" t="str">
        <f t="shared" si="7"/>
        <v/>
      </c>
      <c r="O27" s="49" t="str">
        <f t="shared" si="7"/>
        <v/>
      </c>
      <c r="P27" s="49" t="str">
        <f t="shared" si="7"/>
        <v/>
      </c>
      <c r="Q27" s="49" t="str">
        <f t="shared" si="7"/>
        <v/>
      </c>
      <c r="R27" s="49" t="str">
        <f t="shared" si="7"/>
        <v/>
      </c>
      <c r="S27" s="49" t="str">
        <f t="shared" si="7"/>
        <v/>
      </c>
      <c r="T27" s="49" t="str">
        <f t="shared" si="7"/>
        <v/>
      </c>
      <c r="U27" s="49" t="str">
        <f t="shared" si="7"/>
        <v/>
      </c>
      <c r="V27" s="49" t="str">
        <f t="shared" si="7"/>
        <v/>
      </c>
      <c r="W27" s="49" t="str">
        <f t="shared" si="7"/>
        <v/>
      </c>
      <c r="X27" s="49" t="str">
        <f t="shared" si="7"/>
        <v/>
      </c>
      <c r="Y27" s="49" t="str">
        <f t="shared" si="7"/>
        <v/>
      </c>
      <c r="Z27" s="49" t="str">
        <f t="shared" si="7"/>
        <v/>
      </c>
      <c r="AA27" s="49" t="str">
        <f t="shared" si="7"/>
        <v/>
      </c>
      <c r="AB27" s="49" t="str">
        <f t="shared" si="7"/>
        <v/>
      </c>
      <c r="AC27" s="49" t="str">
        <f t="shared" si="7"/>
        <v/>
      </c>
      <c r="AD27" s="49" t="str">
        <f t="shared" si="7"/>
        <v/>
      </c>
      <c r="AE27" s="49" t="str">
        <f t="shared" si="7"/>
        <v/>
      </c>
      <c r="AF27" s="49" t="str">
        <f t="shared" si="7"/>
        <v/>
      </c>
      <c r="AG27" s="49" t="str">
        <f t="shared" si="7"/>
        <v/>
      </c>
      <c r="AH27" s="44">
        <f>SUM(AH25:AH26)</f>
        <v>0</v>
      </c>
      <c r="AI27" s="45">
        <f>SUM(AI25:AI26)</f>
        <v>7</v>
      </c>
      <c r="AJ27" s="45">
        <f>SUM(AJ25:AJ26)</f>
        <v>0</v>
      </c>
      <c r="AK27" s="45">
        <f>SUM(AK25:AK26)</f>
        <v>0</v>
      </c>
      <c r="AL27" s="45">
        <f>SUM(AL25:AL26)</f>
        <v>0</v>
      </c>
      <c r="AM27" s="50">
        <f>Juin!AM27</f>
        <v>28.7</v>
      </c>
      <c r="AN27" s="51">
        <f>IF(A26="","",IF(A26&gt;NomMois,0,IF(A26&lt;$A$3,2.08,(NETWORKDAYS(A26,$A$2)/21.66667)*2.08)))</f>
        <v>2.08</v>
      </c>
      <c r="AO27" s="51">
        <f>IF( AN27="",0,+AN27+Décembre!AO27)</f>
        <v>16.64</v>
      </c>
      <c r="AP27" s="51">
        <f>IF(A26="","",IF(A26&gt;NomMois,0,IF(A26&lt;$A$3,1.5,(NETWORKDAYS(A26,$A$2)/21.66667)*1.5)))</f>
        <v>1.5</v>
      </c>
      <c r="AQ27" s="45">
        <f>+AM27-AI27</f>
        <v>21.7</v>
      </c>
      <c r="AR27" s="45">
        <f>+IF(AP27="","",AP27-AJ27)</f>
        <v>1.5</v>
      </c>
      <c r="AS27" s="102">
        <f t="shared" ref="AS27" si="8">+AO27+AQ27</f>
        <v>38.340000000000003</v>
      </c>
    </row>
    <row r="28" spans="1:45" s="63" customFormat="1" ht="6.75" customHeight="1" x14ac:dyDescent="0.25">
      <c r="A28" s="60"/>
      <c r="B28" s="53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1"/>
      <c r="AI28" s="61"/>
      <c r="AJ28" s="61"/>
      <c r="AK28" s="61"/>
      <c r="AL28" s="61"/>
      <c r="AM28" s="60"/>
      <c r="AN28" s="61"/>
      <c r="AO28" s="61"/>
      <c r="AP28" s="60"/>
      <c r="AQ28" s="61"/>
      <c r="AR28" s="61"/>
      <c r="AS28" s="65"/>
    </row>
    <row r="29" spans="1:45" s="63" customFormat="1" ht="12.95" customHeight="1" x14ac:dyDescent="0.25">
      <c r="A29" s="41"/>
      <c r="B29" s="42" t="s">
        <v>15</v>
      </c>
      <c r="C29" s="67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4">
        <f>COUNTA(Janvier!$C29:$AG29)</f>
        <v>0</v>
      </c>
      <c r="AI29" s="45">
        <f>(COUNTIFS(Janvier!$C29:$AG29,("cp")))/2+Décembre!AI29</f>
        <v>7.5</v>
      </c>
      <c r="AJ29" s="45">
        <f>COUNTIFS(Janvier!$C29:$AG29,"RTT")/2+Décembre!AJ29</f>
        <v>0</v>
      </c>
      <c r="AK29" s="45">
        <f>COUNTIFS(Janvier!$C29:$AG29,"m")/2+Décembre!AK29</f>
        <v>0</v>
      </c>
      <c r="AL29" s="45">
        <f>COUNTIFS(Janvier!$C29:$AG29,"a")/2+Décembre!AL29</f>
        <v>0</v>
      </c>
      <c r="AM29" s="46"/>
      <c r="AN29" s="47"/>
      <c r="AO29" s="47"/>
      <c r="AP29" s="46"/>
      <c r="AQ29" s="47"/>
      <c r="AR29" s="47"/>
      <c r="AS29" s="47"/>
    </row>
    <row r="30" spans="1:45" s="63" customFormat="1" ht="12.95" customHeight="1" x14ac:dyDescent="0.25">
      <c r="A30" s="48">
        <v>36892</v>
      </c>
      <c r="B30" s="42" t="s">
        <v>16</v>
      </c>
      <c r="C30" s="67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4">
        <f>COUNTA(Janvier!$C30:$AG30)</f>
        <v>0</v>
      </c>
      <c r="AI30" s="45">
        <f>(COUNTIFS(Janvier!$C30:$AG30,("cp")))/2+Décembre!AI30</f>
        <v>8</v>
      </c>
      <c r="AJ30" s="45">
        <f>COUNTIFS(Janvier!$C30:$AG30,"RTT")/2+Décembre!AJ30</f>
        <v>0</v>
      </c>
      <c r="AK30" s="45">
        <f>COUNTIFS(Janvier!$C30:$AG30,"m")/2+Décembre!AK30</f>
        <v>0</v>
      </c>
      <c r="AL30" s="45">
        <f>COUNTIFS(Janvier!$C30:$AG30,"a")/2+Décembre!AL30</f>
        <v>0</v>
      </c>
      <c r="AM30" s="46"/>
      <c r="AN30" s="47"/>
      <c r="AO30" s="47"/>
      <c r="AP30" s="46"/>
      <c r="AQ30" s="47"/>
      <c r="AR30" s="47"/>
      <c r="AS30" s="101"/>
    </row>
    <row r="31" spans="1:45" s="63" customFormat="1" ht="12.95" customHeight="1" x14ac:dyDescent="0.25">
      <c r="A31" s="41"/>
      <c r="B31" s="42"/>
      <c r="C31" s="49" t="str">
        <f t="shared" ref="C31:AG31" si="9">IF(C29&gt;0,C29,IF(C30&gt;0,C30,""))</f>
        <v/>
      </c>
      <c r="D31" s="49" t="str">
        <f t="shared" si="9"/>
        <v/>
      </c>
      <c r="E31" s="49" t="str">
        <f t="shared" si="9"/>
        <v/>
      </c>
      <c r="F31" s="49" t="str">
        <f t="shared" si="9"/>
        <v/>
      </c>
      <c r="G31" s="49" t="str">
        <f t="shared" si="9"/>
        <v/>
      </c>
      <c r="H31" s="49" t="str">
        <f t="shared" si="9"/>
        <v/>
      </c>
      <c r="I31" s="49" t="str">
        <f t="shared" si="9"/>
        <v/>
      </c>
      <c r="J31" s="49" t="str">
        <f t="shared" si="9"/>
        <v/>
      </c>
      <c r="K31" s="49" t="str">
        <f t="shared" si="9"/>
        <v/>
      </c>
      <c r="L31" s="49" t="str">
        <f t="shared" si="9"/>
        <v/>
      </c>
      <c r="M31" s="49" t="str">
        <f t="shared" si="9"/>
        <v/>
      </c>
      <c r="N31" s="49" t="str">
        <f t="shared" si="9"/>
        <v/>
      </c>
      <c r="O31" s="49" t="str">
        <f t="shared" si="9"/>
        <v/>
      </c>
      <c r="P31" s="49" t="str">
        <f t="shared" si="9"/>
        <v/>
      </c>
      <c r="Q31" s="49" t="str">
        <f t="shared" si="9"/>
        <v/>
      </c>
      <c r="R31" s="49" t="str">
        <f t="shared" si="9"/>
        <v/>
      </c>
      <c r="S31" s="49" t="str">
        <f t="shared" si="9"/>
        <v/>
      </c>
      <c r="T31" s="49" t="str">
        <f t="shared" si="9"/>
        <v/>
      </c>
      <c r="U31" s="49" t="str">
        <f t="shared" si="9"/>
        <v/>
      </c>
      <c r="V31" s="49" t="str">
        <f t="shared" si="9"/>
        <v/>
      </c>
      <c r="W31" s="49" t="str">
        <f t="shared" si="9"/>
        <v/>
      </c>
      <c r="X31" s="49" t="str">
        <f t="shared" si="9"/>
        <v/>
      </c>
      <c r="Y31" s="49" t="str">
        <f t="shared" si="9"/>
        <v/>
      </c>
      <c r="Z31" s="49" t="str">
        <f t="shared" si="9"/>
        <v/>
      </c>
      <c r="AA31" s="49" t="str">
        <f t="shared" si="9"/>
        <v/>
      </c>
      <c r="AB31" s="49" t="str">
        <f t="shared" si="9"/>
        <v/>
      </c>
      <c r="AC31" s="49" t="str">
        <f t="shared" si="9"/>
        <v/>
      </c>
      <c r="AD31" s="49" t="str">
        <f t="shared" si="9"/>
        <v/>
      </c>
      <c r="AE31" s="49" t="str">
        <f t="shared" si="9"/>
        <v/>
      </c>
      <c r="AF31" s="49" t="str">
        <f t="shared" si="9"/>
        <v/>
      </c>
      <c r="AG31" s="49" t="str">
        <f t="shared" si="9"/>
        <v/>
      </c>
      <c r="AH31" s="44">
        <f>SUM(AH29:AH30)</f>
        <v>0</v>
      </c>
      <c r="AI31" s="45">
        <f>SUM(AI29:AI30)</f>
        <v>15.5</v>
      </c>
      <c r="AJ31" s="45">
        <f>SUM(AJ29:AJ30)</f>
        <v>0</v>
      </c>
      <c r="AK31" s="45">
        <f>SUM(AK29:AK30)</f>
        <v>0</v>
      </c>
      <c r="AL31" s="45">
        <f>SUM(AL29:AL30)</f>
        <v>0</v>
      </c>
      <c r="AM31" s="50">
        <f>Juin!AM31</f>
        <v>30.37</v>
      </c>
      <c r="AN31" s="51">
        <f>IF(A30="","",IF(A30&gt;NomMois,0,IF(A30&lt;$A$3,2.08,(NETWORKDAYS(A30,$A$2)/21.66667)*2.08)))</f>
        <v>2.08</v>
      </c>
      <c r="AO31" s="51">
        <f>IF( AN31="",0,+AN31+Décembre!AO31)</f>
        <v>16.64</v>
      </c>
      <c r="AP31" s="51">
        <f>IF(A30="","",IF(A30&gt;NomMois,0,IF(A30&lt;$A$3,1.5,(NETWORKDAYS(A30,$A$2)/21.66667)*1.5)))</f>
        <v>1.5</v>
      </c>
      <c r="AQ31" s="45">
        <f>+AM31-AI31</f>
        <v>14.870000000000001</v>
      </c>
      <c r="AR31" s="45">
        <f>+IF(AP31="","",AP31-AJ31)</f>
        <v>1.5</v>
      </c>
      <c r="AS31" s="102">
        <f t="shared" ref="AS31:AS91" si="10">+AO31+AQ31</f>
        <v>31.51</v>
      </c>
    </row>
    <row r="32" spans="1:45" s="63" customFormat="1" ht="6.75" customHeight="1" x14ac:dyDescent="0.25">
      <c r="A32" s="60"/>
      <c r="B32" s="53"/>
      <c r="C32" s="60"/>
      <c r="D32" s="60"/>
      <c r="E32" s="60"/>
      <c r="F32" s="60"/>
      <c r="G32" s="60"/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1"/>
      <c r="AI32" s="61"/>
      <c r="AJ32" s="61"/>
      <c r="AK32" s="61"/>
      <c r="AL32" s="61"/>
      <c r="AM32" s="60"/>
      <c r="AN32" s="61"/>
      <c r="AO32" s="61"/>
      <c r="AP32" s="60"/>
      <c r="AQ32" s="69"/>
      <c r="AR32" s="69"/>
      <c r="AS32" s="65"/>
    </row>
    <row r="33" spans="1:45" s="63" customFormat="1" ht="12.95" customHeight="1" x14ac:dyDescent="0.25">
      <c r="A33" s="41"/>
      <c r="B33" s="42" t="s">
        <v>15</v>
      </c>
      <c r="C33" s="67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4">
        <f>COUNTA(Janvier!$C33:$AG33)</f>
        <v>0</v>
      </c>
      <c r="AI33" s="45">
        <f>(COUNTIFS(Janvier!$C33:$AG33,("cp")))/2+Décembre!AI33</f>
        <v>8.5</v>
      </c>
      <c r="AJ33" s="45">
        <f>COUNTIFS(Janvier!$C33:$AG33,"RTT")/2+Décembre!AJ33</f>
        <v>0</v>
      </c>
      <c r="AK33" s="45">
        <f>COUNTIFS(Janvier!$C33:$AG33,"m")/2+Décembre!AK33</f>
        <v>0</v>
      </c>
      <c r="AL33" s="45">
        <f>COUNTIFS(Janvier!$C33:$AG33,"a")/2+Décembre!AL33</f>
        <v>0</v>
      </c>
      <c r="AM33" s="46"/>
      <c r="AN33" s="47"/>
      <c r="AO33" s="47"/>
      <c r="AP33" s="46"/>
      <c r="AQ33" s="47"/>
      <c r="AR33" s="47"/>
      <c r="AS33" s="47"/>
    </row>
    <row r="34" spans="1:45" s="63" customFormat="1" ht="12.95" customHeight="1" x14ac:dyDescent="0.25">
      <c r="A34" s="48">
        <v>42110</v>
      </c>
      <c r="B34" s="42" t="s">
        <v>16</v>
      </c>
      <c r="C34" s="67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3"/>
      <c r="AE34" s="43"/>
      <c r="AF34" s="43"/>
      <c r="AG34" s="43"/>
      <c r="AH34" s="44">
        <f>COUNTA(Janvier!$C34:$AG34)</f>
        <v>0</v>
      </c>
      <c r="AI34" s="45">
        <f>(COUNTIFS(Janvier!$C34:$AG34,("cp")))/2+Décembre!AI34</f>
        <v>8.5</v>
      </c>
      <c r="AJ34" s="45">
        <f>COUNTIFS(Janvier!$C34:$AG34,"RTT")/2+Décembre!AJ34</f>
        <v>0</v>
      </c>
      <c r="AK34" s="45">
        <f>COUNTIFS(Janvier!$C34:$AG34,"m")/2+Décembre!AK34</f>
        <v>0</v>
      </c>
      <c r="AL34" s="45">
        <f>COUNTIFS(Janvier!$C34:$AG34,"a")/2+Décembre!AL34</f>
        <v>0</v>
      </c>
      <c r="AM34" s="46"/>
      <c r="AN34" s="47"/>
      <c r="AO34" s="47"/>
      <c r="AP34" s="46"/>
      <c r="AQ34" s="47"/>
      <c r="AR34" s="47"/>
      <c r="AS34" s="101"/>
    </row>
    <row r="35" spans="1:45" s="63" customFormat="1" ht="12.95" customHeight="1" x14ac:dyDescent="0.25">
      <c r="A35" s="41"/>
      <c r="B35" s="42"/>
      <c r="C35" s="49" t="str">
        <f t="shared" ref="C35:AG35" si="11">IF(C33&gt;0,C33,IF(C34&gt;0,C34,""))</f>
        <v/>
      </c>
      <c r="D35" s="49" t="str">
        <f t="shared" si="11"/>
        <v/>
      </c>
      <c r="E35" s="49" t="str">
        <f t="shared" si="11"/>
        <v/>
      </c>
      <c r="F35" s="49" t="str">
        <f t="shared" si="11"/>
        <v/>
      </c>
      <c r="G35" s="49" t="str">
        <f t="shared" si="11"/>
        <v/>
      </c>
      <c r="H35" s="49" t="str">
        <f t="shared" si="11"/>
        <v/>
      </c>
      <c r="I35" s="49" t="str">
        <f t="shared" si="11"/>
        <v/>
      </c>
      <c r="J35" s="49" t="str">
        <f t="shared" si="11"/>
        <v/>
      </c>
      <c r="K35" s="49" t="str">
        <f t="shared" si="11"/>
        <v/>
      </c>
      <c r="L35" s="49" t="str">
        <f t="shared" si="11"/>
        <v/>
      </c>
      <c r="M35" s="49" t="str">
        <f t="shared" si="11"/>
        <v/>
      </c>
      <c r="N35" s="49" t="str">
        <f t="shared" si="11"/>
        <v/>
      </c>
      <c r="O35" s="49" t="str">
        <f t="shared" si="11"/>
        <v/>
      </c>
      <c r="P35" s="49" t="str">
        <f t="shared" si="11"/>
        <v/>
      </c>
      <c r="Q35" s="49" t="str">
        <f t="shared" si="11"/>
        <v/>
      </c>
      <c r="R35" s="49" t="str">
        <f t="shared" si="11"/>
        <v/>
      </c>
      <c r="S35" s="49" t="str">
        <f t="shared" si="11"/>
        <v/>
      </c>
      <c r="T35" s="49" t="str">
        <f t="shared" si="11"/>
        <v/>
      </c>
      <c r="U35" s="49" t="str">
        <f t="shared" si="11"/>
        <v/>
      </c>
      <c r="V35" s="49" t="str">
        <f t="shared" si="11"/>
        <v/>
      </c>
      <c r="W35" s="49" t="str">
        <f t="shared" si="11"/>
        <v/>
      </c>
      <c r="X35" s="49" t="str">
        <f t="shared" si="11"/>
        <v/>
      </c>
      <c r="Y35" s="49" t="str">
        <f t="shared" si="11"/>
        <v/>
      </c>
      <c r="Z35" s="49" t="str">
        <f t="shared" si="11"/>
        <v/>
      </c>
      <c r="AA35" s="49" t="str">
        <f t="shared" si="11"/>
        <v/>
      </c>
      <c r="AB35" s="49" t="str">
        <f t="shared" si="11"/>
        <v/>
      </c>
      <c r="AC35" s="49" t="str">
        <f t="shared" si="11"/>
        <v/>
      </c>
      <c r="AD35" s="49" t="str">
        <f t="shared" si="11"/>
        <v/>
      </c>
      <c r="AE35" s="49" t="str">
        <f t="shared" si="11"/>
        <v/>
      </c>
      <c r="AF35" s="49" t="str">
        <f t="shared" si="11"/>
        <v/>
      </c>
      <c r="AG35" s="49" t="str">
        <f t="shared" si="11"/>
        <v/>
      </c>
      <c r="AH35" s="44">
        <f>SUM(AH33:AH34)</f>
        <v>0</v>
      </c>
      <c r="AI35" s="45">
        <f>SUM(AI33:AI34)</f>
        <v>17</v>
      </c>
      <c r="AJ35" s="45">
        <f>SUM(AJ33:AJ34)</f>
        <v>0</v>
      </c>
      <c r="AK35" s="45">
        <f>SUM(AK33:AK34)</f>
        <v>0</v>
      </c>
      <c r="AL35" s="45">
        <f>SUM(AL33:AL34)</f>
        <v>0</v>
      </c>
      <c r="AM35" s="50">
        <f>Juin!AM35</f>
        <v>14.56</v>
      </c>
      <c r="AN35" s="51">
        <f>IF(A34="","",IF(A34&gt;NomMois,0,IF(A34&lt;$A$3,2.08,(NETWORKDAYS(A34,$A$2)/21.66667)*2.08)))</f>
        <v>2.08</v>
      </c>
      <c r="AO35" s="51">
        <f>IF( AN35="",0,+AN35+Décembre!AO35)</f>
        <v>16.64</v>
      </c>
      <c r="AP35" s="51">
        <f>IF(A34="","",IF(A34&gt;NomMois,0,IF(A34&lt;$A$3,1.5,(NETWORKDAYS(A34,$A$2)/21.66667)*1.5)))</f>
        <v>1.5</v>
      </c>
      <c r="AQ35" s="45">
        <f>+AM35-AI35</f>
        <v>-2.4399999999999995</v>
      </c>
      <c r="AR35" s="45">
        <f>+IF(AP35="","",AP35-AJ35)</f>
        <v>1.5</v>
      </c>
      <c r="AS35" s="102">
        <f t="shared" si="10"/>
        <v>14.200000000000001</v>
      </c>
    </row>
    <row r="36" spans="1:45" s="63" customFormat="1" ht="6.75" customHeight="1" x14ac:dyDescent="0.25">
      <c r="A36" s="60"/>
      <c r="B36" s="53"/>
      <c r="C36" s="60"/>
      <c r="D36" s="60"/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0"/>
      <c r="Z36" s="60"/>
      <c r="AA36" s="60"/>
      <c r="AB36" s="60"/>
      <c r="AC36" s="60"/>
      <c r="AD36" s="60"/>
      <c r="AE36" s="60"/>
      <c r="AF36" s="60"/>
      <c r="AG36" s="60"/>
      <c r="AH36" s="61"/>
      <c r="AI36" s="61"/>
      <c r="AJ36" s="61"/>
      <c r="AK36" s="61"/>
      <c r="AL36" s="61"/>
      <c r="AM36" s="60"/>
      <c r="AN36" s="61"/>
      <c r="AO36" s="61"/>
      <c r="AP36" s="60"/>
      <c r="AQ36" s="61"/>
      <c r="AR36" s="61"/>
      <c r="AS36" s="65"/>
    </row>
    <row r="37" spans="1:45" s="63" customFormat="1" ht="12.95" customHeight="1" x14ac:dyDescent="0.25">
      <c r="A37" s="41"/>
      <c r="B37" s="42" t="s">
        <v>15</v>
      </c>
      <c r="C37" s="67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  <c r="AB37" s="43"/>
      <c r="AC37" s="43"/>
      <c r="AD37" s="43"/>
      <c r="AE37" s="43"/>
      <c r="AF37" s="43"/>
      <c r="AG37" s="43"/>
      <c r="AH37" s="44">
        <f>COUNTA(Janvier!$C37:$AG37)</f>
        <v>0</v>
      </c>
      <c r="AI37" s="45">
        <f>(COUNTIFS(Janvier!$C37:$AG37,("cp")))/2+Décembre!AI37</f>
        <v>6</v>
      </c>
      <c r="AJ37" s="45">
        <f>COUNTIFS(Janvier!$C37:$AG37,"RTT")/2+Décembre!AJ37</f>
        <v>0</v>
      </c>
      <c r="AK37" s="45">
        <f>COUNTIFS(Janvier!$C37:$AG37,"m")/2+Décembre!AK37</f>
        <v>0</v>
      </c>
      <c r="AL37" s="45">
        <f>COUNTIFS(Janvier!$C37:$AG37,"a")/2+Décembre!AL37</f>
        <v>0</v>
      </c>
      <c r="AM37" s="46"/>
      <c r="AN37" s="47"/>
      <c r="AO37" s="47"/>
      <c r="AP37" s="46"/>
      <c r="AQ37" s="47"/>
      <c r="AR37" s="47"/>
      <c r="AS37" s="47"/>
    </row>
    <row r="38" spans="1:45" s="63" customFormat="1" ht="12.95" customHeight="1" x14ac:dyDescent="0.25">
      <c r="A38" s="48">
        <v>42373</v>
      </c>
      <c r="B38" s="42" t="s">
        <v>16</v>
      </c>
      <c r="C38" s="67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4">
        <f>COUNTA(Janvier!$C38:$AG38)</f>
        <v>0</v>
      </c>
      <c r="AI38" s="45">
        <f>(COUNTIFS(Janvier!$C38:$AG38,("cp")))/2+Décembre!AI38</f>
        <v>6</v>
      </c>
      <c r="AJ38" s="45">
        <f>COUNTIFS(Janvier!$C38:$AG38,"RTT")/2+Décembre!AJ38</f>
        <v>0</v>
      </c>
      <c r="AK38" s="45">
        <f>COUNTIFS(Janvier!$C38:$AG38,"m")/2+Décembre!AK38</f>
        <v>0</v>
      </c>
      <c r="AL38" s="45">
        <f>COUNTIFS(Janvier!$C38:$AG38,"a")/2+Décembre!AL38</f>
        <v>0</v>
      </c>
      <c r="AM38" s="46"/>
      <c r="AN38" s="47"/>
      <c r="AO38" s="47"/>
      <c r="AP38" s="46"/>
      <c r="AQ38" s="47"/>
      <c r="AR38" s="47"/>
      <c r="AS38" s="101"/>
    </row>
    <row r="39" spans="1:45" s="63" customFormat="1" ht="12.95" customHeight="1" x14ac:dyDescent="0.25">
      <c r="A39" s="41"/>
      <c r="B39" s="42"/>
      <c r="C39" s="49" t="str">
        <f t="shared" ref="C39:AG39" si="12">IF(C37&gt;0,C37,IF(C38&gt;0,C38,""))</f>
        <v/>
      </c>
      <c r="D39" s="49" t="str">
        <f t="shared" si="12"/>
        <v/>
      </c>
      <c r="E39" s="49" t="str">
        <f t="shared" si="12"/>
        <v/>
      </c>
      <c r="F39" s="49" t="str">
        <f t="shared" si="12"/>
        <v/>
      </c>
      <c r="G39" s="49" t="str">
        <f t="shared" si="12"/>
        <v/>
      </c>
      <c r="H39" s="49" t="str">
        <f t="shared" si="12"/>
        <v/>
      </c>
      <c r="I39" s="49" t="str">
        <f t="shared" si="12"/>
        <v/>
      </c>
      <c r="J39" s="49" t="str">
        <f t="shared" si="12"/>
        <v/>
      </c>
      <c r="K39" s="49" t="str">
        <f t="shared" si="12"/>
        <v/>
      </c>
      <c r="L39" s="49" t="str">
        <f t="shared" si="12"/>
        <v/>
      </c>
      <c r="M39" s="49" t="str">
        <f t="shared" si="12"/>
        <v/>
      </c>
      <c r="N39" s="49" t="str">
        <f t="shared" si="12"/>
        <v/>
      </c>
      <c r="O39" s="49" t="str">
        <f t="shared" si="12"/>
        <v/>
      </c>
      <c r="P39" s="49" t="str">
        <f t="shared" si="12"/>
        <v/>
      </c>
      <c r="Q39" s="49" t="str">
        <f t="shared" si="12"/>
        <v/>
      </c>
      <c r="R39" s="49" t="str">
        <f t="shared" si="12"/>
        <v/>
      </c>
      <c r="S39" s="49" t="str">
        <f t="shared" si="12"/>
        <v/>
      </c>
      <c r="T39" s="49" t="str">
        <f t="shared" si="12"/>
        <v/>
      </c>
      <c r="U39" s="49" t="str">
        <f t="shared" si="12"/>
        <v/>
      </c>
      <c r="V39" s="49" t="str">
        <f t="shared" si="12"/>
        <v/>
      </c>
      <c r="W39" s="49" t="str">
        <f t="shared" si="12"/>
        <v/>
      </c>
      <c r="X39" s="49" t="str">
        <f t="shared" si="12"/>
        <v/>
      </c>
      <c r="Y39" s="49" t="str">
        <f t="shared" si="12"/>
        <v/>
      </c>
      <c r="Z39" s="49" t="str">
        <f t="shared" si="12"/>
        <v/>
      </c>
      <c r="AA39" s="49" t="str">
        <f t="shared" si="12"/>
        <v/>
      </c>
      <c r="AB39" s="49" t="str">
        <f t="shared" si="12"/>
        <v/>
      </c>
      <c r="AC39" s="49" t="str">
        <f t="shared" si="12"/>
        <v/>
      </c>
      <c r="AD39" s="49" t="str">
        <f t="shared" si="12"/>
        <v/>
      </c>
      <c r="AE39" s="49" t="str">
        <f t="shared" si="12"/>
        <v/>
      </c>
      <c r="AF39" s="49" t="str">
        <f t="shared" si="12"/>
        <v/>
      </c>
      <c r="AG39" s="49" t="str">
        <f t="shared" si="12"/>
        <v/>
      </c>
      <c r="AH39" s="44">
        <f>SUM(AH37:AH38)</f>
        <v>0</v>
      </c>
      <c r="AI39" s="45">
        <f>SUM(AI37:AI38)</f>
        <v>12</v>
      </c>
      <c r="AJ39" s="45">
        <f>SUM(AJ37:AJ38)</f>
        <v>0</v>
      </c>
      <c r="AK39" s="45">
        <f>SUM(AK37:AK38)</f>
        <v>0</v>
      </c>
      <c r="AL39" s="45">
        <f>SUM(AL37:AL38)</f>
        <v>0</v>
      </c>
      <c r="AM39" s="50">
        <f>Juin!AM39</f>
        <v>14.14</v>
      </c>
      <c r="AN39" s="51">
        <f>IF(A38="","",IF(A38&gt;NomMois,0,IF(A38&lt;$A$3,2.08,(NETWORKDAYS(A38,$A$2)/21.66667)*2.08)))</f>
        <v>2.08</v>
      </c>
      <c r="AO39" s="51">
        <f>IF( AN39="",0,+AN39+Décembre!AO39)</f>
        <v>16.64</v>
      </c>
      <c r="AP39" s="51">
        <f>IF(A38="","",IF(A38&gt;NomMois,0,IF(A38&lt;$A$3,1.5,(NETWORKDAYS(A38,$A$2)/21.66667)*1.5)))</f>
        <v>1.5</v>
      </c>
      <c r="AQ39" s="45">
        <f>+AM39-AI39</f>
        <v>2.1400000000000006</v>
      </c>
      <c r="AR39" s="45">
        <f>+IF(AP39="","",AP39-AJ39)</f>
        <v>1.5</v>
      </c>
      <c r="AS39" s="102">
        <f t="shared" si="10"/>
        <v>18.78</v>
      </c>
    </row>
    <row r="40" spans="1:45" s="63" customFormat="1" ht="6.75" customHeight="1" x14ac:dyDescent="0.25">
      <c r="A40" s="60"/>
      <c r="B40" s="53"/>
      <c r="C40" s="60"/>
      <c r="D40" s="60"/>
      <c r="E40" s="60"/>
      <c r="F40" s="60"/>
      <c r="G40" s="60"/>
      <c r="H40" s="60"/>
      <c r="I40" s="60"/>
      <c r="J40" s="60"/>
      <c r="K40" s="60"/>
      <c r="L40" s="60"/>
      <c r="M40" s="60"/>
      <c r="N40" s="60"/>
      <c r="O40" s="60"/>
      <c r="P40" s="60"/>
      <c r="Q40" s="60"/>
      <c r="R40" s="60"/>
      <c r="S40" s="60"/>
      <c r="T40" s="60"/>
      <c r="U40" s="60"/>
      <c r="V40" s="60"/>
      <c r="W40" s="60"/>
      <c r="X40" s="60"/>
      <c r="Y40" s="60"/>
      <c r="Z40" s="60"/>
      <c r="AA40" s="60"/>
      <c r="AB40" s="60"/>
      <c r="AC40" s="60"/>
      <c r="AD40" s="60"/>
      <c r="AE40" s="60"/>
      <c r="AF40" s="60"/>
      <c r="AG40" s="60"/>
      <c r="AH40" s="61"/>
      <c r="AI40" s="61"/>
      <c r="AJ40" s="61"/>
      <c r="AK40" s="61"/>
      <c r="AL40" s="61"/>
      <c r="AM40" s="60"/>
      <c r="AN40" s="61"/>
      <c r="AO40" s="61"/>
      <c r="AP40" s="60"/>
      <c r="AQ40" s="61"/>
      <c r="AR40" s="61"/>
      <c r="AS40" s="65"/>
    </row>
    <row r="41" spans="1:45" s="63" customFormat="1" ht="12.95" customHeight="1" x14ac:dyDescent="0.25">
      <c r="A41" s="41"/>
      <c r="B41" s="42" t="s">
        <v>15</v>
      </c>
      <c r="C41" s="67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4">
        <f>COUNTA(Janvier!$C41:$AG41)</f>
        <v>0</v>
      </c>
      <c r="AI41" s="45">
        <f>(COUNTIFS(Janvier!$C41:$AG41,("cp")))/2+Décembre!AI41</f>
        <v>7.5</v>
      </c>
      <c r="AJ41" s="45">
        <f>COUNTIFS(Janvier!$C41:$AG41,"RTT")/2+Décembre!AJ41</f>
        <v>0</v>
      </c>
      <c r="AK41" s="45">
        <f>COUNTIFS(Janvier!$C41:$AG41,"m")/2+Décembre!AK41</f>
        <v>0</v>
      </c>
      <c r="AL41" s="45">
        <f>COUNTIFS(Janvier!$C41:$AG41,"a")/2+Décembre!AL41</f>
        <v>0</v>
      </c>
      <c r="AM41" s="46"/>
      <c r="AN41" s="47"/>
      <c r="AO41" s="47"/>
      <c r="AP41" s="46"/>
      <c r="AQ41" s="47"/>
      <c r="AR41" s="47"/>
      <c r="AS41" s="47"/>
    </row>
    <row r="42" spans="1:45" s="63" customFormat="1" ht="12.95" customHeight="1" x14ac:dyDescent="0.25">
      <c r="A42" s="48">
        <v>41821</v>
      </c>
      <c r="B42" s="42" t="s">
        <v>16</v>
      </c>
      <c r="C42" s="67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3"/>
      <c r="AE42" s="43"/>
      <c r="AF42" s="43"/>
      <c r="AG42" s="43"/>
      <c r="AH42" s="44">
        <f>COUNTA(Janvier!$C42:$AG42)</f>
        <v>0</v>
      </c>
      <c r="AI42" s="45">
        <f>(COUNTIFS(Janvier!$C42:$AG42,("cp")))/2+Décembre!AI42</f>
        <v>7.5</v>
      </c>
      <c r="AJ42" s="45">
        <f>COUNTIFS(Janvier!$C42:$AG42,"RTT")/2+Décembre!AJ42</f>
        <v>0</v>
      </c>
      <c r="AK42" s="45">
        <f>COUNTIFS(Janvier!$C42:$AG42,"m")/2+Décembre!AK42</f>
        <v>0</v>
      </c>
      <c r="AL42" s="45">
        <f>COUNTIFS(Janvier!$C42:$AG42,"a")/2+Décembre!AL42</f>
        <v>0</v>
      </c>
      <c r="AM42" s="46"/>
      <c r="AN42" s="47"/>
      <c r="AO42" s="47"/>
      <c r="AP42" s="46"/>
      <c r="AQ42" s="47"/>
      <c r="AR42" s="47"/>
      <c r="AS42" s="101"/>
    </row>
    <row r="43" spans="1:45" s="63" customFormat="1" ht="12.95" customHeight="1" x14ac:dyDescent="0.25">
      <c r="A43" s="41"/>
      <c r="B43" s="42"/>
      <c r="C43" s="49" t="str">
        <f t="shared" ref="C43:AG43" si="13">IF(C41&gt;0,C41,IF(C42&gt;0,C42,""))</f>
        <v/>
      </c>
      <c r="D43" s="49" t="str">
        <f t="shared" si="13"/>
        <v/>
      </c>
      <c r="E43" s="49" t="str">
        <f t="shared" si="13"/>
        <v/>
      </c>
      <c r="F43" s="49" t="str">
        <f t="shared" si="13"/>
        <v/>
      </c>
      <c r="G43" s="49" t="str">
        <f t="shared" si="13"/>
        <v/>
      </c>
      <c r="H43" s="49" t="str">
        <f t="shared" si="13"/>
        <v/>
      </c>
      <c r="I43" s="49" t="str">
        <f t="shared" si="13"/>
        <v/>
      </c>
      <c r="J43" s="49" t="str">
        <f t="shared" si="13"/>
        <v/>
      </c>
      <c r="K43" s="49" t="str">
        <f t="shared" si="13"/>
        <v/>
      </c>
      <c r="L43" s="49" t="str">
        <f t="shared" si="13"/>
        <v/>
      </c>
      <c r="M43" s="49" t="str">
        <f t="shared" si="13"/>
        <v/>
      </c>
      <c r="N43" s="49" t="str">
        <f t="shared" si="13"/>
        <v/>
      </c>
      <c r="O43" s="49" t="str">
        <f t="shared" si="13"/>
        <v/>
      </c>
      <c r="P43" s="49" t="str">
        <f t="shared" si="13"/>
        <v/>
      </c>
      <c r="Q43" s="49" t="str">
        <f t="shared" si="13"/>
        <v/>
      </c>
      <c r="R43" s="49" t="str">
        <f t="shared" si="13"/>
        <v/>
      </c>
      <c r="S43" s="49" t="str">
        <f t="shared" si="13"/>
        <v/>
      </c>
      <c r="T43" s="49" t="str">
        <f t="shared" si="13"/>
        <v/>
      </c>
      <c r="U43" s="49" t="str">
        <f t="shared" si="13"/>
        <v/>
      </c>
      <c r="V43" s="49" t="str">
        <f t="shared" si="13"/>
        <v/>
      </c>
      <c r="W43" s="49" t="str">
        <f t="shared" si="13"/>
        <v/>
      </c>
      <c r="X43" s="49" t="str">
        <f t="shared" si="13"/>
        <v/>
      </c>
      <c r="Y43" s="49" t="str">
        <f t="shared" si="13"/>
        <v/>
      </c>
      <c r="Z43" s="49" t="str">
        <f t="shared" si="13"/>
        <v/>
      </c>
      <c r="AA43" s="49" t="str">
        <f t="shared" si="13"/>
        <v/>
      </c>
      <c r="AB43" s="49" t="str">
        <f t="shared" si="13"/>
        <v/>
      </c>
      <c r="AC43" s="49" t="str">
        <f t="shared" si="13"/>
        <v/>
      </c>
      <c r="AD43" s="49" t="str">
        <f t="shared" si="13"/>
        <v/>
      </c>
      <c r="AE43" s="49" t="str">
        <f t="shared" si="13"/>
        <v/>
      </c>
      <c r="AF43" s="49" t="str">
        <f t="shared" si="13"/>
        <v/>
      </c>
      <c r="AG43" s="49" t="str">
        <f t="shared" si="13"/>
        <v/>
      </c>
      <c r="AH43" s="44">
        <f>SUM(AH41:AH42)</f>
        <v>0</v>
      </c>
      <c r="AI43" s="45">
        <f>SUM(AI41:AI42)</f>
        <v>15</v>
      </c>
      <c r="AJ43" s="45">
        <f>SUM(AJ41:AJ42)</f>
        <v>0</v>
      </c>
      <c r="AK43" s="45">
        <f>SUM(AK41:AK42)</f>
        <v>0</v>
      </c>
      <c r="AL43" s="45">
        <f>SUM(AL41:AL42)</f>
        <v>0</v>
      </c>
      <c r="AM43" s="50">
        <f>Juin!AM43</f>
        <v>20.38</v>
      </c>
      <c r="AN43" s="51">
        <f>IF(A42="","",IF(A42&gt;NomMois,0,IF(A42&lt;$A$3,2.08,(NETWORKDAYS(A42,$A$2)/21.66667)*2.08)))</f>
        <v>2.08</v>
      </c>
      <c r="AO43" s="51">
        <f>IF( AN43="",0,+AN43+Décembre!AO43)</f>
        <v>16.64</v>
      </c>
      <c r="AP43" s="51">
        <f>IF(A42="","",IF(A42&gt;NomMois,0,IF(A42&lt;$A$3,1.5,(NETWORKDAYS(A42,$A$2)/21.66667)*1.5)))</f>
        <v>1.5</v>
      </c>
      <c r="AQ43" s="45">
        <f>+AM43-AI43</f>
        <v>5.379999999999999</v>
      </c>
      <c r="AR43" s="45">
        <f>+IF(AP43="","",AP43-AJ43)</f>
        <v>1.5</v>
      </c>
      <c r="AS43" s="102">
        <f t="shared" si="10"/>
        <v>22.02</v>
      </c>
    </row>
    <row r="44" spans="1:45" s="63" customFormat="1" ht="6.75" customHeight="1" x14ac:dyDescent="0.25">
      <c r="A44" s="60"/>
      <c r="B44" s="53"/>
      <c r="C44" s="60"/>
      <c r="D44" s="60"/>
      <c r="E44" s="60"/>
      <c r="F44" s="60"/>
      <c r="G44" s="60"/>
      <c r="H44" s="60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61"/>
      <c r="AI44" s="61"/>
      <c r="AJ44" s="61"/>
      <c r="AK44" s="61"/>
      <c r="AL44" s="61"/>
      <c r="AM44" s="60"/>
      <c r="AN44" s="61"/>
      <c r="AO44" s="61"/>
      <c r="AP44" s="60"/>
      <c r="AQ44" s="69"/>
      <c r="AR44" s="69"/>
      <c r="AS44" s="65"/>
    </row>
    <row r="45" spans="1:45" s="63" customFormat="1" ht="12.95" customHeight="1" x14ac:dyDescent="0.25">
      <c r="A45" s="41"/>
      <c r="B45" s="42" t="s">
        <v>15</v>
      </c>
      <c r="C45" s="67"/>
      <c r="D45" s="106" t="s">
        <v>24</v>
      </c>
      <c r="E45" s="106" t="s">
        <v>7</v>
      </c>
      <c r="F45" s="106" t="s">
        <v>7</v>
      </c>
      <c r="G45" s="106" t="s">
        <v>7</v>
      </c>
      <c r="H45" s="43"/>
      <c r="I45" s="43"/>
      <c r="J45" s="106" t="s">
        <v>7</v>
      </c>
      <c r="K45" s="106" t="s">
        <v>7</v>
      </c>
      <c r="L45" s="106" t="s">
        <v>7</v>
      </c>
      <c r="M45" s="106" t="s">
        <v>7</v>
      </c>
      <c r="N45" s="106" t="s">
        <v>7</v>
      </c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4">
        <f>COUNTA(Janvier!$C45:$AG45)</f>
        <v>9</v>
      </c>
      <c r="AI45" s="45">
        <f>(COUNTIFS(Janvier!$C45:$AG45,("cp")))/2+Décembre!AI45</f>
        <v>5.5</v>
      </c>
      <c r="AJ45" s="45">
        <f>COUNTIFS(Janvier!$C45:$AG45,"RTT")/2+Décembre!AJ45</f>
        <v>0</v>
      </c>
      <c r="AK45" s="45">
        <f>COUNTIFS(Janvier!$C45:$AG45,"m")/2+Décembre!AK45</f>
        <v>0</v>
      </c>
      <c r="AL45" s="45">
        <f>COUNTIFS(Janvier!$C45:$AG45,"a")/2+Décembre!AL45</f>
        <v>0</v>
      </c>
      <c r="AM45" s="46"/>
      <c r="AN45" s="47"/>
      <c r="AO45" s="47"/>
      <c r="AP45" s="46"/>
      <c r="AQ45" s="47"/>
      <c r="AR45" s="47"/>
      <c r="AS45" s="47"/>
    </row>
    <row r="46" spans="1:45" s="63" customFormat="1" ht="12.95" customHeight="1" x14ac:dyDescent="0.25">
      <c r="A46" s="48">
        <v>40575</v>
      </c>
      <c r="B46" s="42" t="s">
        <v>16</v>
      </c>
      <c r="C46" s="67"/>
      <c r="D46" s="106" t="s">
        <v>7</v>
      </c>
      <c r="E46" s="106" t="s">
        <v>7</v>
      </c>
      <c r="F46" s="106" t="s">
        <v>7</v>
      </c>
      <c r="G46" s="106" t="s">
        <v>7</v>
      </c>
      <c r="H46" s="43"/>
      <c r="I46" s="43"/>
      <c r="J46" s="106" t="s">
        <v>7</v>
      </c>
      <c r="K46" s="106" t="s">
        <v>7</v>
      </c>
      <c r="L46" s="106" t="s">
        <v>7</v>
      </c>
      <c r="M46" s="106" t="s">
        <v>7</v>
      </c>
      <c r="N46" s="106" t="s">
        <v>7</v>
      </c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3"/>
      <c r="AC46" s="43"/>
      <c r="AD46" s="43"/>
      <c r="AE46" s="43"/>
      <c r="AF46" s="43"/>
      <c r="AG46" s="43"/>
      <c r="AH46" s="44">
        <f>COUNTA(Janvier!$C46:$AG46)</f>
        <v>9</v>
      </c>
      <c r="AI46" s="45">
        <f>(COUNTIFS(Janvier!$C46:$AG46,("cp")))/2+Décembre!AI46</f>
        <v>6</v>
      </c>
      <c r="AJ46" s="45">
        <f>COUNTIFS(Janvier!$C46:$AG46,"RTT")/2+Décembre!AJ46</f>
        <v>0</v>
      </c>
      <c r="AK46" s="45">
        <f>COUNTIFS(Janvier!$C46:$AG46,"m")/2+Décembre!AK46</f>
        <v>0</v>
      </c>
      <c r="AL46" s="45">
        <f>COUNTIFS(Janvier!$C46:$AG46,"a")/2+Décembre!AL46</f>
        <v>0</v>
      </c>
      <c r="AM46" s="46"/>
      <c r="AN46" s="47"/>
      <c r="AO46" s="47"/>
      <c r="AP46" s="46"/>
      <c r="AQ46" s="47"/>
      <c r="AR46" s="47"/>
      <c r="AS46" s="101"/>
    </row>
    <row r="47" spans="1:45" s="63" customFormat="1" ht="12.95" customHeight="1" x14ac:dyDescent="0.25">
      <c r="A47" s="41"/>
      <c r="B47" s="42"/>
      <c r="C47" s="49" t="str">
        <f t="shared" ref="C47:AG47" si="14">IF(C45&gt;0,C45,IF(C46&gt;0,C46,""))</f>
        <v/>
      </c>
      <c r="D47" s="107" t="str">
        <f t="shared" si="14"/>
        <v>cp</v>
      </c>
      <c r="E47" s="107" t="str">
        <f t="shared" si="14"/>
        <v>CP</v>
      </c>
      <c r="F47" s="107" t="str">
        <f t="shared" si="14"/>
        <v>CP</v>
      </c>
      <c r="G47" s="107" t="str">
        <f t="shared" si="14"/>
        <v>CP</v>
      </c>
      <c r="H47" s="49" t="str">
        <f t="shared" si="14"/>
        <v/>
      </c>
      <c r="I47" s="49" t="str">
        <f t="shared" si="14"/>
        <v/>
      </c>
      <c r="J47" s="107" t="str">
        <f t="shared" si="14"/>
        <v>CP</v>
      </c>
      <c r="K47" s="107" t="str">
        <f t="shared" si="14"/>
        <v>CP</v>
      </c>
      <c r="L47" s="107" t="str">
        <f t="shared" si="14"/>
        <v>CP</v>
      </c>
      <c r="M47" s="107" t="str">
        <f t="shared" si="14"/>
        <v>CP</v>
      </c>
      <c r="N47" s="107" t="str">
        <f t="shared" si="14"/>
        <v>CP</v>
      </c>
      <c r="O47" s="49" t="str">
        <f t="shared" si="14"/>
        <v/>
      </c>
      <c r="P47" s="49" t="str">
        <f t="shared" si="14"/>
        <v/>
      </c>
      <c r="Q47" s="49" t="str">
        <f t="shared" si="14"/>
        <v/>
      </c>
      <c r="R47" s="49" t="str">
        <f t="shared" si="14"/>
        <v/>
      </c>
      <c r="S47" s="49" t="str">
        <f t="shared" si="14"/>
        <v/>
      </c>
      <c r="T47" s="49" t="str">
        <f t="shared" si="14"/>
        <v/>
      </c>
      <c r="U47" s="49" t="str">
        <f t="shared" si="14"/>
        <v/>
      </c>
      <c r="V47" s="49" t="str">
        <f t="shared" si="14"/>
        <v/>
      </c>
      <c r="W47" s="49" t="str">
        <f t="shared" si="14"/>
        <v/>
      </c>
      <c r="X47" s="49" t="str">
        <f t="shared" si="14"/>
        <v/>
      </c>
      <c r="Y47" s="49" t="str">
        <f t="shared" si="14"/>
        <v/>
      </c>
      <c r="Z47" s="49" t="str">
        <f t="shared" si="14"/>
        <v/>
      </c>
      <c r="AA47" s="49" t="str">
        <f t="shared" si="14"/>
        <v/>
      </c>
      <c r="AB47" s="49" t="str">
        <f t="shared" si="14"/>
        <v/>
      </c>
      <c r="AC47" s="49" t="str">
        <f t="shared" si="14"/>
        <v/>
      </c>
      <c r="AD47" s="49" t="str">
        <f t="shared" si="14"/>
        <v/>
      </c>
      <c r="AE47" s="49" t="str">
        <f t="shared" si="14"/>
        <v/>
      </c>
      <c r="AF47" s="49" t="str">
        <f t="shared" si="14"/>
        <v/>
      </c>
      <c r="AG47" s="49" t="str">
        <f t="shared" si="14"/>
        <v/>
      </c>
      <c r="AH47" s="44">
        <f>SUM(AH45:AH46)</f>
        <v>18</v>
      </c>
      <c r="AI47" s="45">
        <f>SUM(AI45:AI46)</f>
        <v>11.5</v>
      </c>
      <c r="AJ47" s="45">
        <f>SUM(AJ45:AJ46)</f>
        <v>0</v>
      </c>
      <c r="AK47" s="45">
        <f>SUM(AK45:AK46)</f>
        <v>0</v>
      </c>
      <c r="AL47" s="45">
        <f>SUM(AL45:AL46)</f>
        <v>0</v>
      </c>
      <c r="AM47" s="50">
        <f>Juin!AM47</f>
        <v>24.96</v>
      </c>
      <c r="AN47" s="51">
        <f>IF(A46="","",IF(A46&gt;NomMois,0,IF(A46&lt;$A$3,2.08,(NETWORKDAYS(A46,$A$2)/21.66667)*2.08)))</f>
        <v>2.08</v>
      </c>
      <c r="AO47" s="51">
        <f>IF( AN47="",0,+AN47+Décembre!AO47)</f>
        <v>16.64</v>
      </c>
      <c r="AP47" s="51">
        <f>IF(A46="","",IF(A46&gt;NomMois,0,IF(A46&lt;$A$3,1.5,(NETWORKDAYS(A46,$A$2)/21.66667)*1.5)))</f>
        <v>1.5</v>
      </c>
      <c r="AQ47" s="45">
        <f>+AM47-AI47</f>
        <v>13.46</v>
      </c>
      <c r="AR47" s="45">
        <f>+IF(AP47="","",AP47-AJ47)</f>
        <v>1.5</v>
      </c>
      <c r="AS47" s="102">
        <f t="shared" si="10"/>
        <v>30.1</v>
      </c>
    </row>
    <row r="48" spans="1:45" s="63" customFormat="1" ht="6.75" customHeight="1" x14ac:dyDescent="0.25">
      <c r="A48" s="60"/>
      <c r="B48" s="53"/>
      <c r="C48" s="60"/>
      <c r="D48" s="60"/>
      <c r="E48" s="60"/>
      <c r="F48" s="60"/>
      <c r="G48" s="60"/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60"/>
      <c r="Z48" s="60"/>
      <c r="AA48" s="60"/>
      <c r="AB48" s="60"/>
      <c r="AC48" s="60"/>
      <c r="AD48" s="60"/>
      <c r="AE48" s="60"/>
      <c r="AF48" s="60"/>
      <c r="AG48" s="60"/>
      <c r="AH48" s="61"/>
      <c r="AI48" s="61"/>
      <c r="AJ48" s="61"/>
      <c r="AK48" s="61"/>
      <c r="AL48" s="61"/>
      <c r="AM48" s="60"/>
      <c r="AN48" s="61"/>
      <c r="AO48" s="61"/>
      <c r="AP48" s="60"/>
      <c r="AQ48" s="69"/>
      <c r="AR48" s="69"/>
      <c r="AS48" s="65"/>
    </row>
    <row r="49" spans="1:45" s="63" customFormat="1" ht="12.95" customHeight="1" x14ac:dyDescent="0.25">
      <c r="A49" s="41"/>
      <c r="B49" s="42" t="s">
        <v>15</v>
      </c>
      <c r="C49" s="67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  <c r="AA49" s="43"/>
      <c r="AB49" s="43"/>
      <c r="AC49" s="43"/>
      <c r="AD49" s="43"/>
      <c r="AE49" s="43"/>
      <c r="AF49" s="43"/>
      <c r="AG49" s="43"/>
      <c r="AH49" s="44">
        <f>COUNTA(Janvier!$C49:$AG49)</f>
        <v>0</v>
      </c>
      <c r="AI49" s="45">
        <f>(COUNTIFS(Janvier!$C49:$AG49,("cp")))/2+Décembre!AI49</f>
        <v>3</v>
      </c>
      <c r="AJ49" s="45">
        <f>COUNTIFS(Janvier!$C49:$AG49,"RTT")/2+Décembre!AJ49</f>
        <v>0</v>
      </c>
      <c r="AK49" s="45">
        <f>COUNTIFS(Janvier!$C49:$AG49,"m")/2+Décembre!AK49</f>
        <v>0</v>
      </c>
      <c r="AL49" s="45">
        <f>COUNTIFS(Janvier!$C49:$AG49,"a")/2+Décembre!AL49</f>
        <v>0</v>
      </c>
      <c r="AM49" s="46"/>
      <c r="AN49" s="47"/>
      <c r="AO49" s="47"/>
      <c r="AP49" s="46"/>
      <c r="AQ49" s="47"/>
      <c r="AR49" s="47"/>
      <c r="AS49" s="47"/>
    </row>
    <row r="50" spans="1:45" s="63" customFormat="1" ht="12.95" customHeight="1" x14ac:dyDescent="0.25">
      <c r="A50" s="48">
        <v>42793</v>
      </c>
      <c r="B50" s="42" t="s">
        <v>16</v>
      </c>
      <c r="C50" s="67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  <c r="AA50" s="43"/>
      <c r="AB50" s="43"/>
      <c r="AC50" s="43"/>
      <c r="AD50" s="43"/>
      <c r="AE50" s="43"/>
      <c r="AF50" s="43"/>
      <c r="AG50" s="43"/>
      <c r="AH50" s="44">
        <f>COUNTA(Janvier!$C50:$AG50)</f>
        <v>0</v>
      </c>
      <c r="AI50" s="45">
        <f>(COUNTIFS(Janvier!$C50:$AG50,("cp")))/2+Décembre!AI50</f>
        <v>3</v>
      </c>
      <c r="AJ50" s="45">
        <f>COUNTIFS(Janvier!$C50:$AG50,"RTT")/2+Décembre!AJ50</f>
        <v>0</v>
      </c>
      <c r="AK50" s="45">
        <f>COUNTIFS(Janvier!$C50:$AG50,"m")/2+Décembre!AK50</f>
        <v>0</v>
      </c>
      <c r="AL50" s="45">
        <f>COUNTIFS(Janvier!$C50:$AG50,"a")/2+Décembre!AL50</f>
        <v>0</v>
      </c>
      <c r="AM50" s="46"/>
      <c r="AN50" s="47"/>
      <c r="AO50" s="47"/>
      <c r="AP50" s="46"/>
      <c r="AQ50" s="47"/>
      <c r="AR50" s="47"/>
      <c r="AS50" s="101"/>
    </row>
    <row r="51" spans="1:45" s="63" customFormat="1" ht="12.95" customHeight="1" x14ac:dyDescent="0.25">
      <c r="A51" s="41"/>
      <c r="B51" s="42"/>
      <c r="C51" s="49" t="str">
        <f t="shared" ref="C51:AG51" si="15">IF(C49&gt;0,C49,IF(C50&gt;0,C50,""))</f>
        <v/>
      </c>
      <c r="D51" s="49" t="str">
        <f t="shared" si="15"/>
        <v/>
      </c>
      <c r="E51" s="49" t="str">
        <f t="shared" si="15"/>
        <v/>
      </c>
      <c r="F51" s="49" t="str">
        <f t="shared" si="15"/>
        <v/>
      </c>
      <c r="G51" s="49" t="str">
        <f t="shared" si="15"/>
        <v/>
      </c>
      <c r="H51" s="49" t="str">
        <f t="shared" si="15"/>
        <v/>
      </c>
      <c r="I51" s="49" t="str">
        <f t="shared" si="15"/>
        <v/>
      </c>
      <c r="J51" s="49" t="str">
        <f t="shared" si="15"/>
        <v/>
      </c>
      <c r="K51" s="49" t="str">
        <f t="shared" si="15"/>
        <v/>
      </c>
      <c r="L51" s="49" t="str">
        <f t="shared" si="15"/>
        <v/>
      </c>
      <c r="M51" s="49" t="str">
        <f t="shared" si="15"/>
        <v/>
      </c>
      <c r="N51" s="49" t="str">
        <f t="shared" si="15"/>
        <v/>
      </c>
      <c r="O51" s="49" t="str">
        <f t="shared" si="15"/>
        <v/>
      </c>
      <c r="P51" s="49" t="str">
        <f t="shared" si="15"/>
        <v/>
      </c>
      <c r="Q51" s="49" t="str">
        <f t="shared" si="15"/>
        <v/>
      </c>
      <c r="R51" s="49" t="str">
        <f t="shared" si="15"/>
        <v/>
      </c>
      <c r="S51" s="49" t="str">
        <f t="shared" si="15"/>
        <v/>
      </c>
      <c r="T51" s="49" t="str">
        <f t="shared" si="15"/>
        <v/>
      </c>
      <c r="U51" s="49" t="str">
        <f t="shared" si="15"/>
        <v/>
      </c>
      <c r="V51" s="49" t="str">
        <f t="shared" si="15"/>
        <v/>
      </c>
      <c r="W51" s="49" t="str">
        <f t="shared" si="15"/>
        <v/>
      </c>
      <c r="X51" s="49" t="str">
        <f t="shared" si="15"/>
        <v/>
      </c>
      <c r="Y51" s="49" t="str">
        <f t="shared" si="15"/>
        <v/>
      </c>
      <c r="Z51" s="49" t="str">
        <f t="shared" si="15"/>
        <v/>
      </c>
      <c r="AA51" s="49" t="str">
        <f t="shared" si="15"/>
        <v/>
      </c>
      <c r="AB51" s="49" t="str">
        <f t="shared" si="15"/>
        <v/>
      </c>
      <c r="AC51" s="49" t="str">
        <f t="shared" si="15"/>
        <v/>
      </c>
      <c r="AD51" s="49" t="str">
        <f t="shared" si="15"/>
        <v/>
      </c>
      <c r="AE51" s="49" t="str">
        <f t="shared" si="15"/>
        <v/>
      </c>
      <c r="AF51" s="49" t="str">
        <f t="shared" si="15"/>
        <v/>
      </c>
      <c r="AG51" s="49" t="str">
        <f t="shared" si="15"/>
        <v/>
      </c>
      <c r="AH51" s="44">
        <f>SUM(AH49:AH50)</f>
        <v>0</v>
      </c>
      <c r="AI51" s="45">
        <f>SUM(AI49:AI50)</f>
        <v>6</v>
      </c>
      <c r="AJ51" s="45">
        <f>SUM(AJ49:AJ50)</f>
        <v>0</v>
      </c>
      <c r="AK51" s="45">
        <f>SUM(AK49:AK50)</f>
        <v>0</v>
      </c>
      <c r="AL51" s="45">
        <f>SUM(AL49:AL50)</f>
        <v>0</v>
      </c>
      <c r="AM51" s="50">
        <f>Juin!AM51</f>
        <v>6.41</v>
      </c>
      <c r="AN51" s="51">
        <f>IF(A50="","",IF(A50&gt;NomMois,0,IF(A50&lt;$A$3,2.08,(NETWORKDAYS(A50,$A$2)/21.66667)*2.08)))</f>
        <v>2.08</v>
      </c>
      <c r="AO51" s="51">
        <f>IF( AN51="",0,+AN51+Décembre!AO51)</f>
        <v>16.64</v>
      </c>
      <c r="AP51" s="51">
        <f>IF(A50="","",IF(A50&gt;NomMois,0,IF(A50&lt;$A$3,1.5,(NETWORKDAYS(A50,$A$2)/21.66667)*1.5)))</f>
        <v>1.5</v>
      </c>
      <c r="AQ51" s="45">
        <f>+AM51-AI51</f>
        <v>0.41000000000000014</v>
      </c>
      <c r="AR51" s="45">
        <f>+IF(AP51="","",AP51-AJ51)</f>
        <v>1.5</v>
      </c>
      <c r="AS51" s="102">
        <f t="shared" si="10"/>
        <v>17.05</v>
      </c>
    </row>
    <row r="52" spans="1:45" s="63" customFormat="1" ht="6.75" customHeight="1" x14ac:dyDescent="0.25">
      <c r="A52" s="60"/>
      <c r="B52" s="53"/>
      <c r="C52" s="60"/>
      <c r="D52" s="60"/>
      <c r="E52" s="60"/>
      <c r="F52" s="60"/>
      <c r="G52" s="60"/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0"/>
      <c r="W52" s="60"/>
      <c r="X52" s="60"/>
      <c r="Y52" s="60"/>
      <c r="Z52" s="60"/>
      <c r="AA52" s="60"/>
      <c r="AB52" s="60"/>
      <c r="AC52" s="60"/>
      <c r="AD52" s="60"/>
      <c r="AE52" s="60"/>
      <c r="AF52" s="60"/>
      <c r="AG52" s="60"/>
      <c r="AH52" s="61"/>
      <c r="AI52" s="61"/>
      <c r="AJ52" s="61"/>
      <c r="AK52" s="61"/>
      <c r="AL52" s="61"/>
      <c r="AM52" s="60"/>
      <c r="AN52" s="61"/>
      <c r="AO52" s="61"/>
      <c r="AP52" s="60"/>
      <c r="AQ52" s="69"/>
      <c r="AR52" s="69"/>
      <c r="AS52" s="65"/>
    </row>
    <row r="53" spans="1:45" s="63" customFormat="1" ht="12.95" customHeight="1" x14ac:dyDescent="0.25">
      <c r="A53" s="41"/>
      <c r="B53" s="42" t="s">
        <v>15</v>
      </c>
      <c r="C53" s="67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  <c r="AA53" s="43"/>
      <c r="AB53" s="43"/>
      <c r="AC53" s="43"/>
      <c r="AD53" s="43"/>
      <c r="AE53" s="43"/>
      <c r="AF53" s="43"/>
      <c r="AG53" s="43"/>
      <c r="AH53" s="44">
        <f>COUNTA(Janvier!$C53:$AG53)</f>
        <v>0</v>
      </c>
      <c r="AI53" s="45">
        <f>(COUNTIFS(Janvier!$C53:$AG53,("cp")))/2+Décembre!AI53</f>
        <v>9</v>
      </c>
      <c r="AJ53" s="45">
        <f>COUNTIFS(Janvier!$C53:$AG53,"RTT")/2+Décembre!AJ53</f>
        <v>0</v>
      </c>
      <c r="AK53" s="45">
        <f>COUNTIFS(Janvier!$C53:$AG53,"m")/2+Décembre!AK53</f>
        <v>0</v>
      </c>
      <c r="AL53" s="45">
        <f>COUNTIFS(Janvier!$C53:$AG53,"a")/2+Décembre!AL53</f>
        <v>0</v>
      </c>
      <c r="AM53" s="46"/>
      <c r="AN53" s="47"/>
      <c r="AO53" s="47"/>
      <c r="AP53" s="46"/>
      <c r="AQ53" s="47"/>
      <c r="AR53" s="47"/>
      <c r="AS53" s="47"/>
    </row>
    <row r="54" spans="1:45" s="63" customFormat="1" ht="12.95" customHeight="1" x14ac:dyDescent="0.25">
      <c r="A54" s="48">
        <v>42660</v>
      </c>
      <c r="B54" s="42" t="s">
        <v>16</v>
      </c>
      <c r="C54" s="67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  <c r="AA54" s="43"/>
      <c r="AB54" s="43"/>
      <c r="AC54" s="43"/>
      <c r="AD54" s="43"/>
      <c r="AE54" s="43"/>
      <c r="AF54" s="43"/>
      <c r="AG54" s="43"/>
      <c r="AH54" s="44">
        <f>COUNTA(Janvier!$C54:$AG54)</f>
        <v>0</v>
      </c>
      <c r="AI54" s="45">
        <f>(COUNTIFS(Janvier!$C54:$AG54,("cp")))/2+Décembre!AI54</f>
        <v>9</v>
      </c>
      <c r="AJ54" s="45">
        <f>COUNTIFS(Janvier!$C54:$AG54,"RTT")/2+Décembre!AJ54</f>
        <v>0</v>
      </c>
      <c r="AK54" s="45">
        <f>COUNTIFS(Janvier!$C54:$AG54,"m")/2+Décembre!AK54</f>
        <v>0</v>
      </c>
      <c r="AL54" s="45">
        <f>COUNTIFS(Janvier!$C54:$AG54,"a")/2+Décembre!AL54</f>
        <v>0</v>
      </c>
      <c r="AM54" s="46"/>
      <c r="AN54" s="47"/>
      <c r="AO54" s="47"/>
      <c r="AP54" s="46"/>
      <c r="AQ54" s="47"/>
      <c r="AR54" s="47"/>
      <c r="AS54" s="101"/>
    </row>
    <row r="55" spans="1:45" s="63" customFormat="1" ht="12.95" customHeight="1" x14ac:dyDescent="0.25">
      <c r="A55" s="41"/>
      <c r="B55" s="42"/>
      <c r="C55" s="49" t="str">
        <f t="shared" ref="C55:AG55" si="16">IF(C53&gt;0,C53,IF(C54&gt;0,C54,""))</f>
        <v/>
      </c>
      <c r="D55" s="49" t="str">
        <f t="shared" si="16"/>
        <v/>
      </c>
      <c r="E55" s="49" t="str">
        <f t="shared" si="16"/>
        <v/>
      </c>
      <c r="F55" s="49" t="str">
        <f t="shared" si="16"/>
        <v/>
      </c>
      <c r="G55" s="49" t="str">
        <f t="shared" si="16"/>
        <v/>
      </c>
      <c r="H55" s="49" t="str">
        <f t="shared" si="16"/>
        <v/>
      </c>
      <c r="I55" s="49" t="str">
        <f t="shared" si="16"/>
        <v/>
      </c>
      <c r="J55" s="49" t="str">
        <f t="shared" si="16"/>
        <v/>
      </c>
      <c r="K55" s="49" t="str">
        <f t="shared" si="16"/>
        <v/>
      </c>
      <c r="L55" s="49" t="str">
        <f t="shared" si="16"/>
        <v/>
      </c>
      <c r="M55" s="49" t="str">
        <f t="shared" si="16"/>
        <v/>
      </c>
      <c r="N55" s="49" t="str">
        <f t="shared" si="16"/>
        <v/>
      </c>
      <c r="O55" s="49" t="str">
        <f t="shared" si="16"/>
        <v/>
      </c>
      <c r="P55" s="49" t="str">
        <f t="shared" si="16"/>
        <v/>
      </c>
      <c r="Q55" s="49" t="str">
        <f t="shared" si="16"/>
        <v/>
      </c>
      <c r="R55" s="49" t="str">
        <f t="shared" si="16"/>
        <v/>
      </c>
      <c r="S55" s="49" t="str">
        <f t="shared" si="16"/>
        <v/>
      </c>
      <c r="T55" s="49" t="str">
        <f t="shared" si="16"/>
        <v/>
      </c>
      <c r="U55" s="49" t="str">
        <f t="shared" si="16"/>
        <v/>
      </c>
      <c r="V55" s="49" t="str">
        <f t="shared" si="16"/>
        <v/>
      </c>
      <c r="W55" s="49" t="str">
        <f t="shared" si="16"/>
        <v/>
      </c>
      <c r="X55" s="49" t="str">
        <f t="shared" si="16"/>
        <v/>
      </c>
      <c r="Y55" s="49" t="str">
        <f t="shared" si="16"/>
        <v/>
      </c>
      <c r="Z55" s="49" t="str">
        <f t="shared" si="16"/>
        <v/>
      </c>
      <c r="AA55" s="49" t="str">
        <f t="shared" si="16"/>
        <v/>
      </c>
      <c r="AB55" s="49" t="str">
        <f t="shared" si="16"/>
        <v/>
      </c>
      <c r="AC55" s="49" t="str">
        <f t="shared" si="16"/>
        <v/>
      </c>
      <c r="AD55" s="49" t="str">
        <f t="shared" si="16"/>
        <v/>
      </c>
      <c r="AE55" s="49" t="str">
        <f t="shared" si="16"/>
        <v/>
      </c>
      <c r="AF55" s="49" t="str">
        <f t="shared" si="16"/>
        <v/>
      </c>
      <c r="AG55" s="49" t="str">
        <f t="shared" si="16"/>
        <v/>
      </c>
      <c r="AH55" s="44">
        <f>SUM(AH53:AH54)</f>
        <v>0</v>
      </c>
      <c r="AI55" s="45">
        <f>SUM(AI53:AI54)</f>
        <v>18</v>
      </c>
      <c r="AJ55" s="45">
        <f>SUM(AJ53:AJ54)</f>
        <v>0</v>
      </c>
      <c r="AK55" s="45">
        <f>SUM(AK53:AK54)</f>
        <v>0</v>
      </c>
      <c r="AL55" s="45">
        <f>SUM(AL53:AL54)</f>
        <v>0</v>
      </c>
      <c r="AM55" s="50">
        <f>Juin!AM55</f>
        <v>15.68</v>
      </c>
      <c r="AN55" s="51">
        <f>IF(A54="","",IF(A54&gt;NomMois,0,IF(A54&lt;$A$3,2.08,(NETWORKDAYS(A54,$A$2)/21.66667)*2.08)))</f>
        <v>2.08</v>
      </c>
      <c r="AO55" s="51">
        <f>IF( AN55="",0,+AN55+Décembre!AO55)</f>
        <v>16.64</v>
      </c>
      <c r="AP55" s="51">
        <f>IF(A54="","",IF(A54&gt;NomMois,0,IF(A54&lt;$A$3,1.5,(NETWORKDAYS(A54,$A$2)/21.66667)*1.5)))</f>
        <v>1.5</v>
      </c>
      <c r="AQ55" s="45">
        <f>+AM55-AI55</f>
        <v>-2.3200000000000003</v>
      </c>
      <c r="AR55" s="45">
        <f>+IF(AP55="","",AP55-AJ55)</f>
        <v>1.5</v>
      </c>
      <c r="AS55" s="102">
        <f t="shared" si="10"/>
        <v>14.32</v>
      </c>
    </row>
    <row r="56" spans="1:45" s="63" customFormat="1" ht="6.75" customHeight="1" x14ac:dyDescent="0.25">
      <c r="A56" s="60"/>
      <c r="B56" s="53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60"/>
      <c r="X56" s="60"/>
      <c r="Y56" s="60"/>
      <c r="Z56" s="60"/>
      <c r="AA56" s="60"/>
      <c r="AB56" s="60"/>
      <c r="AC56" s="60"/>
      <c r="AD56" s="60"/>
      <c r="AE56" s="60"/>
      <c r="AF56" s="60"/>
      <c r="AG56" s="60"/>
      <c r="AH56" s="61"/>
      <c r="AI56" s="61"/>
      <c r="AJ56" s="61"/>
      <c r="AK56" s="61"/>
      <c r="AL56" s="61"/>
      <c r="AM56" s="60"/>
      <c r="AN56" s="61"/>
      <c r="AO56" s="61"/>
      <c r="AP56" s="60"/>
      <c r="AQ56" s="69"/>
      <c r="AR56" s="69"/>
      <c r="AS56" s="65"/>
    </row>
    <row r="57" spans="1:45" s="63" customFormat="1" ht="12.95" customHeight="1" x14ac:dyDescent="0.25">
      <c r="A57" s="41"/>
      <c r="B57" s="42" t="s">
        <v>15</v>
      </c>
      <c r="C57" s="67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3"/>
      <c r="AB57" s="43"/>
      <c r="AC57" s="43"/>
      <c r="AD57" s="43"/>
      <c r="AE57" s="43"/>
      <c r="AF57" s="43"/>
      <c r="AG57" s="43"/>
      <c r="AH57" s="44">
        <f>COUNTA(Janvier!$C57:$AG57)</f>
        <v>0</v>
      </c>
      <c r="AI57" s="45">
        <f>(COUNTIFS(Janvier!$C57:$AG57,("cp")))/2+Décembre!AI57</f>
        <v>0</v>
      </c>
      <c r="AJ57" s="45">
        <f>COUNTIFS(Janvier!$C57:$AG57,"RTT")/2+Décembre!AJ57</f>
        <v>0</v>
      </c>
      <c r="AK57" s="45">
        <f>COUNTIFS(Janvier!$C57:$AG57,"m")/2+Décembre!AK57</f>
        <v>0</v>
      </c>
      <c r="AL57" s="45">
        <f>COUNTIFS(Janvier!$C57:$AG57,"a")/2+Décembre!AL57</f>
        <v>0</v>
      </c>
      <c r="AM57" s="46"/>
      <c r="AN57" s="47"/>
      <c r="AO57" s="47"/>
      <c r="AP57" s="46"/>
      <c r="AQ57" s="47"/>
      <c r="AR57" s="47"/>
      <c r="AS57" s="47"/>
    </row>
    <row r="58" spans="1:45" s="63" customFormat="1" ht="12.95" customHeight="1" x14ac:dyDescent="0.25">
      <c r="A58" s="48">
        <v>42975</v>
      </c>
      <c r="B58" s="42" t="s">
        <v>16</v>
      </c>
      <c r="C58" s="67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3"/>
      <c r="AB58" s="43"/>
      <c r="AC58" s="43"/>
      <c r="AD58" s="43"/>
      <c r="AE58" s="43"/>
      <c r="AF58" s="43"/>
      <c r="AG58" s="43"/>
      <c r="AH58" s="44">
        <f>COUNTA(Janvier!$C58:$AG58)</f>
        <v>0</v>
      </c>
      <c r="AI58" s="45">
        <f>(COUNTIFS(Janvier!$C58:$AG58,("cp")))/2+Décembre!AI58</f>
        <v>0</v>
      </c>
      <c r="AJ58" s="45">
        <f>COUNTIFS(Janvier!$C58:$AG58,"RTT")/2+Décembre!AJ58</f>
        <v>0</v>
      </c>
      <c r="AK58" s="45">
        <f>COUNTIFS(Janvier!$C58:$AG58,"m")/2+Décembre!AK58</f>
        <v>0</v>
      </c>
      <c r="AL58" s="45">
        <f>COUNTIFS(Janvier!$C58:$AG58,"a")/2+Décembre!AL58</f>
        <v>0</v>
      </c>
      <c r="AM58" s="46"/>
      <c r="AN58" s="47"/>
      <c r="AO58" s="47"/>
      <c r="AP58" s="46"/>
      <c r="AQ58" s="47"/>
      <c r="AR58" s="47"/>
      <c r="AS58" s="101"/>
    </row>
    <row r="59" spans="1:45" s="63" customFormat="1" ht="12.95" customHeight="1" x14ac:dyDescent="0.25">
      <c r="A59" s="41"/>
      <c r="B59" s="42"/>
      <c r="C59" s="49" t="str">
        <f t="shared" ref="C59:AG59" si="17">IF(C57&gt;0,C57,IF(C58&gt;0,C58,""))</f>
        <v/>
      </c>
      <c r="D59" s="49" t="str">
        <f t="shared" si="17"/>
        <v/>
      </c>
      <c r="E59" s="49" t="str">
        <f t="shared" si="17"/>
        <v/>
      </c>
      <c r="F59" s="49" t="str">
        <f t="shared" si="17"/>
        <v/>
      </c>
      <c r="G59" s="49" t="str">
        <f t="shared" si="17"/>
        <v/>
      </c>
      <c r="H59" s="49" t="str">
        <f t="shared" si="17"/>
        <v/>
      </c>
      <c r="I59" s="49" t="str">
        <f t="shared" si="17"/>
        <v/>
      </c>
      <c r="J59" s="49" t="str">
        <f t="shared" si="17"/>
        <v/>
      </c>
      <c r="K59" s="49" t="str">
        <f t="shared" si="17"/>
        <v/>
      </c>
      <c r="L59" s="49" t="str">
        <f t="shared" si="17"/>
        <v/>
      </c>
      <c r="M59" s="49" t="str">
        <f t="shared" si="17"/>
        <v/>
      </c>
      <c r="N59" s="49" t="str">
        <f t="shared" si="17"/>
        <v/>
      </c>
      <c r="O59" s="49" t="str">
        <f t="shared" si="17"/>
        <v/>
      </c>
      <c r="P59" s="49" t="str">
        <f t="shared" si="17"/>
        <v/>
      </c>
      <c r="Q59" s="49" t="str">
        <f t="shared" si="17"/>
        <v/>
      </c>
      <c r="R59" s="49" t="str">
        <f t="shared" si="17"/>
        <v/>
      </c>
      <c r="S59" s="49" t="str">
        <f t="shared" si="17"/>
        <v/>
      </c>
      <c r="T59" s="49" t="str">
        <f t="shared" si="17"/>
        <v/>
      </c>
      <c r="U59" s="49" t="str">
        <f t="shared" si="17"/>
        <v/>
      </c>
      <c r="V59" s="49" t="str">
        <f t="shared" si="17"/>
        <v/>
      </c>
      <c r="W59" s="49" t="str">
        <f t="shared" si="17"/>
        <v/>
      </c>
      <c r="X59" s="49" t="str">
        <f t="shared" si="17"/>
        <v/>
      </c>
      <c r="Y59" s="49" t="str">
        <f t="shared" si="17"/>
        <v/>
      </c>
      <c r="Z59" s="49" t="str">
        <f t="shared" si="17"/>
        <v/>
      </c>
      <c r="AA59" s="49" t="str">
        <f t="shared" si="17"/>
        <v/>
      </c>
      <c r="AB59" s="49" t="str">
        <f t="shared" si="17"/>
        <v/>
      </c>
      <c r="AC59" s="49" t="str">
        <f t="shared" si="17"/>
        <v/>
      </c>
      <c r="AD59" s="49" t="str">
        <f t="shared" si="17"/>
        <v/>
      </c>
      <c r="AE59" s="49" t="str">
        <f t="shared" si="17"/>
        <v/>
      </c>
      <c r="AF59" s="49" t="str">
        <f t="shared" si="17"/>
        <v/>
      </c>
      <c r="AG59" s="49" t="str">
        <f t="shared" si="17"/>
        <v/>
      </c>
      <c r="AH59" s="44">
        <f>SUM(AH57:AH58)</f>
        <v>0</v>
      </c>
      <c r="AI59" s="45">
        <f>SUM(AI57:AI58)</f>
        <v>0</v>
      </c>
      <c r="AJ59" s="45">
        <f>SUM(AJ57:AJ58)</f>
        <v>0</v>
      </c>
      <c r="AK59" s="45">
        <f>SUM(AK57:AK58)</f>
        <v>0</v>
      </c>
      <c r="AL59" s="45">
        <f>SUM(AL57:AL58)</f>
        <v>0</v>
      </c>
      <c r="AM59" s="50">
        <v>0</v>
      </c>
      <c r="AN59" s="51">
        <f>IF(A58="","",IF(A58&gt;NomMois,0,IF(A58&lt;$A$3,2.08,(NETWORKDAYS(A58,$A$2)/21.66667)*2.08)))</f>
        <v>2.08</v>
      </c>
      <c r="AO59" s="51">
        <f>IF( AN59="",0,+AN59+Décembre!AO59)</f>
        <v>10.783999940923087</v>
      </c>
      <c r="AP59" s="51">
        <f>IF(A58="","",IF(A58&gt;NomMois,0,IF(A58&lt;$A$3,1.5,(NETWORKDAYS(A58,$A$2)/21.66667)*1.5)))</f>
        <v>1.5</v>
      </c>
      <c r="AQ59" s="45">
        <f>+AM59-AI59</f>
        <v>0</v>
      </c>
      <c r="AR59" s="45">
        <f>+IF(AP59="","",AP59-AJ59)</f>
        <v>1.5</v>
      </c>
      <c r="AS59" s="102">
        <f t="shared" si="10"/>
        <v>10.783999940923087</v>
      </c>
    </row>
    <row r="60" spans="1:45" s="63" customFormat="1" ht="6.75" customHeight="1" x14ac:dyDescent="0.25">
      <c r="A60" s="60"/>
      <c r="B60" s="42"/>
      <c r="C60" s="64"/>
      <c r="D60" s="64"/>
      <c r="E60" s="64"/>
      <c r="F60" s="64"/>
      <c r="G60" s="64"/>
      <c r="H60" s="64"/>
      <c r="I60" s="64"/>
      <c r="J60" s="64"/>
      <c r="K60" s="64"/>
      <c r="L60" s="64"/>
      <c r="M60" s="64"/>
      <c r="N60" s="64"/>
      <c r="O60" s="64"/>
      <c r="P60" s="64"/>
      <c r="Q60" s="64"/>
      <c r="R60" s="64"/>
      <c r="S60" s="64"/>
      <c r="T60" s="64"/>
      <c r="U60" s="64"/>
      <c r="V60" s="64"/>
      <c r="W60" s="64"/>
      <c r="X60" s="64"/>
      <c r="Y60" s="64"/>
      <c r="Z60" s="64"/>
      <c r="AA60" s="64"/>
      <c r="AB60" s="64"/>
      <c r="AC60" s="64"/>
      <c r="AD60" s="64"/>
      <c r="AE60" s="64"/>
      <c r="AF60" s="64"/>
      <c r="AG60" s="64"/>
      <c r="AH60" s="65"/>
      <c r="AI60" s="65"/>
      <c r="AJ60" s="65"/>
      <c r="AK60" s="65"/>
      <c r="AL60" s="65"/>
      <c r="AM60" s="64"/>
      <c r="AN60" s="65"/>
      <c r="AO60" s="65"/>
      <c r="AP60" s="64"/>
      <c r="AQ60" s="69"/>
      <c r="AR60" s="69"/>
      <c r="AS60" s="65"/>
    </row>
    <row r="61" spans="1:45" s="63" customFormat="1" ht="12.95" customHeight="1" x14ac:dyDescent="0.25">
      <c r="A61" s="41"/>
      <c r="B61" s="42" t="s">
        <v>15</v>
      </c>
      <c r="C61" s="67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  <c r="AA61" s="43"/>
      <c r="AB61" s="43"/>
      <c r="AC61" s="43"/>
      <c r="AD61" s="43"/>
      <c r="AE61" s="43"/>
      <c r="AF61" s="43"/>
      <c r="AG61" s="43"/>
      <c r="AH61" s="44">
        <f>COUNTA(Janvier!$C61:$AG61)</f>
        <v>0</v>
      </c>
      <c r="AI61" s="45">
        <f>(COUNTIFS(Janvier!$C61:$AG61,("cp")))/2+Décembre!AI61</f>
        <v>10</v>
      </c>
      <c r="AJ61" s="45">
        <f>COUNTIFS(Janvier!$C61:$AG61,"RTT")/2+Décembre!AJ61</f>
        <v>0</v>
      </c>
      <c r="AK61" s="45">
        <f>COUNTIFS(Janvier!$C61:$AG61,"m")/2+Décembre!AK61</f>
        <v>0</v>
      </c>
      <c r="AL61" s="45">
        <f>COUNTIFS(Janvier!$C61:$AG61,"a")/2+Décembre!AL61</f>
        <v>0</v>
      </c>
      <c r="AM61" s="46"/>
      <c r="AN61" s="47"/>
      <c r="AO61" s="47"/>
      <c r="AP61" s="46"/>
      <c r="AQ61" s="47"/>
      <c r="AR61" s="47"/>
      <c r="AS61" s="47"/>
    </row>
    <row r="62" spans="1:45" s="63" customFormat="1" ht="12.95" customHeight="1" x14ac:dyDescent="0.25">
      <c r="A62" s="48">
        <v>42646</v>
      </c>
      <c r="B62" s="42" t="s">
        <v>16</v>
      </c>
      <c r="C62" s="67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  <c r="AA62" s="43"/>
      <c r="AB62" s="43"/>
      <c r="AC62" s="43"/>
      <c r="AD62" s="43"/>
      <c r="AE62" s="43"/>
      <c r="AF62" s="43"/>
      <c r="AG62" s="43"/>
      <c r="AH62" s="44">
        <f>COUNTA(Janvier!$C62:$AG62)</f>
        <v>0</v>
      </c>
      <c r="AI62" s="45">
        <f>(COUNTIFS(Janvier!$C62:$AG62,("cp")))/2+Décembre!AI62</f>
        <v>10</v>
      </c>
      <c r="AJ62" s="45">
        <f>COUNTIFS(Janvier!$C62:$AG62,"RTT")/2+Décembre!AJ62</f>
        <v>0</v>
      </c>
      <c r="AK62" s="45">
        <f>COUNTIFS(Janvier!$C62:$AG62,"m")/2+Décembre!AK62</f>
        <v>0</v>
      </c>
      <c r="AL62" s="45">
        <f>COUNTIFS(Janvier!$C62:$AG62,"a")/2+Décembre!AL62</f>
        <v>0</v>
      </c>
      <c r="AM62" s="46"/>
      <c r="AN62" s="47"/>
      <c r="AO62" s="47"/>
      <c r="AP62" s="46"/>
      <c r="AQ62" s="47"/>
      <c r="AR62" s="47"/>
      <c r="AS62" s="101"/>
    </row>
    <row r="63" spans="1:45" s="63" customFormat="1" ht="12.95" customHeight="1" x14ac:dyDescent="0.25">
      <c r="A63" s="41"/>
      <c r="B63" s="42"/>
      <c r="C63" s="49" t="str">
        <f t="shared" ref="C63:AG63" si="18">IF(C61&gt;0,C61,IF(C62&gt;0,C62,""))</f>
        <v/>
      </c>
      <c r="D63" s="49" t="str">
        <f t="shared" si="18"/>
        <v/>
      </c>
      <c r="E63" s="49" t="str">
        <f t="shared" si="18"/>
        <v/>
      </c>
      <c r="F63" s="49" t="str">
        <f t="shared" si="18"/>
        <v/>
      </c>
      <c r="G63" s="49" t="str">
        <f t="shared" si="18"/>
        <v/>
      </c>
      <c r="H63" s="49" t="str">
        <f t="shared" si="18"/>
        <v/>
      </c>
      <c r="I63" s="49" t="str">
        <f t="shared" si="18"/>
        <v/>
      </c>
      <c r="J63" s="49" t="str">
        <f t="shared" si="18"/>
        <v/>
      </c>
      <c r="K63" s="49" t="str">
        <f t="shared" si="18"/>
        <v/>
      </c>
      <c r="L63" s="49" t="str">
        <f t="shared" si="18"/>
        <v/>
      </c>
      <c r="M63" s="49" t="str">
        <f t="shared" si="18"/>
        <v/>
      </c>
      <c r="N63" s="49" t="str">
        <f t="shared" si="18"/>
        <v/>
      </c>
      <c r="O63" s="49" t="str">
        <f t="shared" si="18"/>
        <v/>
      </c>
      <c r="P63" s="49" t="str">
        <f t="shared" si="18"/>
        <v/>
      </c>
      <c r="Q63" s="49" t="str">
        <f t="shared" si="18"/>
        <v/>
      </c>
      <c r="R63" s="49" t="str">
        <f t="shared" si="18"/>
        <v/>
      </c>
      <c r="S63" s="49" t="str">
        <f t="shared" si="18"/>
        <v/>
      </c>
      <c r="T63" s="49" t="str">
        <f t="shared" si="18"/>
        <v/>
      </c>
      <c r="U63" s="49" t="str">
        <f t="shared" si="18"/>
        <v/>
      </c>
      <c r="V63" s="49" t="str">
        <f t="shared" si="18"/>
        <v/>
      </c>
      <c r="W63" s="49" t="str">
        <f t="shared" si="18"/>
        <v/>
      </c>
      <c r="X63" s="49" t="str">
        <f t="shared" si="18"/>
        <v/>
      </c>
      <c r="Y63" s="49" t="str">
        <f t="shared" si="18"/>
        <v/>
      </c>
      <c r="Z63" s="49" t="str">
        <f t="shared" si="18"/>
        <v/>
      </c>
      <c r="AA63" s="49" t="str">
        <f t="shared" si="18"/>
        <v/>
      </c>
      <c r="AB63" s="49" t="str">
        <f t="shared" si="18"/>
        <v/>
      </c>
      <c r="AC63" s="49" t="str">
        <f t="shared" si="18"/>
        <v/>
      </c>
      <c r="AD63" s="49" t="str">
        <f t="shared" si="18"/>
        <v/>
      </c>
      <c r="AE63" s="49" t="str">
        <f t="shared" si="18"/>
        <v/>
      </c>
      <c r="AF63" s="49" t="str">
        <f t="shared" si="18"/>
        <v/>
      </c>
      <c r="AG63" s="49" t="str">
        <f t="shared" si="18"/>
        <v/>
      </c>
      <c r="AH63" s="44">
        <f>SUM(AH61:AH62)</f>
        <v>0</v>
      </c>
      <c r="AI63" s="45">
        <f>SUM(AI61:AI62)</f>
        <v>20</v>
      </c>
      <c r="AJ63" s="45">
        <f>SUM(AJ61:AJ62)</f>
        <v>0</v>
      </c>
      <c r="AK63" s="45">
        <f>SUM(AK61:AK62)</f>
        <v>0</v>
      </c>
      <c r="AL63" s="45">
        <f>SUM(AL61:AL62)</f>
        <v>0</v>
      </c>
      <c r="AM63" s="50">
        <f>Juin!AM63</f>
        <v>16.64</v>
      </c>
      <c r="AN63" s="51">
        <f>IF(A62="","",IF(A62&gt;NomMois,0,IF(A62&lt;$A$3,2.08,(NETWORKDAYS(A62,$A$2)/21.66667)*2.08)))</f>
        <v>2.08</v>
      </c>
      <c r="AO63" s="51">
        <f>IF( AN63="",0,+AN63+Décembre!AO63)</f>
        <v>16.64</v>
      </c>
      <c r="AP63" s="51">
        <f>IF(A62="","",IF(A62&gt;NomMois,0,IF(A62&lt;$A$3,1.5,(NETWORKDAYS(A62,$A$2)/21.66667)*1.5)))</f>
        <v>1.5</v>
      </c>
      <c r="AQ63" s="45">
        <f>+AM63-AI63</f>
        <v>-3.3599999999999994</v>
      </c>
      <c r="AR63" s="45">
        <f>+IF(AP63="","",AP63-AJ63)</f>
        <v>1.5</v>
      </c>
      <c r="AS63" s="102">
        <f t="shared" si="10"/>
        <v>13.280000000000001</v>
      </c>
    </row>
    <row r="64" spans="1:45" s="63" customFormat="1" ht="6.75" customHeight="1" x14ac:dyDescent="0.25">
      <c r="A64" s="60"/>
      <c r="B64" s="53"/>
      <c r="C64" s="60"/>
      <c r="D64" s="60"/>
      <c r="E64" s="60"/>
      <c r="F64" s="60"/>
      <c r="G64" s="60"/>
      <c r="H64" s="60"/>
      <c r="I64" s="60"/>
      <c r="J64" s="60"/>
      <c r="K64" s="60"/>
      <c r="L64" s="60"/>
      <c r="M64" s="60"/>
      <c r="N64" s="60"/>
      <c r="O64" s="60"/>
      <c r="P64" s="60"/>
      <c r="Q64" s="60"/>
      <c r="R64" s="60"/>
      <c r="S64" s="60"/>
      <c r="T64" s="60"/>
      <c r="U64" s="60"/>
      <c r="V64" s="60"/>
      <c r="W64" s="60"/>
      <c r="X64" s="60"/>
      <c r="Y64" s="60"/>
      <c r="Z64" s="60"/>
      <c r="AA64" s="60"/>
      <c r="AB64" s="60"/>
      <c r="AC64" s="60"/>
      <c r="AD64" s="60"/>
      <c r="AE64" s="60"/>
      <c r="AF64" s="60"/>
      <c r="AG64" s="60"/>
      <c r="AH64" s="61">
        <v>0</v>
      </c>
      <c r="AI64" s="61">
        <v>0</v>
      </c>
      <c r="AJ64" s="61">
        <v>0</v>
      </c>
      <c r="AK64" s="61">
        <v>0</v>
      </c>
      <c r="AL64" s="61">
        <v>0</v>
      </c>
      <c r="AM64" s="60"/>
      <c r="AN64" s="61"/>
      <c r="AO64" s="61"/>
      <c r="AP64" s="60"/>
      <c r="AQ64" s="69"/>
      <c r="AR64" s="69"/>
      <c r="AS64" s="65"/>
    </row>
    <row r="65" spans="1:45" s="63" customFormat="1" ht="12.95" customHeight="1" x14ac:dyDescent="0.25">
      <c r="A65" s="41"/>
      <c r="B65" s="42" t="s">
        <v>15</v>
      </c>
      <c r="C65" s="67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  <c r="W65" s="43"/>
      <c r="X65" s="43"/>
      <c r="Y65" s="43"/>
      <c r="Z65" s="43"/>
      <c r="AA65" s="43"/>
      <c r="AB65" s="43"/>
      <c r="AC65" s="43"/>
      <c r="AD65" s="43"/>
      <c r="AE65" s="43"/>
      <c r="AF65" s="43"/>
      <c r="AG65" s="43"/>
      <c r="AH65" s="44">
        <f>COUNTA(Janvier!$C65:$AG65)</f>
        <v>0</v>
      </c>
      <c r="AI65" s="45">
        <f>(COUNTIFS(Janvier!$C65:$AG65,("cp")))/2+Décembre!AI65</f>
        <v>8</v>
      </c>
      <c r="AJ65" s="45">
        <f>COUNTIFS(Janvier!$C65:$AG65,"RTT")/2+Décembre!AJ65</f>
        <v>0</v>
      </c>
      <c r="AK65" s="45">
        <f>COUNTIFS(Janvier!$C65:$AG65,"m")/2+Décembre!AK65</f>
        <v>0</v>
      </c>
      <c r="AL65" s="45">
        <f>COUNTIFS(Janvier!$C65:$AG65,"a")/2+Décembre!AL65</f>
        <v>0</v>
      </c>
      <c r="AM65" s="46"/>
      <c r="AN65" s="47"/>
      <c r="AO65" s="47"/>
      <c r="AP65" s="46"/>
      <c r="AQ65" s="47"/>
      <c r="AR65" s="47"/>
      <c r="AS65" s="47"/>
    </row>
    <row r="66" spans="1:45" s="63" customFormat="1" ht="12.95" customHeight="1" x14ac:dyDescent="0.25">
      <c r="A66" s="48">
        <v>42410</v>
      </c>
      <c r="B66" s="42" t="s">
        <v>16</v>
      </c>
      <c r="C66" s="67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3"/>
      <c r="T66" s="43"/>
      <c r="U66" s="43"/>
      <c r="V66" s="43"/>
      <c r="W66" s="43"/>
      <c r="X66" s="43"/>
      <c r="Y66" s="43"/>
      <c r="Z66" s="43"/>
      <c r="AA66" s="43"/>
      <c r="AB66" s="43"/>
      <c r="AC66" s="43"/>
      <c r="AD66" s="43"/>
      <c r="AE66" s="43"/>
      <c r="AF66" s="43"/>
      <c r="AG66" s="43"/>
      <c r="AH66" s="44">
        <f>COUNTA(Janvier!$C66:$AG66)</f>
        <v>0</v>
      </c>
      <c r="AI66" s="45">
        <f>(COUNTIFS(Janvier!$C66:$AG66,("cp")))/2+Décembre!AI66</f>
        <v>8</v>
      </c>
      <c r="AJ66" s="45">
        <f>COUNTIFS(Janvier!$C66:$AG66,"RTT")/2+Décembre!AJ66</f>
        <v>0</v>
      </c>
      <c r="AK66" s="45">
        <f>COUNTIFS(Janvier!$C66:$AG66,"m")/2+Décembre!AK66</f>
        <v>0</v>
      </c>
      <c r="AL66" s="45">
        <f>COUNTIFS(Janvier!$C66:$AG66,"a")/2+Décembre!AL66</f>
        <v>0</v>
      </c>
      <c r="AM66" s="46"/>
      <c r="AN66" s="47"/>
      <c r="AO66" s="47"/>
      <c r="AP66" s="46"/>
      <c r="AQ66" s="47"/>
      <c r="AR66" s="47"/>
      <c r="AS66" s="101"/>
    </row>
    <row r="67" spans="1:45" s="63" customFormat="1" ht="12.95" customHeight="1" x14ac:dyDescent="0.25">
      <c r="A67" s="41"/>
      <c r="B67" s="42"/>
      <c r="C67" s="49" t="str">
        <f t="shared" ref="C67:AG67" si="19">IF(C65&gt;0,C65,IF(C66&gt;0,C66,""))</f>
        <v/>
      </c>
      <c r="D67" s="49" t="str">
        <f t="shared" si="19"/>
        <v/>
      </c>
      <c r="E67" s="49" t="str">
        <f t="shared" si="19"/>
        <v/>
      </c>
      <c r="F67" s="49" t="str">
        <f t="shared" si="19"/>
        <v/>
      </c>
      <c r="G67" s="49" t="str">
        <f t="shared" si="19"/>
        <v/>
      </c>
      <c r="H67" s="49" t="str">
        <f t="shared" si="19"/>
        <v/>
      </c>
      <c r="I67" s="49" t="str">
        <f t="shared" si="19"/>
        <v/>
      </c>
      <c r="J67" s="49" t="str">
        <f t="shared" si="19"/>
        <v/>
      </c>
      <c r="K67" s="49" t="str">
        <f t="shared" si="19"/>
        <v/>
      </c>
      <c r="L67" s="49" t="str">
        <f t="shared" si="19"/>
        <v/>
      </c>
      <c r="M67" s="49" t="str">
        <f t="shared" si="19"/>
        <v/>
      </c>
      <c r="N67" s="49" t="str">
        <f t="shared" si="19"/>
        <v/>
      </c>
      <c r="O67" s="49" t="str">
        <f t="shared" si="19"/>
        <v/>
      </c>
      <c r="P67" s="49" t="str">
        <f t="shared" si="19"/>
        <v/>
      </c>
      <c r="Q67" s="49" t="str">
        <f t="shared" si="19"/>
        <v/>
      </c>
      <c r="R67" s="49" t="str">
        <f t="shared" si="19"/>
        <v/>
      </c>
      <c r="S67" s="49" t="str">
        <f t="shared" si="19"/>
        <v/>
      </c>
      <c r="T67" s="49" t="str">
        <f t="shared" si="19"/>
        <v/>
      </c>
      <c r="U67" s="49" t="str">
        <f t="shared" si="19"/>
        <v/>
      </c>
      <c r="V67" s="49" t="str">
        <f t="shared" si="19"/>
        <v/>
      </c>
      <c r="W67" s="49" t="str">
        <f t="shared" si="19"/>
        <v/>
      </c>
      <c r="X67" s="49" t="str">
        <f t="shared" si="19"/>
        <v/>
      </c>
      <c r="Y67" s="49" t="str">
        <f t="shared" si="19"/>
        <v/>
      </c>
      <c r="Z67" s="49" t="str">
        <f t="shared" si="19"/>
        <v/>
      </c>
      <c r="AA67" s="49" t="str">
        <f t="shared" si="19"/>
        <v/>
      </c>
      <c r="AB67" s="49" t="str">
        <f t="shared" si="19"/>
        <v/>
      </c>
      <c r="AC67" s="49" t="str">
        <f t="shared" si="19"/>
        <v/>
      </c>
      <c r="AD67" s="49" t="str">
        <f t="shared" si="19"/>
        <v/>
      </c>
      <c r="AE67" s="49" t="str">
        <f t="shared" si="19"/>
        <v/>
      </c>
      <c r="AF67" s="49" t="str">
        <f t="shared" si="19"/>
        <v/>
      </c>
      <c r="AG67" s="49" t="str">
        <f t="shared" si="19"/>
        <v/>
      </c>
      <c r="AH67" s="44">
        <f>SUM(AH65:AH66)</f>
        <v>0</v>
      </c>
      <c r="AI67" s="45">
        <f>SUM(AI65:AI66)</f>
        <v>16</v>
      </c>
      <c r="AJ67" s="45">
        <f>SUM(AJ65:AJ66)</f>
        <v>0</v>
      </c>
      <c r="AK67" s="45">
        <f>SUM(AK65:AK66)</f>
        <v>0</v>
      </c>
      <c r="AL67" s="45">
        <f>SUM(AL65:AL66)</f>
        <v>0</v>
      </c>
      <c r="AM67" s="50">
        <f>Juin!AM67</f>
        <v>22.46</v>
      </c>
      <c r="AN67" s="51">
        <f>IF(A66="","",IF(A66&gt;NomMois,0,IF(A66&lt;$A$3,2.08,(NETWORKDAYS(A66,$A$2)/21.66667)*2.08)))</f>
        <v>2.08</v>
      </c>
      <c r="AO67" s="51">
        <f>IF( AN67="",0,+AN67+Décembre!AO67)</f>
        <v>16.64</v>
      </c>
      <c r="AP67" s="51">
        <f>IF(A66="","",IF(A66&gt;NomMois,0,IF(A66&lt;$A$3,1.5,(NETWORKDAYS(A66,$A$2)/21.66667)*1.5)))</f>
        <v>1.5</v>
      </c>
      <c r="AQ67" s="45">
        <f>+AM67-AI67</f>
        <v>6.4600000000000009</v>
      </c>
      <c r="AR67" s="45">
        <f>+IF(AP67="","",AP67-AJ67)</f>
        <v>1.5</v>
      </c>
      <c r="AS67" s="102">
        <f t="shared" si="10"/>
        <v>23.1</v>
      </c>
    </row>
    <row r="68" spans="1:45" s="63" customFormat="1" ht="6.75" customHeight="1" x14ac:dyDescent="0.25">
      <c r="A68" s="64"/>
      <c r="B68" s="42"/>
      <c r="C68" s="64"/>
      <c r="D68" s="64"/>
      <c r="E68" s="64"/>
      <c r="F68" s="64"/>
      <c r="G68" s="64"/>
      <c r="H68" s="64"/>
      <c r="I68" s="64"/>
      <c r="J68" s="64"/>
      <c r="K68" s="64"/>
      <c r="L68" s="64"/>
      <c r="M68" s="64"/>
      <c r="N68" s="64"/>
      <c r="O68" s="64"/>
      <c r="P68" s="64"/>
      <c r="Q68" s="64"/>
      <c r="R68" s="64"/>
      <c r="S68" s="64"/>
      <c r="T68" s="64"/>
      <c r="U68" s="64"/>
      <c r="V68" s="64"/>
      <c r="W68" s="64"/>
      <c r="X68" s="64"/>
      <c r="Y68" s="64"/>
      <c r="Z68" s="64"/>
      <c r="AA68" s="64"/>
      <c r="AB68" s="64"/>
      <c r="AC68" s="64"/>
      <c r="AD68" s="64"/>
      <c r="AE68" s="64"/>
      <c r="AF68" s="64"/>
      <c r="AG68" s="64"/>
      <c r="AH68" s="65"/>
      <c r="AI68" s="65"/>
      <c r="AJ68" s="65"/>
      <c r="AK68" s="65"/>
      <c r="AL68" s="65"/>
      <c r="AM68" s="64"/>
      <c r="AN68" s="65"/>
      <c r="AO68" s="65"/>
      <c r="AP68" s="64"/>
      <c r="AQ68" s="69"/>
      <c r="AR68" s="69"/>
      <c r="AS68" s="65"/>
    </row>
    <row r="69" spans="1:45" s="63" customFormat="1" ht="12.95" customHeight="1" x14ac:dyDescent="0.25">
      <c r="A69" s="41"/>
      <c r="B69" s="42" t="s">
        <v>15</v>
      </c>
      <c r="C69" s="67"/>
      <c r="D69" s="106" t="s">
        <v>7</v>
      </c>
      <c r="E69" s="106" t="s">
        <v>7</v>
      </c>
      <c r="F69" s="106" t="s">
        <v>7</v>
      </c>
      <c r="G69" s="106" t="s">
        <v>7</v>
      </c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43"/>
      <c r="AA69" s="43"/>
      <c r="AB69" s="43"/>
      <c r="AC69" s="43"/>
      <c r="AD69" s="43"/>
      <c r="AE69" s="43"/>
      <c r="AF69" s="43"/>
      <c r="AG69" s="43"/>
      <c r="AH69" s="44">
        <f>COUNTA(Janvier!$C69:$AG69)</f>
        <v>4</v>
      </c>
      <c r="AI69" s="45">
        <f>(COUNTIFS(Janvier!$C69:$AG69,("cp")))/2+Décembre!AI69</f>
        <v>14</v>
      </c>
      <c r="AJ69" s="45">
        <f>COUNTIFS(Janvier!$C69:$AG69,"RTT")/2+Décembre!AJ69</f>
        <v>0</v>
      </c>
      <c r="AK69" s="45">
        <f>COUNTIFS(Janvier!$C69:$AG69,"m")/2+Décembre!AK69</f>
        <v>0</v>
      </c>
      <c r="AL69" s="45">
        <f>COUNTIFS(Janvier!$C69:$AG69,"a")/2+Décembre!AL69</f>
        <v>2</v>
      </c>
      <c r="AM69" s="46"/>
      <c r="AN69" s="47"/>
      <c r="AO69" s="47"/>
      <c r="AP69" s="46"/>
      <c r="AQ69" s="47"/>
      <c r="AR69" s="47"/>
      <c r="AS69" s="47"/>
    </row>
    <row r="70" spans="1:45" s="63" customFormat="1" ht="12.95" customHeight="1" x14ac:dyDescent="0.25">
      <c r="A70" s="48">
        <v>41701</v>
      </c>
      <c r="B70" s="42" t="s">
        <v>16</v>
      </c>
      <c r="C70" s="67"/>
      <c r="D70" s="106" t="s">
        <v>7</v>
      </c>
      <c r="E70" s="106" t="s">
        <v>7</v>
      </c>
      <c r="F70" s="106" t="s">
        <v>7</v>
      </c>
      <c r="G70" s="106" t="s">
        <v>7</v>
      </c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  <c r="S70" s="43"/>
      <c r="T70" s="43"/>
      <c r="U70" s="43"/>
      <c r="V70" s="43"/>
      <c r="W70" s="43"/>
      <c r="X70" s="43"/>
      <c r="Y70" s="43"/>
      <c r="Z70" s="43"/>
      <c r="AA70" s="43"/>
      <c r="AB70" s="43"/>
      <c r="AC70" s="43"/>
      <c r="AD70" s="43"/>
      <c r="AE70" s="43"/>
      <c r="AF70" s="43"/>
      <c r="AG70" s="43"/>
      <c r="AH70" s="44">
        <f>COUNTA(Janvier!$C70:$AG70)</f>
        <v>4</v>
      </c>
      <c r="AI70" s="45">
        <f>(COUNTIFS(Janvier!$C70:$AG70,("cp")))/2+Décembre!AI70</f>
        <v>14</v>
      </c>
      <c r="AJ70" s="45">
        <f>COUNTIFS(Janvier!$C70:$AG70,"RTT")/2+Décembre!AJ70</f>
        <v>0</v>
      </c>
      <c r="AK70" s="45">
        <f>COUNTIFS(Janvier!$C70:$AG70,"m")/2+Décembre!AK70</f>
        <v>0</v>
      </c>
      <c r="AL70" s="45">
        <f>COUNTIFS(Janvier!$C70:$AG70,"a")/2+Décembre!AL70</f>
        <v>2</v>
      </c>
      <c r="AM70" s="46"/>
      <c r="AN70" s="47"/>
      <c r="AO70" s="47"/>
      <c r="AP70" s="46"/>
      <c r="AQ70" s="47"/>
      <c r="AR70" s="47"/>
      <c r="AS70" s="101"/>
    </row>
    <row r="71" spans="1:45" s="63" customFormat="1" ht="12.95" customHeight="1" x14ac:dyDescent="0.25">
      <c r="A71" s="41"/>
      <c r="B71" s="42"/>
      <c r="C71" s="49" t="str">
        <f t="shared" ref="C71:AG71" si="20">IF(C69&gt;0,C69,IF(C70&gt;0,C70,""))</f>
        <v/>
      </c>
      <c r="D71" s="107" t="str">
        <f t="shared" si="20"/>
        <v>CP</v>
      </c>
      <c r="E71" s="107" t="str">
        <f t="shared" si="20"/>
        <v>CP</v>
      </c>
      <c r="F71" s="107" t="str">
        <f t="shared" si="20"/>
        <v>CP</v>
      </c>
      <c r="G71" s="107" t="str">
        <f t="shared" si="20"/>
        <v>CP</v>
      </c>
      <c r="H71" s="49" t="str">
        <f t="shared" si="20"/>
        <v/>
      </c>
      <c r="I71" s="49" t="str">
        <f t="shared" si="20"/>
        <v/>
      </c>
      <c r="J71" s="49" t="str">
        <f t="shared" si="20"/>
        <v/>
      </c>
      <c r="K71" s="49" t="str">
        <f t="shared" si="20"/>
        <v/>
      </c>
      <c r="L71" s="49" t="str">
        <f t="shared" si="20"/>
        <v/>
      </c>
      <c r="M71" s="49" t="str">
        <f t="shared" si="20"/>
        <v/>
      </c>
      <c r="N71" s="49" t="str">
        <f t="shared" si="20"/>
        <v/>
      </c>
      <c r="O71" s="49" t="str">
        <f t="shared" si="20"/>
        <v/>
      </c>
      <c r="P71" s="49" t="str">
        <f t="shared" si="20"/>
        <v/>
      </c>
      <c r="Q71" s="49" t="str">
        <f t="shared" si="20"/>
        <v/>
      </c>
      <c r="R71" s="49" t="str">
        <f t="shared" si="20"/>
        <v/>
      </c>
      <c r="S71" s="49" t="str">
        <f t="shared" si="20"/>
        <v/>
      </c>
      <c r="T71" s="49" t="str">
        <f t="shared" si="20"/>
        <v/>
      </c>
      <c r="U71" s="49" t="str">
        <f t="shared" si="20"/>
        <v/>
      </c>
      <c r="V71" s="49" t="str">
        <f t="shared" si="20"/>
        <v/>
      </c>
      <c r="W71" s="49" t="str">
        <f t="shared" si="20"/>
        <v/>
      </c>
      <c r="X71" s="49" t="str">
        <f t="shared" si="20"/>
        <v/>
      </c>
      <c r="Y71" s="49" t="str">
        <f t="shared" si="20"/>
        <v/>
      </c>
      <c r="Z71" s="49" t="str">
        <f t="shared" si="20"/>
        <v/>
      </c>
      <c r="AA71" s="49" t="str">
        <f t="shared" si="20"/>
        <v/>
      </c>
      <c r="AB71" s="49" t="str">
        <f t="shared" si="20"/>
        <v/>
      </c>
      <c r="AC71" s="49" t="str">
        <f t="shared" si="20"/>
        <v/>
      </c>
      <c r="AD71" s="49" t="str">
        <f t="shared" si="20"/>
        <v/>
      </c>
      <c r="AE71" s="49" t="str">
        <f t="shared" si="20"/>
        <v/>
      </c>
      <c r="AF71" s="49" t="str">
        <f t="shared" si="20"/>
        <v/>
      </c>
      <c r="AG71" s="49" t="str">
        <f t="shared" si="20"/>
        <v/>
      </c>
      <c r="AH71" s="44">
        <f>SUM(AH69:AH70)</f>
        <v>8</v>
      </c>
      <c r="AI71" s="45">
        <f>SUM(AI69:AI70)</f>
        <v>28</v>
      </c>
      <c r="AJ71" s="45">
        <f>SUM(AJ69:AJ70)</f>
        <v>0</v>
      </c>
      <c r="AK71" s="45">
        <f>SUM(AK69:AK70)</f>
        <v>0</v>
      </c>
      <c r="AL71" s="45">
        <f>SUM(AL69:AL70)</f>
        <v>4</v>
      </c>
      <c r="AM71" s="50">
        <f>Juin!AM71</f>
        <v>45.34</v>
      </c>
      <c r="AN71" s="51">
        <f>IF(A70="","",IF(A70&gt;NomMois,0,IF(A70&lt;$A$3,2.08,(NETWORKDAYS(A70,$A$2)/21.66667)*2.08)))</f>
        <v>2.08</v>
      </c>
      <c r="AO71" s="51">
        <f>IF( AN71="",0,+AN71+Décembre!AO71)</f>
        <v>16.64</v>
      </c>
      <c r="AP71" s="51">
        <f>IF(A70="","",IF(A70&gt;NomMois,0,IF(A70&lt;$A$3,1.5,(NETWORKDAYS(A70,$A$2)/21.66667)*1.5)))</f>
        <v>1.5</v>
      </c>
      <c r="AQ71" s="45">
        <f>+AM71-AI71</f>
        <v>17.340000000000003</v>
      </c>
      <c r="AR71" s="45">
        <f>+IF(AP71="","",AP71-AJ71)</f>
        <v>1.5</v>
      </c>
      <c r="AS71" s="102">
        <f t="shared" si="10"/>
        <v>33.980000000000004</v>
      </c>
    </row>
    <row r="72" spans="1:45" s="63" customFormat="1" ht="6.75" customHeight="1" x14ac:dyDescent="0.25">
      <c r="A72" s="60"/>
      <c r="B72" s="53"/>
      <c r="C72" s="60"/>
      <c r="D72" s="60"/>
      <c r="E72" s="60"/>
      <c r="F72" s="60"/>
      <c r="G72" s="60"/>
      <c r="H72" s="60"/>
      <c r="I72" s="60"/>
      <c r="J72" s="60"/>
      <c r="K72" s="60"/>
      <c r="L72" s="60"/>
      <c r="M72" s="60"/>
      <c r="N72" s="60"/>
      <c r="O72" s="60"/>
      <c r="P72" s="60"/>
      <c r="Q72" s="60"/>
      <c r="R72" s="60"/>
      <c r="S72" s="60"/>
      <c r="T72" s="60"/>
      <c r="U72" s="60"/>
      <c r="V72" s="60"/>
      <c r="W72" s="60"/>
      <c r="X72" s="60"/>
      <c r="Y72" s="60"/>
      <c r="Z72" s="60"/>
      <c r="AA72" s="60"/>
      <c r="AB72" s="60"/>
      <c r="AC72" s="60"/>
      <c r="AD72" s="60"/>
      <c r="AE72" s="60"/>
      <c r="AF72" s="60"/>
      <c r="AG72" s="60"/>
      <c r="AH72" s="61"/>
      <c r="AI72" s="61"/>
      <c r="AJ72" s="61"/>
      <c r="AK72" s="61"/>
      <c r="AL72" s="61"/>
      <c r="AM72" s="60"/>
      <c r="AN72" s="61" t="str">
        <f>IF(A71="","",IF(A71&gt;NomMois,0,IF(A71&lt;$A$3,2.08,(NETWORKDAYS(A71,$A$2)/21.66667)*2.08)))</f>
        <v/>
      </c>
      <c r="AO72" s="61">
        <f>IF( AN72="",0,+AN72+Décembre!AO72)</f>
        <v>0</v>
      </c>
      <c r="AP72" s="60"/>
      <c r="AQ72" s="69"/>
      <c r="AR72" s="69"/>
      <c r="AS72" s="65"/>
    </row>
    <row r="73" spans="1:45" s="63" customFormat="1" ht="12.95" customHeight="1" x14ac:dyDescent="0.25">
      <c r="A73" s="41"/>
      <c r="B73" s="42" t="s">
        <v>15</v>
      </c>
      <c r="C73" s="67"/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43"/>
      <c r="AH73" s="44">
        <f>COUNTA(Janvier!$C73:$AG73)</f>
        <v>0</v>
      </c>
      <c r="AI73" s="45">
        <f>(COUNTIFS(Janvier!$C73:$AG73,("cp")))/2+Décembre!AI73</f>
        <v>0</v>
      </c>
      <c r="AJ73" s="45">
        <f>COUNTIFS(Janvier!$C73:$AG73,"RTT")/2+Décembre!AJ73</f>
        <v>0</v>
      </c>
      <c r="AK73" s="45">
        <f>COUNTIFS(Janvier!$C73:$AG73,"m")/2+Décembre!AK73</f>
        <v>0</v>
      </c>
      <c r="AL73" s="45">
        <f>COUNTIFS(Janvier!$C73:$AG73,"a")/2+Décembre!AL73</f>
        <v>0</v>
      </c>
      <c r="AM73" s="46"/>
      <c r="AN73" s="47"/>
      <c r="AO73" s="47"/>
      <c r="AP73" s="46"/>
      <c r="AQ73" s="47"/>
      <c r="AR73" s="47"/>
      <c r="AS73" s="47"/>
    </row>
    <row r="74" spans="1:45" s="63" customFormat="1" ht="12.95" customHeight="1" x14ac:dyDescent="0.25">
      <c r="A74" s="48">
        <v>42979</v>
      </c>
      <c r="B74" s="42" t="s">
        <v>16</v>
      </c>
      <c r="C74" s="67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43"/>
      <c r="AH74" s="44">
        <f>COUNTA(Janvier!$C74:$AG74)</f>
        <v>0</v>
      </c>
      <c r="AI74" s="45">
        <f>(COUNTIFS(Janvier!$C74:$AG74,("cp")))/2+Décembre!AI74</f>
        <v>0</v>
      </c>
      <c r="AJ74" s="45">
        <f>COUNTIFS(Janvier!$C74:$AG74,"RTT")/2+Décembre!AJ74</f>
        <v>0</v>
      </c>
      <c r="AK74" s="45">
        <f>COUNTIFS(Janvier!$C74:$AG74,"m")/2+Décembre!AK74</f>
        <v>0</v>
      </c>
      <c r="AL74" s="45">
        <f>COUNTIFS(Janvier!$C74:$AG74,"a")/2+Décembre!AL74</f>
        <v>0</v>
      </c>
      <c r="AM74" s="46"/>
      <c r="AN74" s="47"/>
      <c r="AO74" s="47"/>
      <c r="AP74" s="46"/>
      <c r="AQ74" s="47"/>
      <c r="AR74" s="47"/>
      <c r="AS74" s="101"/>
    </row>
    <row r="75" spans="1:45" s="63" customFormat="1" ht="12.95" customHeight="1" x14ac:dyDescent="0.25">
      <c r="A75" s="41"/>
      <c r="B75" s="42"/>
      <c r="C75" s="49" t="str">
        <f t="shared" ref="C75:AG75" si="21">IF(C73&gt;0,C73,IF(C74&gt;0,C74,""))</f>
        <v/>
      </c>
      <c r="D75" s="49" t="str">
        <f t="shared" si="21"/>
        <v/>
      </c>
      <c r="E75" s="49" t="str">
        <f t="shared" si="21"/>
        <v/>
      </c>
      <c r="F75" s="49" t="str">
        <f t="shared" si="21"/>
        <v/>
      </c>
      <c r="G75" s="49" t="str">
        <f t="shared" si="21"/>
        <v/>
      </c>
      <c r="H75" s="49" t="str">
        <f t="shared" si="21"/>
        <v/>
      </c>
      <c r="I75" s="49" t="str">
        <f t="shared" si="21"/>
        <v/>
      </c>
      <c r="J75" s="49" t="str">
        <f t="shared" si="21"/>
        <v/>
      </c>
      <c r="K75" s="49" t="str">
        <f t="shared" si="21"/>
        <v/>
      </c>
      <c r="L75" s="49" t="str">
        <f t="shared" si="21"/>
        <v/>
      </c>
      <c r="M75" s="49" t="str">
        <f t="shared" si="21"/>
        <v/>
      </c>
      <c r="N75" s="49" t="str">
        <f t="shared" si="21"/>
        <v/>
      </c>
      <c r="O75" s="49" t="str">
        <f t="shared" si="21"/>
        <v/>
      </c>
      <c r="P75" s="49" t="str">
        <f t="shared" si="21"/>
        <v/>
      </c>
      <c r="Q75" s="49" t="str">
        <f t="shared" si="21"/>
        <v/>
      </c>
      <c r="R75" s="49" t="str">
        <f t="shared" si="21"/>
        <v/>
      </c>
      <c r="S75" s="49" t="str">
        <f t="shared" si="21"/>
        <v/>
      </c>
      <c r="T75" s="49" t="str">
        <f t="shared" si="21"/>
        <v/>
      </c>
      <c r="U75" s="49" t="str">
        <f t="shared" si="21"/>
        <v/>
      </c>
      <c r="V75" s="49" t="str">
        <f t="shared" si="21"/>
        <v/>
      </c>
      <c r="W75" s="49" t="str">
        <f t="shared" si="21"/>
        <v/>
      </c>
      <c r="X75" s="49" t="str">
        <f t="shared" si="21"/>
        <v/>
      </c>
      <c r="Y75" s="49" t="str">
        <f t="shared" si="21"/>
        <v/>
      </c>
      <c r="Z75" s="49" t="str">
        <f t="shared" si="21"/>
        <v/>
      </c>
      <c r="AA75" s="49" t="str">
        <f t="shared" si="21"/>
        <v/>
      </c>
      <c r="AB75" s="49" t="str">
        <f t="shared" si="21"/>
        <v/>
      </c>
      <c r="AC75" s="49" t="str">
        <f t="shared" si="21"/>
        <v/>
      </c>
      <c r="AD75" s="49" t="str">
        <f t="shared" si="21"/>
        <v/>
      </c>
      <c r="AE75" s="49" t="str">
        <f t="shared" si="21"/>
        <v/>
      </c>
      <c r="AF75" s="49" t="str">
        <f t="shared" si="21"/>
        <v/>
      </c>
      <c r="AG75" s="49" t="str">
        <f t="shared" si="21"/>
        <v/>
      </c>
      <c r="AH75" s="44">
        <f>SUM(AH73:AH74)</f>
        <v>0</v>
      </c>
      <c r="AI75" s="45">
        <f>SUM(AI73:AI74)</f>
        <v>0</v>
      </c>
      <c r="AJ75" s="45">
        <f>SUM(AJ73:AJ74)</f>
        <v>0</v>
      </c>
      <c r="AK75" s="45">
        <f>SUM(AK73:AK74)</f>
        <v>0</v>
      </c>
      <c r="AL75" s="45">
        <f>SUM(AL73:AL74)</f>
        <v>0</v>
      </c>
      <c r="AM75" s="50">
        <f>Juin!AM75</f>
        <v>0</v>
      </c>
      <c r="AN75" s="51">
        <f>IF(A74="","",IF(A74&gt;NomMois,0,IF(A74&lt;$A$3,2.08,(NETWORKDAYS(A74,$A$2)/21.66667)*2.08)))</f>
        <v>2.08</v>
      </c>
      <c r="AO75" s="51">
        <f>IF( AN75="",0,+AN75+Décembre!AO75)</f>
        <v>10.335999689846203</v>
      </c>
      <c r="AP75" s="51">
        <f>IF(A74="","",IF(A74&gt;NomMois,0,IF(A74&lt;$A$3,1.5,(NETWORKDAYS(A74,$A$2)/21.66667)*1.5)))</f>
        <v>1.5</v>
      </c>
      <c r="AQ75" s="45">
        <f>+AM75-AI75</f>
        <v>0</v>
      </c>
      <c r="AR75" s="45">
        <f>+IF(AP75="","",AP75-AJ75)</f>
        <v>1.5</v>
      </c>
      <c r="AS75" s="102">
        <f t="shared" si="10"/>
        <v>10.335999689846203</v>
      </c>
    </row>
    <row r="76" spans="1:45" s="63" customFormat="1" ht="6.75" customHeight="1" x14ac:dyDescent="0.25">
      <c r="A76" s="64"/>
      <c r="B76" s="42"/>
      <c r="C76" s="64"/>
      <c r="D76" s="64"/>
      <c r="E76" s="64"/>
      <c r="F76" s="64"/>
      <c r="G76" s="64"/>
      <c r="H76" s="64"/>
      <c r="I76" s="64"/>
      <c r="J76" s="64"/>
      <c r="K76" s="64"/>
      <c r="L76" s="64"/>
      <c r="M76" s="64"/>
      <c r="N76" s="64"/>
      <c r="O76" s="64"/>
      <c r="P76" s="64"/>
      <c r="Q76" s="64"/>
      <c r="R76" s="64"/>
      <c r="S76" s="64"/>
      <c r="T76" s="64"/>
      <c r="U76" s="64"/>
      <c r="V76" s="64"/>
      <c r="W76" s="64"/>
      <c r="X76" s="64"/>
      <c r="Y76" s="64"/>
      <c r="Z76" s="64"/>
      <c r="AA76" s="64"/>
      <c r="AB76" s="64"/>
      <c r="AC76" s="64"/>
      <c r="AD76" s="64"/>
      <c r="AE76" s="64"/>
      <c r="AF76" s="64"/>
      <c r="AG76" s="64"/>
      <c r="AH76" s="65"/>
      <c r="AI76" s="65"/>
      <c r="AJ76" s="65"/>
      <c r="AK76" s="65"/>
      <c r="AL76" s="65"/>
      <c r="AM76" s="64"/>
      <c r="AN76" s="65"/>
      <c r="AO76" s="65"/>
      <c r="AP76" s="64"/>
      <c r="AQ76" s="69"/>
      <c r="AR76" s="69"/>
      <c r="AS76" s="65"/>
    </row>
    <row r="77" spans="1:45" s="63" customFormat="1" ht="12.95" customHeight="1" x14ac:dyDescent="0.25">
      <c r="A77" s="41"/>
      <c r="B77" s="42" t="s">
        <v>15</v>
      </c>
      <c r="C77" s="67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43"/>
      <c r="AH77" s="44">
        <f>COUNTA(Janvier!$C77:$AG77)</f>
        <v>0</v>
      </c>
      <c r="AI77" s="45">
        <f>(COUNTIFS(Janvier!$C77:$AG77,("cp")))/2+Décembre!AI77</f>
        <v>0</v>
      </c>
      <c r="AJ77" s="45">
        <f>COUNTIFS(Janvier!$C77:$AG77,"RTT")/2+Décembre!AJ77</f>
        <v>0</v>
      </c>
      <c r="AK77" s="45">
        <f>COUNTIFS(Janvier!$C77:$AG77,"m")/2+Décembre!AK77</f>
        <v>0</v>
      </c>
      <c r="AL77" s="45">
        <f>COUNTIFS(Janvier!$C77:$AG77,"a")/2+Décembre!AL77</f>
        <v>0</v>
      </c>
      <c r="AM77" s="46"/>
      <c r="AN77" s="47"/>
      <c r="AO77" s="47"/>
      <c r="AP77" s="46"/>
      <c r="AQ77" s="47"/>
      <c r="AR77" s="47"/>
      <c r="AS77" s="47"/>
    </row>
    <row r="78" spans="1:45" s="63" customFormat="1" ht="12.95" customHeight="1" x14ac:dyDescent="0.25">
      <c r="A78" s="48">
        <v>43059</v>
      </c>
      <c r="B78" s="42" t="s">
        <v>16</v>
      </c>
      <c r="C78" s="67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  <c r="AA78" s="43"/>
      <c r="AB78" s="43"/>
      <c r="AC78" s="43"/>
      <c r="AD78" s="43"/>
      <c r="AE78" s="43"/>
      <c r="AF78" s="43"/>
      <c r="AG78" s="43"/>
      <c r="AH78" s="44">
        <f>COUNTA(Janvier!$C78:$AG78)</f>
        <v>0</v>
      </c>
      <c r="AI78" s="45">
        <f>(COUNTIFS(Janvier!$C78:$AG78,("cp")))/2+Décembre!AI78</f>
        <v>0</v>
      </c>
      <c r="AJ78" s="45">
        <f>COUNTIFS(Janvier!$C78:$AG78,"RTT")/2+Décembre!AJ78</f>
        <v>0</v>
      </c>
      <c r="AK78" s="45">
        <f>COUNTIFS(Janvier!$C78:$AG78,"m")/2+Décembre!AK78</f>
        <v>0</v>
      </c>
      <c r="AL78" s="45">
        <f>COUNTIFS(Janvier!$C78:$AG78,"a")/2+Décembre!AL78</f>
        <v>0</v>
      </c>
      <c r="AM78" s="46"/>
      <c r="AN78" s="47"/>
      <c r="AO78" s="47"/>
      <c r="AP78" s="46"/>
      <c r="AQ78" s="47"/>
      <c r="AR78" s="47"/>
      <c r="AS78" s="101"/>
    </row>
    <row r="79" spans="1:45" s="63" customFormat="1" ht="12.95" customHeight="1" x14ac:dyDescent="0.25">
      <c r="A79" s="41"/>
      <c r="B79" s="42"/>
      <c r="C79" s="49" t="str">
        <f t="shared" ref="C79:AG79" si="22">IF(C77&gt;0,C77,IF(C78&gt;0,C78,""))</f>
        <v/>
      </c>
      <c r="D79" s="49" t="str">
        <f t="shared" si="22"/>
        <v/>
      </c>
      <c r="E79" s="49" t="str">
        <f t="shared" si="22"/>
        <v/>
      </c>
      <c r="F79" s="49" t="str">
        <f t="shared" si="22"/>
        <v/>
      </c>
      <c r="G79" s="49" t="str">
        <f t="shared" si="22"/>
        <v/>
      </c>
      <c r="H79" s="49" t="str">
        <f t="shared" si="22"/>
        <v/>
      </c>
      <c r="I79" s="49" t="str">
        <f t="shared" si="22"/>
        <v/>
      </c>
      <c r="J79" s="49" t="str">
        <f t="shared" si="22"/>
        <v/>
      </c>
      <c r="K79" s="49" t="str">
        <f t="shared" si="22"/>
        <v/>
      </c>
      <c r="L79" s="49" t="str">
        <f t="shared" si="22"/>
        <v/>
      </c>
      <c r="M79" s="49" t="str">
        <f t="shared" si="22"/>
        <v/>
      </c>
      <c r="N79" s="49" t="str">
        <f t="shared" si="22"/>
        <v/>
      </c>
      <c r="O79" s="49" t="str">
        <f t="shared" si="22"/>
        <v/>
      </c>
      <c r="P79" s="49" t="str">
        <f t="shared" si="22"/>
        <v/>
      </c>
      <c r="Q79" s="49" t="str">
        <f t="shared" si="22"/>
        <v/>
      </c>
      <c r="R79" s="49" t="str">
        <f t="shared" si="22"/>
        <v/>
      </c>
      <c r="S79" s="49" t="str">
        <f t="shared" si="22"/>
        <v/>
      </c>
      <c r="T79" s="49" t="str">
        <f t="shared" si="22"/>
        <v/>
      </c>
      <c r="U79" s="49" t="str">
        <f t="shared" si="22"/>
        <v/>
      </c>
      <c r="V79" s="49" t="str">
        <f t="shared" si="22"/>
        <v/>
      </c>
      <c r="W79" s="49" t="str">
        <f t="shared" si="22"/>
        <v/>
      </c>
      <c r="X79" s="49" t="str">
        <f t="shared" si="22"/>
        <v/>
      </c>
      <c r="Y79" s="49" t="str">
        <f t="shared" si="22"/>
        <v/>
      </c>
      <c r="Z79" s="49" t="str">
        <f t="shared" si="22"/>
        <v/>
      </c>
      <c r="AA79" s="49" t="str">
        <f t="shared" si="22"/>
        <v/>
      </c>
      <c r="AB79" s="49" t="str">
        <f t="shared" si="22"/>
        <v/>
      </c>
      <c r="AC79" s="49" t="str">
        <f t="shared" si="22"/>
        <v/>
      </c>
      <c r="AD79" s="49" t="str">
        <f t="shared" si="22"/>
        <v/>
      </c>
      <c r="AE79" s="49" t="str">
        <f t="shared" si="22"/>
        <v/>
      </c>
      <c r="AF79" s="49" t="str">
        <f t="shared" si="22"/>
        <v/>
      </c>
      <c r="AG79" s="49" t="str">
        <f t="shared" si="22"/>
        <v/>
      </c>
      <c r="AH79" s="44">
        <f>SUM(AH77:AH78)</f>
        <v>0</v>
      </c>
      <c r="AI79" s="45">
        <f>SUM(AI77:AI78)</f>
        <v>0</v>
      </c>
      <c r="AJ79" s="45">
        <f>SUM(AJ77:AJ78)</f>
        <v>0</v>
      </c>
      <c r="AK79" s="45">
        <f>SUM(AK77:AK78)</f>
        <v>0</v>
      </c>
      <c r="AL79" s="45">
        <f>SUM(AL77:AL78)</f>
        <v>0</v>
      </c>
      <c r="AM79" s="50">
        <f>Juin!AM79</f>
        <v>0</v>
      </c>
      <c r="AN79" s="51">
        <f>IF(A78="","",IF(A78&gt;NomMois,0,IF(A78&lt;$A$3,2.08,(NETWORKDAYS(A78,$A$2)/21.66667)*2.08)))</f>
        <v>2.08</v>
      </c>
      <c r="AO79" s="51">
        <f>IF( AN79="",0,+AN79+Décembre!AO79)</f>
        <v>5.0239998670769435</v>
      </c>
      <c r="AP79" s="51">
        <f>IF(A78="","",IF(A78&gt;NomMois,0,IF(A78&lt;$A$3,1.5,(NETWORKDAYS(A78,$A$2)/21.66667)*1.5)))</f>
        <v>1.5</v>
      </c>
      <c r="AQ79" s="45">
        <f>+AM79-AI79</f>
        <v>0</v>
      </c>
      <c r="AR79" s="45">
        <f>+IF(AP79="","",AP79-AJ79)</f>
        <v>1.5</v>
      </c>
      <c r="AS79" s="102">
        <f t="shared" si="10"/>
        <v>5.0239998670769435</v>
      </c>
    </row>
    <row r="80" spans="1:45" s="63" customFormat="1" ht="6.75" customHeight="1" x14ac:dyDescent="0.25">
      <c r="A80" s="64"/>
      <c r="B80" s="42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  <c r="X80" s="64"/>
      <c r="Y80" s="64"/>
      <c r="Z80" s="64"/>
      <c r="AA80" s="64"/>
      <c r="AB80" s="64"/>
      <c r="AC80" s="64"/>
      <c r="AD80" s="64"/>
      <c r="AE80" s="64"/>
      <c r="AF80" s="64"/>
      <c r="AG80" s="64"/>
      <c r="AH80" s="65"/>
      <c r="AI80" s="65"/>
      <c r="AJ80" s="65"/>
      <c r="AK80" s="65"/>
      <c r="AL80" s="65"/>
      <c r="AM80" s="64"/>
      <c r="AN80" s="65"/>
      <c r="AO80" s="65"/>
      <c r="AP80" s="64"/>
      <c r="AQ80" s="69"/>
      <c r="AR80" s="69"/>
      <c r="AS80" s="65"/>
    </row>
    <row r="81" spans="1:45" s="63" customFormat="1" ht="12.95" customHeight="1" x14ac:dyDescent="0.25">
      <c r="A81" s="41"/>
      <c r="B81" s="42" t="s">
        <v>15</v>
      </c>
      <c r="C81" s="67"/>
      <c r="D81" s="106" t="s">
        <v>7</v>
      </c>
      <c r="E81" s="106" t="s">
        <v>7</v>
      </c>
      <c r="F81" s="106" t="s">
        <v>7</v>
      </c>
      <c r="G81" s="106" t="s">
        <v>7</v>
      </c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  <c r="AA81" s="43"/>
      <c r="AB81" s="43"/>
      <c r="AC81" s="43"/>
      <c r="AD81" s="43"/>
      <c r="AE81" s="43"/>
      <c r="AF81" s="43"/>
      <c r="AG81" s="43"/>
      <c r="AH81" s="44">
        <f>COUNTA(Janvier!$C81:$AG81)</f>
        <v>4</v>
      </c>
      <c r="AI81" s="45">
        <f>(COUNTIFS(Janvier!$C81:$AG81,("cp")))/2+Décembre!AI81</f>
        <v>4.5</v>
      </c>
      <c r="AJ81" s="45">
        <f>COUNTIFS(Janvier!$C81:$AG81,"RTT")/2+Décembre!AJ81</f>
        <v>0</v>
      </c>
      <c r="AK81" s="45">
        <f>COUNTIFS(Janvier!$C81:$AG81,"m")/2+Décembre!AK81</f>
        <v>0</v>
      </c>
      <c r="AL81" s="45">
        <f>COUNTIFS(Janvier!$C81:$AG81,"a")/2+Décembre!AL81</f>
        <v>0</v>
      </c>
      <c r="AM81" s="46"/>
      <c r="AN81" s="47"/>
      <c r="AO81" s="47"/>
      <c r="AP81" s="46"/>
      <c r="AQ81" s="47"/>
      <c r="AR81" s="47"/>
      <c r="AS81" s="47"/>
    </row>
    <row r="82" spans="1:45" s="63" customFormat="1" ht="12.95" customHeight="1" x14ac:dyDescent="0.25">
      <c r="A82" s="48">
        <v>42506</v>
      </c>
      <c r="B82" s="42" t="s">
        <v>16</v>
      </c>
      <c r="C82" s="67"/>
      <c r="D82" s="106" t="s">
        <v>7</v>
      </c>
      <c r="E82" s="106" t="s">
        <v>7</v>
      </c>
      <c r="F82" s="106" t="s">
        <v>7</v>
      </c>
      <c r="G82" s="106" t="s">
        <v>7</v>
      </c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  <c r="S82" s="43"/>
      <c r="T82" s="43"/>
      <c r="U82" s="43"/>
      <c r="V82" s="43"/>
      <c r="W82" s="43"/>
      <c r="X82" s="43"/>
      <c r="Y82" s="43"/>
      <c r="Z82" s="43"/>
      <c r="AA82" s="43"/>
      <c r="AB82" s="43"/>
      <c r="AC82" s="43"/>
      <c r="AD82" s="43"/>
      <c r="AE82" s="43"/>
      <c r="AF82" s="43"/>
      <c r="AG82" s="43"/>
      <c r="AH82" s="44">
        <f>COUNTA(Janvier!$C82:$AG82)</f>
        <v>4</v>
      </c>
      <c r="AI82" s="45">
        <f>(COUNTIFS(Janvier!$C82:$AG82,("cp")))/2+Décembre!AI82</f>
        <v>4.5</v>
      </c>
      <c r="AJ82" s="45">
        <f>COUNTIFS(Janvier!$C82:$AG82,"RTT")/2+Décembre!AJ82</f>
        <v>0</v>
      </c>
      <c r="AK82" s="45">
        <f>COUNTIFS(Janvier!$C82:$AG82,"m")/2+Décembre!AK82</f>
        <v>0</v>
      </c>
      <c r="AL82" s="45">
        <f>COUNTIFS(Janvier!$C82:$AG82,"a")/2+Décembre!AL82</f>
        <v>0</v>
      </c>
      <c r="AM82" s="46"/>
      <c r="AN82" s="47"/>
      <c r="AO82" s="47"/>
      <c r="AP82" s="46"/>
      <c r="AQ82" s="47"/>
      <c r="AR82" s="47"/>
      <c r="AS82" s="101"/>
    </row>
    <row r="83" spans="1:45" s="63" customFormat="1" ht="12.95" customHeight="1" x14ac:dyDescent="0.25">
      <c r="A83" s="41"/>
      <c r="B83" s="42"/>
      <c r="C83" s="49" t="str">
        <f t="shared" ref="C83:AG83" si="23">IF(C81&gt;0,C81,IF(C82&gt;0,C82,""))</f>
        <v/>
      </c>
      <c r="D83" s="107" t="str">
        <f t="shared" si="23"/>
        <v>CP</v>
      </c>
      <c r="E83" s="107" t="str">
        <f t="shared" si="23"/>
        <v>CP</v>
      </c>
      <c r="F83" s="107" t="str">
        <f t="shared" si="23"/>
        <v>CP</v>
      </c>
      <c r="G83" s="107" t="str">
        <f t="shared" si="23"/>
        <v>CP</v>
      </c>
      <c r="H83" s="49" t="str">
        <f t="shared" si="23"/>
        <v/>
      </c>
      <c r="I83" s="49" t="str">
        <f t="shared" si="23"/>
        <v/>
      </c>
      <c r="J83" s="49" t="str">
        <f t="shared" si="23"/>
        <v/>
      </c>
      <c r="K83" s="49" t="str">
        <f t="shared" si="23"/>
        <v/>
      </c>
      <c r="L83" s="49" t="str">
        <f t="shared" si="23"/>
        <v/>
      </c>
      <c r="M83" s="49" t="str">
        <f t="shared" si="23"/>
        <v/>
      </c>
      <c r="N83" s="49" t="str">
        <f t="shared" si="23"/>
        <v/>
      </c>
      <c r="O83" s="49" t="str">
        <f t="shared" si="23"/>
        <v/>
      </c>
      <c r="P83" s="49" t="str">
        <f t="shared" si="23"/>
        <v/>
      </c>
      <c r="Q83" s="49" t="str">
        <f t="shared" si="23"/>
        <v/>
      </c>
      <c r="R83" s="49" t="str">
        <f t="shared" si="23"/>
        <v/>
      </c>
      <c r="S83" s="49" t="str">
        <f t="shared" si="23"/>
        <v/>
      </c>
      <c r="T83" s="49" t="str">
        <f t="shared" si="23"/>
        <v/>
      </c>
      <c r="U83" s="49" t="str">
        <f t="shared" si="23"/>
        <v/>
      </c>
      <c r="V83" s="49" t="str">
        <f t="shared" si="23"/>
        <v/>
      </c>
      <c r="W83" s="49" t="str">
        <f t="shared" si="23"/>
        <v/>
      </c>
      <c r="X83" s="49" t="str">
        <f t="shared" si="23"/>
        <v/>
      </c>
      <c r="Y83" s="49" t="str">
        <f t="shared" si="23"/>
        <v/>
      </c>
      <c r="Z83" s="49" t="str">
        <f t="shared" si="23"/>
        <v/>
      </c>
      <c r="AA83" s="49" t="str">
        <f t="shared" si="23"/>
        <v/>
      </c>
      <c r="AB83" s="49" t="str">
        <f t="shared" si="23"/>
        <v/>
      </c>
      <c r="AC83" s="49" t="str">
        <f t="shared" si="23"/>
        <v/>
      </c>
      <c r="AD83" s="49" t="str">
        <f t="shared" si="23"/>
        <v/>
      </c>
      <c r="AE83" s="49" t="str">
        <f t="shared" si="23"/>
        <v/>
      </c>
      <c r="AF83" s="49" t="str">
        <f t="shared" si="23"/>
        <v/>
      </c>
      <c r="AG83" s="49" t="str">
        <f t="shared" si="23"/>
        <v/>
      </c>
      <c r="AH83" s="44">
        <f>SUM(AH81:AH82)</f>
        <v>8</v>
      </c>
      <c r="AI83" s="45">
        <f>SUM(AI81:AI82)</f>
        <v>9</v>
      </c>
      <c r="AJ83" s="45">
        <f>SUM(AJ81:AJ82)</f>
        <v>0</v>
      </c>
      <c r="AK83" s="45">
        <f>SUM(AK81:AK82)</f>
        <v>0</v>
      </c>
      <c r="AL83" s="45">
        <f>SUM(AL81:AL82)</f>
        <v>0</v>
      </c>
      <c r="AM83" s="50">
        <f>Juin!AM83</f>
        <v>-9.98</v>
      </c>
      <c r="AN83" s="51">
        <f>IF(A82="","",IF(A82&gt;NomMois,0,IF(A82&lt;$A$3,2.08,(NETWORKDAYS(A82,$A$2)/21.66667)*2.08)))</f>
        <v>2.08</v>
      </c>
      <c r="AO83" s="51">
        <f>IF( AN83="",0,+AN83+Décembre!AO83)</f>
        <v>16.64</v>
      </c>
      <c r="AP83" s="51"/>
      <c r="AQ83" s="45">
        <f>+AM83-AI83</f>
        <v>-18.98</v>
      </c>
      <c r="AR83" s="45" t="str">
        <f>+IF(AP83="","",AP83-AJ83)</f>
        <v/>
      </c>
      <c r="AS83" s="102">
        <f t="shared" si="10"/>
        <v>-2.34</v>
      </c>
    </row>
    <row r="84" spans="1:45" s="63" customFormat="1" ht="6.75" customHeight="1" x14ac:dyDescent="0.25">
      <c r="A84" s="64"/>
      <c r="B84" s="42"/>
      <c r="C84" s="64"/>
      <c r="D84" s="64"/>
      <c r="E84" s="64"/>
      <c r="F84" s="64"/>
      <c r="G84" s="64"/>
      <c r="H84" s="64"/>
      <c r="I84" s="64"/>
      <c r="J84" s="64"/>
      <c r="K84" s="64"/>
      <c r="L84" s="64"/>
      <c r="M84" s="64"/>
      <c r="N84" s="64"/>
      <c r="O84" s="64"/>
      <c r="P84" s="64"/>
      <c r="Q84" s="64"/>
      <c r="R84" s="64"/>
      <c r="S84" s="64"/>
      <c r="T84" s="64"/>
      <c r="U84" s="64"/>
      <c r="V84" s="64"/>
      <c r="W84" s="64"/>
      <c r="X84" s="64"/>
      <c r="Y84" s="64"/>
      <c r="Z84" s="64"/>
      <c r="AA84" s="64"/>
      <c r="AB84" s="64"/>
      <c r="AC84" s="64"/>
      <c r="AD84" s="64"/>
      <c r="AE84" s="64"/>
      <c r="AF84" s="64"/>
      <c r="AG84" s="64"/>
      <c r="AH84" s="65"/>
      <c r="AI84" s="65"/>
      <c r="AJ84" s="65"/>
      <c r="AK84" s="65"/>
      <c r="AL84" s="65"/>
      <c r="AM84" s="64"/>
      <c r="AN84" s="65"/>
      <c r="AO84" s="65"/>
      <c r="AP84" s="64"/>
      <c r="AQ84" s="69"/>
      <c r="AR84" s="69"/>
      <c r="AS84" s="65"/>
    </row>
    <row r="85" spans="1:45" s="63" customFormat="1" ht="12.95" customHeight="1" x14ac:dyDescent="0.25">
      <c r="A85" s="41"/>
      <c r="B85" s="42" t="s">
        <v>15</v>
      </c>
      <c r="C85" s="67"/>
      <c r="D85" s="43"/>
      <c r="E85" s="43"/>
      <c r="F85" s="43"/>
      <c r="G85" s="43"/>
      <c r="H85" s="43"/>
      <c r="I85" s="43"/>
      <c r="J85" s="43"/>
      <c r="K85" s="43"/>
      <c r="L85" s="43"/>
      <c r="M85" s="43"/>
      <c r="N85" s="43"/>
      <c r="O85" s="43"/>
      <c r="P85" s="43"/>
      <c r="Q85" s="43"/>
      <c r="R85" s="43"/>
      <c r="S85" s="43"/>
      <c r="T85" s="43"/>
      <c r="U85" s="43"/>
      <c r="V85" s="43"/>
      <c r="W85" s="43"/>
      <c r="X85" s="43"/>
      <c r="Y85" s="43"/>
      <c r="Z85" s="43"/>
      <c r="AA85" s="43"/>
      <c r="AB85" s="43"/>
      <c r="AC85" s="43"/>
      <c r="AD85" s="43"/>
      <c r="AE85" s="43"/>
      <c r="AF85" s="43"/>
      <c r="AG85" s="43"/>
      <c r="AH85" s="44">
        <f>COUNTA(Janvier!$C85:$AG85)</f>
        <v>0</v>
      </c>
      <c r="AI85" s="45">
        <f>(COUNTIFS(Janvier!$C85:$AG85,("cp")))/2+Décembre!AI85</f>
        <v>13</v>
      </c>
      <c r="AJ85" s="45">
        <f>COUNTIFS(Janvier!$C85:$AG85,"RTT")/2+Décembre!AJ85</f>
        <v>0</v>
      </c>
      <c r="AK85" s="45">
        <f>COUNTIFS(Janvier!$C85:$AG85,"m")/2+Décembre!AK85</f>
        <v>0</v>
      </c>
      <c r="AL85" s="45">
        <f>COUNTIFS(Janvier!$C85:$AG85,"a")/2+Décembre!AL85</f>
        <v>0</v>
      </c>
      <c r="AM85" s="46"/>
      <c r="AN85" s="47"/>
      <c r="AO85" s="47"/>
      <c r="AP85" s="46"/>
      <c r="AQ85" s="47"/>
      <c r="AR85" s="47"/>
      <c r="AS85" s="47"/>
    </row>
    <row r="86" spans="1:45" s="63" customFormat="1" ht="12.95" customHeight="1" x14ac:dyDescent="0.25">
      <c r="A86" s="48">
        <v>42303</v>
      </c>
      <c r="B86" s="42" t="s">
        <v>16</v>
      </c>
      <c r="C86" s="67"/>
      <c r="D86" s="43"/>
      <c r="E86" s="43"/>
      <c r="F86" s="43"/>
      <c r="G86" s="43"/>
      <c r="H86" s="43"/>
      <c r="I86" s="43"/>
      <c r="J86" s="43"/>
      <c r="K86" s="43"/>
      <c r="L86" s="43"/>
      <c r="M86" s="43"/>
      <c r="N86" s="43"/>
      <c r="O86" s="43"/>
      <c r="P86" s="43"/>
      <c r="Q86" s="43"/>
      <c r="R86" s="43"/>
      <c r="S86" s="43"/>
      <c r="T86" s="43"/>
      <c r="U86" s="43"/>
      <c r="V86" s="43"/>
      <c r="W86" s="43"/>
      <c r="X86" s="43"/>
      <c r="Y86" s="43"/>
      <c r="Z86" s="43"/>
      <c r="AA86" s="43"/>
      <c r="AB86" s="43"/>
      <c r="AC86" s="43"/>
      <c r="AD86" s="43"/>
      <c r="AE86" s="43"/>
      <c r="AF86" s="43"/>
      <c r="AG86" s="43"/>
      <c r="AH86" s="44">
        <f>COUNTA(Janvier!$C86:$AG86)</f>
        <v>0</v>
      </c>
      <c r="AI86" s="45">
        <f>(COUNTIFS(Janvier!$C86:$AG86,("cp")))/2+Décembre!AI86</f>
        <v>13</v>
      </c>
      <c r="AJ86" s="45">
        <f>COUNTIFS(Janvier!$C86:$AG86,"RTT")/2+Décembre!AJ86</f>
        <v>0</v>
      </c>
      <c r="AK86" s="45">
        <f>COUNTIFS(Janvier!$C86:$AG86,"m")/2+Décembre!AK86</f>
        <v>0</v>
      </c>
      <c r="AL86" s="45">
        <f>COUNTIFS(Janvier!$C86:$AG86,"a")/2+Décembre!AL86</f>
        <v>0</v>
      </c>
      <c r="AM86" s="46"/>
      <c r="AN86" s="47"/>
      <c r="AO86" s="47"/>
      <c r="AP86" s="46"/>
      <c r="AQ86" s="47"/>
      <c r="AR86" s="47"/>
      <c r="AS86" s="101"/>
    </row>
    <row r="87" spans="1:45" s="63" customFormat="1" ht="12.95" customHeight="1" x14ac:dyDescent="0.25">
      <c r="A87" s="41"/>
      <c r="B87" s="42"/>
      <c r="C87" s="49" t="str">
        <f t="shared" ref="C87:AG87" si="24">IF(C85&gt;0,C85,IF(C86&gt;0,C86,""))</f>
        <v/>
      </c>
      <c r="D87" s="49" t="str">
        <f t="shared" si="24"/>
        <v/>
      </c>
      <c r="E87" s="49" t="str">
        <f t="shared" si="24"/>
        <v/>
      </c>
      <c r="F87" s="49" t="str">
        <f t="shared" si="24"/>
        <v/>
      </c>
      <c r="G87" s="49" t="str">
        <f t="shared" si="24"/>
        <v/>
      </c>
      <c r="H87" s="49" t="str">
        <f t="shared" si="24"/>
        <v/>
      </c>
      <c r="I87" s="49" t="str">
        <f t="shared" si="24"/>
        <v/>
      </c>
      <c r="J87" s="49" t="str">
        <f t="shared" si="24"/>
        <v/>
      </c>
      <c r="K87" s="49" t="str">
        <f t="shared" si="24"/>
        <v/>
      </c>
      <c r="L87" s="49" t="str">
        <f t="shared" si="24"/>
        <v/>
      </c>
      <c r="M87" s="49" t="str">
        <f t="shared" si="24"/>
        <v/>
      </c>
      <c r="N87" s="49" t="str">
        <f t="shared" si="24"/>
        <v/>
      </c>
      <c r="O87" s="49" t="str">
        <f t="shared" si="24"/>
        <v/>
      </c>
      <c r="P87" s="49" t="str">
        <f t="shared" si="24"/>
        <v/>
      </c>
      <c r="Q87" s="49" t="str">
        <f t="shared" si="24"/>
        <v/>
      </c>
      <c r="R87" s="49" t="str">
        <f t="shared" si="24"/>
        <v/>
      </c>
      <c r="S87" s="49" t="str">
        <f t="shared" si="24"/>
        <v/>
      </c>
      <c r="T87" s="49" t="str">
        <f t="shared" si="24"/>
        <v/>
      </c>
      <c r="U87" s="49" t="str">
        <f t="shared" si="24"/>
        <v/>
      </c>
      <c r="V87" s="49" t="str">
        <f t="shared" si="24"/>
        <v/>
      </c>
      <c r="W87" s="49" t="str">
        <f t="shared" si="24"/>
        <v/>
      </c>
      <c r="X87" s="49" t="str">
        <f t="shared" si="24"/>
        <v/>
      </c>
      <c r="Y87" s="49" t="str">
        <f t="shared" si="24"/>
        <v/>
      </c>
      <c r="Z87" s="49" t="str">
        <f t="shared" si="24"/>
        <v/>
      </c>
      <c r="AA87" s="49" t="str">
        <f t="shared" si="24"/>
        <v/>
      </c>
      <c r="AB87" s="49" t="str">
        <f t="shared" si="24"/>
        <v/>
      </c>
      <c r="AC87" s="49" t="str">
        <f t="shared" si="24"/>
        <v/>
      </c>
      <c r="AD87" s="49" t="str">
        <f t="shared" si="24"/>
        <v/>
      </c>
      <c r="AE87" s="49" t="str">
        <f t="shared" si="24"/>
        <v/>
      </c>
      <c r="AF87" s="49" t="str">
        <f t="shared" si="24"/>
        <v/>
      </c>
      <c r="AG87" s="49" t="str">
        <f t="shared" si="24"/>
        <v/>
      </c>
      <c r="AH87" s="44">
        <f>SUM(AH85:AH86)</f>
        <v>0</v>
      </c>
      <c r="AI87" s="45">
        <f>SUM(AI85:AI86)</f>
        <v>26</v>
      </c>
      <c r="AJ87" s="45">
        <f>SUM(AJ85:AJ86)</f>
        <v>0</v>
      </c>
      <c r="AK87" s="45">
        <f>SUM(AK85:AK86)</f>
        <v>0</v>
      </c>
      <c r="AL87" s="45">
        <f>SUM(AL85:AL86)</f>
        <v>0</v>
      </c>
      <c r="AM87" s="50">
        <f>Juin!AM87</f>
        <v>12.02</v>
      </c>
      <c r="AN87" s="51">
        <f>IF(A86="","",IF(A86&gt;NomMois,0,IF(A86&lt;$A$3,2.5,(NETWORKDAYS(A86,$A$2)/21.66667)*2.5)))</f>
        <v>2.5</v>
      </c>
      <c r="AO87" s="51">
        <f>IF( AN87="",0,+AN87+Décembre!AO87)</f>
        <v>20</v>
      </c>
      <c r="AP87" s="51"/>
      <c r="AQ87" s="45">
        <f>+AM87-AI87</f>
        <v>-13.98</v>
      </c>
      <c r="AR87" s="45" t="str">
        <f>+IF(AP87="","",AP87-AJ87)</f>
        <v/>
      </c>
      <c r="AS87" s="102">
        <f t="shared" si="10"/>
        <v>6.02</v>
      </c>
    </row>
    <row r="88" spans="1:45" s="63" customFormat="1" ht="6.75" customHeight="1" x14ac:dyDescent="0.25">
      <c r="A88" s="64"/>
      <c r="B88" s="42"/>
      <c r="C88" s="64"/>
      <c r="D88" s="64"/>
      <c r="E88" s="64"/>
      <c r="F88" s="64"/>
      <c r="G88" s="64"/>
      <c r="H88" s="64"/>
      <c r="I88" s="64"/>
      <c r="J88" s="64"/>
      <c r="K88" s="64"/>
      <c r="L88" s="64"/>
      <c r="M88" s="64"/>
      <c r="N88" s="64"/>
      <c r="O88" s="64"/>
      <c r="P88" s="64"/>
      <c r="Q88" s="64"/>
      <c r="R88" s="64"/>
      <c r="S88" s="64"/>
      <c r="T88" s="64"/>
      <c r="U88" s="64"/>
      <c r="V88" s="64"/>
      <c r="W88" s="64"/>
      <c r="X88" s="64"/>
      <c r="Y88" s="64"/>
      <c r="Z88" s="64"/>
      <c r="AA88" s="64"/>
      <c r="AB88" s="64"/>
      <c r="AC88" s="64"/>
      <c r="AD88" s="64"/>
      <c r="AE88" s="64"/>
      <c r="AF88" s="64"/>
      <c r="AG88" s="64"/>
      <c r="AH88" s="65"/>
      <c r="AI88" s="65"/>
      <c r="AJ88" s="65"/>
      <c r="AK88" s="65"/>
      <c r="AL88" s="65"/>
      <c r="AM88" s="64"/>
      <c r="AN88" s="65"/>
      <c r="AO88" s="65"/>
      <c r="AP88" s="64"/>
      <c r="AQ88" s="69"/>
      <c r="AR88" s="69"/>
      <c r="AS88" s="65"/>
    </row>
    <row r="89" spans="1:45" s="63" customFormat="1" ht="12.95" customHeight="1" x14ac:dyDescent="0.25">
      <c r="A89" s="41"/>
      <c r="B89" s="42" t="s">
        <v>15</v>
      </c>
      <c r="C89" s="67"/>
      <c r="D89" s="106" t="s">
        <v>7</v>
      </c>
      <c r="E89" s="106" t="s">
        <v>7</v>
      </c>
      <c r="F89" s="43"/>
      <c r="G89" s="43"/>
      <c r="H89" s="43"/>
      <c r="I89" s="43"/>
      <c r="J89" s="43"/>
      <c r="K89" s="43"/>
      <c r="L89" s="43"/>
      <c r="M89" s="43"/>
      <c r="N89" s="43"/>
      <c r="O89" s="43"/>
      <c r="P89" s="43"/>
      <c r="Q89" s="43"/>
      <c r="R89" s="43"/>
      <c r="S89" s="43"/>
      <c r="T89" s="43"/>
      <c r="U89" s="43"/>
      <c r="V89" s="43"/>
      <c r="W89" s="43"/>
      <c r="X89" s="43"/>
      <c r="Y89" s="43"/>
      <c r="Z89" s="43"/>
      <c r="AA89" s="43"/>
      <c r="AB89" s="43"/>
      <c r="AC89" s="43"/>
      <c r="AD89" s="43"/>
      <c r="AE89" s="43"/>
      <c r="AF89" s="43"/>
      <c r="AG89" s="43"/>
      <c r="AH89" s="44">
        <f>COUNTA(Janvier!$C89:$AG89)</f>
        <v>2</v>
      </c>
      <c r="AI89" s="45">
        <f>(COUNTIFS(Janvier!$C89:$AG89,("cp")))/2+Décembre!AI89</f>
        <v>19.5</v>
      </c>
      <c r="AJ89" s="45">
        <f>COUNTIFS(Janvier!$C89:$AG89,"RTT")/2+Décembre!AJ89</f>
        <v>0</v>
      </c>
      <c r="AK89" s="45">
        <f>COUNTIFS(Janvier!$C89:$AG89,"m")/2+Décembre!AK89</f>
        <v>0</v>
      </c>
      <c r="AL89" s="45">
        <f>COUNTIFS(Janvier!$C89:$AG89,"a")/2+Décembre!AL89</f>
        <v>0</v>
      </c>
      <c r="AM89" s="46"/>
      <c r="AN89" s="47"/>
      <c r="AO89" s="47"/>
      <c r="AP89" s="46"/>
      <c r="AQ89" s="47"/>
      <c r="AR89" s="47"/>
      <c r="AS89" s="47"/>
    </row>
    <row r="90" spans="1:45" s="63" customFormat="1" ht="12.95" customHeight="1" x14ac:dyDescent="0.25">
      <c r="A90" s="48">
        <v>42303</v>
      </c>
      <c r="B90" s="42" t="s">
        <v>16</v>
      </c>
      <c r="C90" s="67"/>
      <c r="D90" s="106" t="s">
        <v>7</v>
      </c>
      <c r="E90" s="106" t="s">
        <v>7</v>
      </c>
      <c r="F90" s="43"/>
      <c r="G90" s="43"/>
      <c r="H90" s="43"/>
      <c r="I90" s="43"/>
      <c r="J90" s="43"/>
      <c r="K90" s="43"/>
      <c r="L90" s="43"/>
      <c r="M90" s="43"/>
      <c r="N90" s="43"/>
      <c r="O90" s="43"/>
      <c r="P90" s="43"/>
      <c r="Q90" s="43"/>
      <c r="R90" s="43"/>
      <c r="S90" s="43"/>
      <c r="T90" s="43"/>
      <c r="U90" s="43"/>
      <c r="V90" s="43"/>
      <c r="W90" s="43"/>
      <c r="X90" s="43"/>
      <c r="Y90" s="43"/>
      <c r="Z90" s="43"/>
      <c r="AA90" s="43"/>
      <c r="AB90" s="43"/>
      <c r="AC90" s="43"/>
      <c r="AD90" s="43"/>
      <c r="AE90" s="43"/>
      <c r="AF90" s="43"/>
      <c r="AG90" s="43"/>
      <c r="AH90" s="44">
        <f>COUNTA(Janvier!$C90:$AG90)</f>
        <v>2</v>
      </c>
      <c r="AI90" s="45">
        <f>(COUNTIFS(Janvier!$C90:$AG90,("cp")))/2+Décembre!AI90</f>
        <v>19.5</v>
      </c>
      <c r="AJ90" s="45">
        <f>COUNTIFS(Janvier!$C90:$AG90,"RTT")/2+Décembre!AJ90</f>
        <v>0</v>
      </c>
      <c r="AK90" s="45">
        <f>COUNTIFS(Janvier!$C90:$AG90,"m")/2+Décembre!AK90</f>
        <v>0</v>
      </c>
      <c r="AL90" s="45">
        <f>COUNTIFS(Janvier!$C90:$AG90,"a")/2+Décembre!AL90</f>
        <v>0</v>
      </c>
      <c r="AM90" s="46"/>
      <c r="AN90" s="47"/>
      <c r="AO90" s="47"/>
      <c r="AP90" s="46"/>
      <c r="AQ90" s="47"/>
      <c r="AR90" s="47"/>
      <c r="AS90" s="101"/>
    </row>
    <row r="91" spans="1:45" s="63" customFormat="1" ht="12.95" customHeight="1" x14ac:dyDescent="0.25">
      <c r="A91" s="41"/>
      <c r="B91" s="42"/>
      <c r="C91" s="49" t="str">
        <f t="shared" ref="C91:AG91" si="25">IF(C89&gt;0,C89,IF(C90&gt;0,C90,""))</f>
        <v/>
      </c>
      <c r="D91" s="107" t="str">
        <f t="shared" si="25"/>
        <v>CP</v>
      </c>
      <c r="E91" s="107" t="str">
        <f t="shared" si="25"/>
        <v>CP</v>
      </c>
      <c r="F91" s="49" t="str">
        <f t="shared" si="25"/>
        <v/>
      </c>
      <c r="G91" s="49" t="str">
        <f t="shared" si="25"/>
        <v/>
      </c>
      <c r="H91" s="49" t="str">
        <f t="shared" si="25"/>
        <v/>
      </c>
      <c r="I91" s="49" t="str">
        <f t="shared" si="25"/>
        <v/>
      </c>
      <c r="J91" s="49" t="str">
        <f t="shared" si="25"/>
        <v/>
      </c>
      <c r="K91" s="49" t="str">
        <f t="shared" si="25"/>
        <v/>
      </c>
      <c r="L91" s="49" t="str">
        <f t="shared" si="25"/>
        <v/>
      </c>
      <c r="M91" s="49" t="str">
        <f t="shared" si="25"/>
        <v/>
      </c>
      <c r="N91" s="49" t="str">
        <f t="shared" si="25"/>
        <v/>
      </c>
      <c r="O91" s="49" t="str">
        <f t="shared" si="25"/>
        <v/>
      </c>
      <c r="P91" s="49" t="str">
        <f t="shared" si="25"/>
        <v/>
      </c>
      <c r="Q91" s="49" t="str">
        <f t="shared" si="25"/>
        <v/>
      </c>
      <c r="R91" s="49" t="str">
        <f t="shared" si="25"/>
        <v/>
      </c>
      <c r="S91" s="49" t="str">
        <f t="shared" si="25"/>
        <v/>
      </c>
      <c r="T91" s="49" t="str">
        <f t="shared" si="25"/>
        <v/>
      </c>
      <c r="U91" s="49" t="str">
        <f t="shared" si="25"/>
        <v/>
      </c>
      <c r="V91" s="49" t="str">
        <f t="shared" si="25"/>
        <v/>
      </c>
      <c r="W91" s="49" t="str">
        <f t="shared" si="25"/>
        <v/>
      </c>
      <c r="X91" s="49" t="str">
        <f t="shared" si="25"/>
        <v/>
      </c>
      <c r="Y91" s="49" t="str">
        <f t="shared" si="25"/>
        <v/>
      </c>
      <c r="Z91" s="49" t="str">
        <f t="shared" si="25"/>
        <v/>
      </c>
      <c r="AA91" s="49" t="str">
        <f t="shared" si="25"/>
        <v/>
      </c>
      <c r="AB91" s="49" t="str">
        <f t="shared" si="25"/>
        <v/>
      </c>
      <c r="AC91" s="49" t="str">
        <f t="shared" si="25"/>
        <v/>
      </c>
      <c r="AD91" s="49" t="str">
        <f t="shared" si="25"/>
        <v/>
      </c>
      <c r="AE91" s="49" t="str">
        <f t="shared" si="25"/>
        <v/>
      </c>
      <c r="AF91" s="49" t="str">
        <f t="shared" si="25"/>
        <v/>
      </c>
      <c r="AG91" s="49" t="str">
        <f t="shared" si="25"/>
        <v/>
      </c>
      <c r="AH91" s="44">
        <f>SUM(AH89:AH90)</f>
        <v>4</v>
      </c>
      <c r="AI91" s="45">
        <f>SUM(AI89:AI90)</f>
        <v>39</v>
      </c>
      <c r="AJ91" s="45">
        <f>SUM(AJ89:AJ90)</f>
        <v>0</v>
      </c>
      <c r="AK91" s="45">
        <f>SUM(AK89:AK90)</f>
        <v>0</v>
      </c>
      <c r="AL91" s="45">
        <f>SUM(AL89:AL90)</f>
        <v>0</v>
      </c>
      <c r="AM91" s="50">
        <f>Juin!AM91</f>
        <v>-0.82</v>
      </c>
      <c r="AN91" s="51">
        <f>IF(A90="","",IF(A90&gt;NomMois,0,IF(A90&lt;$A$3,2.5,(NETWORKDAYS(A90,$A$2)/21.66667)*2.5)))</f>
        <v>2.5</v>
      </c>
      <c r="AO91" s="51">
        <f>IF( AN91="",0,+AN91+Décembre!AO91)</f>
        <v>20</v>
      </c>
      <c r="AP91" s="51"/>
      <c r="AQ91" s="45">
        <f>+AM91-AI91</f>
        <v>-39.82</v>
      </c>
      <c r="AR91" s="45" t="str">
        <f>+IF(AP91="","",AP91-AJ91)</f>
        <v/>
      </c>
      <c r="AS91" s="102">
        <f t="shared" si="10"/>
        <v>-19.82</v>
      </c>
    </row>
    <row r="92" spans="1:45" s="63" customFormat="1" ht="6.75" customHeight="1" x14ac:dyDescent="0.25">
      <c r="A92" s="64"/>
      <c r="B92" s="42"/>
      <c r="C92" s="65"/>
      <c r="D92" s="65"/>
      <c r="E92" s="65"/>
      <c r="F92" s="65"/>
      <c r="G92" s="65"/>
      <c r="H92" s="65"/>
      <c r="I92" s="65"/>
      <c r="J92" s="65"/>
      <c r="K92" s="65"/>
      <c r="L92" s="65"/>
      <c r="M92" s="65"/>
      <c r="N92" s="65"/>
      <c r="O92" s="65"/>
      <c r="P92" s="65"/>
      <c r="Q92" s="65"/>
      <c r="R92" s="65"/>
      <c r="S92" s="65"/>
      <c r="T92" s="65"/>
      <c r="U92" s="65"/>
      <c r="V92" s="65"/>
      <c r="W92" s="65"/>
      <c r="X92" s="65"/>
      <c r="Y92" s="65"/>
      <c r="Z92" s="65"/>
      <c r="AA92" s="65"/>
      <c r="AB92" s="65"/>
      <c r="AC92" s="65"/>
      <c r="AD92" s="65"/>
      <c r="AE92" s="65"/>
      <c r="AF92" s="65"/>
      <c r="AG92" s="65"/>
      <c r="AH92" s="65"/>
      <c r="AI92" s="65"/>
      <c r="AJ92" s="65"/>
      <c r="AK92" s="65"/>
      <c r="AL92" s="65"/>
      <c r="AM92" s="64"/>
      <c r="AN92" s="65"/>
      <c r="AO92" s="65"/>
      <c r="AP92" s="64"/>
      <c r="AQ92" s="69"/>
      <c r="AR92" s="69"/>
      <c r="AS92" s="65"/>
    </row>
    <row r="93" spans="1:45" ht="12.95" customHeight="1" x14ac:dyDescent="0.25">
      <c r="A93" s="41"/>
      <c r="B93" s="42" t="s">
        <v>15</v>
      </c>
      <c r="C93" s="67"/>
      <c r="D93" s="43"/>
      <c r="E93" s="43"/>
      <c r="F93" s="43"/>
      <c r="G93" s="43"/>
      <c r="H93" s="43"/>
      <c r="I93" s="43"/>
      <c r="J93" s="43"/>
      <c r="K93" s="43"/>
      <c r="L93" s="43"/>
      <c r="M93" s="43"/>
      <c r="N93" s="43"/>
      <c r="O93" s="43"/>
      <c r="P93" s="43"/>
      <c r="Q93" s="43"/>
      <c r="R93" s="43"/>
      <c r="S93" s="43"/>
      <c r="T93" s="43"/>
      <c r="U93" s="43"/>
      <c r="V93" s="43"/>
      <c r="W93" s="43"/>
      <c r="X93" s="43"/>
      <c r="Y93" s="43"/>
      <c r="Z93" s="43"/>
      <c r="AA93" s="43"/>
      <c r="AB93" s="43"/>
      <c r="AC93" s="43"/>
      <c r="AD93" s="43"/>
      <c r="AE93" s="43"/>
      <c r="AF93" s="43"/>
      <c r="AG93" s="43"/>
      <c r="AH93" s="44">
        <f>COUNTA(Janvier!$C93:$AG93)</f>
        <v>0</v>
      </c>
      <c r="AI93" s="45">
        <f>(COUNTIFS(Janvier!$C93:$AG93,("cp")))/2+Décembre!AI93</f>
        <v>0</v>
      </c>
      <c r="AJ93" s="45">
        <f>COUNTIFS(Janvier!$C93:$AG93,"RTT")/2+Décembre!AJ93</f>
        <v>0</v>
      </c>
      <c r="AK93" s="45">
        <f>COUNTIFS(Janvier!$C93:$AG93,"m")/2+Décembre!AK93</f>
        <v>5</v>
      </c>
      <c r="AL93" s="45">
        <f>COUNTIFS(Janvier!$C93:$AG93,"a")/2+Décembre!AL93</f>
        <v>0</v>
      </c>
      <c r="AM93" s="46"/>
      <c r="AN93" s="47"/>
      <c r="AO93" s="47"/>
      <c r="AP93" s="46"/>
      <c r="AQ93" s="47"/>
      <c r="AR93" s="47"/>
      <c r="AS93" s="47"/>
    </row>
    <row r="94" spans="1:45" s="79" customFormat="1" ht="12.95" customHeight="1" x14ac:dyDescent="0.25">
      <c r="A94" s="48">
        <v>42921</v>
      </c>
      <c r="B94" s="42" t="s">
        <v>16</v>
      </c>
      <c r="C94" s="67"/>
      <c r="D94" s="43"/>
      <c r="E94" s="43"/>
      <c r="F94" s="43"/>
      <c r="G94" s="43"/>
      <c r="H94" s="43"/>
      <c r="I94" s="43"/>
      <c r="J94" s="43"/>
      <c r="K94" s="43"/>
      <c r="L94" s="43"/>
      <c r="M94" s="43"/>
      <c r="N94" s="43"/>
      <c r="O94" s="43"/>
      <c r="P94" s="43"/>
      <c r="Q94" s="43"/>
      <c r="R94" s="43"/>
      <c r="S94" s="43"/>
      <c r="T94" s="43"/>
      <c r="U94" s="43"/>
      <c r="V94" s="43"/>
      <c r="W94" s="43"/>
      <c r="X94" s="43"/>
      <c r="Y94" s="43"/>
      <c r="Z94" s="43"/>
      <c r="AA94" s="43"/>
      <c r="AB94" s="43"/>
      <c r="AC94" s="43"/>
      <c r="AD94" s="43"/>
      <c r="AE94" s="43"/>
      <c r="AF94" s="43"/>
      <c r="AG94" s="43"/>
      <c r="AH94" s="44">
        <f>COUNTA(Janvier!$C94:$AG94)</f>
        <v>0</v>
      </c>
      <c r="AI94" s="45">
        <f>(COUNTIFS(Janvier!$C94:$AG94,("cp")))/2+Décembre!AI94</f>
        <v>0</v>
      </c>
      <c r="AJ94" s="45">
        <f>COUNTIFS(Janvier!$C94:$AG94,"RTT")/2+Décembre!AJ94</f>
        <v>0</v>
      </c>
      <c r="AK94" s="45">
        <f>COUNTIFS(Janvier!$C94:$AG94,"m")/2+Décembre!AK94</f>
        <v>5</v>
      </c>
      <c r="AL94" s="45">
        <f>COUNTIFS(Janvier!$C94:$AG94,"a")/2+Décembre!AL94</f>
        <v>0</v>
      </c>
      <c r="AM94" s="46"/>
      <c r="AN94" s="47"/>
      <c r="AO94" s="47"/>
      <c r="AP94" s="46"/>
      <c r="AQ94" s="47"/>
      <c r="AR94" s="47"/>
      <c r="AS94" s="101"/>
    </row>
    <row r="95" spans="1:45" s="79" customFormat="1" ht="12.95" customHeight="1" x14ac:dyDescent="0.25">
      <c r="A95" s="41"/>
      <c r="B95" s="42"/>
      <c r="C95" s="49" t="str">
        <f t="shared" ref="C95:AG95" si="26">IF(C93&gt;0,C93,IF(C94&gt;0,C94,""))</f>
        <v/>
      </c>
      <c r="D95" s="49" t="str">
        <f t="shared" si="26"/>
        <v/>
      </c>
      <c r="E95" s="49" t="str">
        <f t="shared" si="26"/>
        <v/>
      </c>
      <c r="F95" s="49" t="str">
        <f t="shared" si="26"/>
        <v/>
      </c>
      <c r="G95" s="49" t="str">
        <f t="shared" si="26"/>
        <v/>
      </c>
      <c r="H95" s="49" t="str">
        <f t="shared" si="26"/>
        <v/>
      </c>
      <c r="I95" s="49" t="str">
        <f t="shared" si="26"/>
        <v/>
      </c>
      <c r="J95" s="49" t="str">
        <f t="shared" si="26"/>
        <v/>
      </c>
      <c r="K95" s="49" t="str">
        <f t="shared" si="26"/>
        <v/>
      </c>
      <c r="L95" s="49" t="str">
        <f t="shared" si="26"/>
        <v/>
      </c>
      <c r="M95" s="49" t="str">
        <f t="shared" si="26"/>
        <v/>
      </c>
      <c r="N95" s="49" t="str">
        <f t="shared" si="26"/>
        <v/>
      </c>
      <c r="O95" s="49" t="str">
        <f t="shared" si="26"/>
        <v/>
      </c>
      <c r="P95" s="49" t="str">
        <f t="shared" si="26"/>
        <v/>
      </c>
      <c r="Q95" s="49" t="str">
        <f t="shared" si="26"/>
        <v/>
      </c>
      <c r="R95" s="49" t="str">
        <f t="shared" si="26"/>
        <v/>
      </c>
      <c r="S95" s="49" t="str">
        <f t="shared" si="26"/>
        <v/>
      </c>
      <c r="T95" s="49" t="str">
        <f t="shared" si="26"/>
        <v/>
      </c>
      <c r="U95" s="49" t="str">
        <f t="shared" si="26"/>
        <v/>
      </c>
      <c r="V95" s="49" t="str">
        <f t="shared" si="26"/>
        <v/>
      </c>
      <c r="W95" s="49" t="str">
        <f t="shared" si="26"/>
        <v/>
      </c>
      <c r="X95" s="49" t="str">
        <f t="shared" si="26"/>
        <v/>
      </c>
      <c r="Y95" s="49" t="str">
        <f t="shared" si="26"/>
        <v/>
      </c>
      <c r="Z95" s="49" t="str">
        <f t="shared" si="26"/>
        <v/>
      </c>
      <c r="AA95" s="49" t="str">
        <f t="shared" si="26"/>
        <v/>
      </c>
      <c r="AB95" s="49" t="str">
        <f t="shared" si="26"/>
        <v/>
      </c>
      <c r="AC95" s="49" t="str">
        <f t="shared" si="26"/>
        <v/>
      </c>
      <c r="AD95" s="49" t="str">
        <f t="shared" si="26"/>
        <v/>
      </c>
      <c r="AE95" s="49" t="str">
        <f t="shared" si="26"/>
        <v/>
      </c>
      <c r="AF95" s="49" t="str">
        <f t="shared" si="26"/>
        <v/>
      </c>
      <c r="AG95" s="49" t="str">
        <f t="shared" si="26"/>
        <v/>
      </c>
      <c r="AH95" s="44">
        <f>SUM(AH93:AH94)</f>
        <v>0</v>
      </c>
      <c r="AI95" s="45">
        <f>SUM(AI93:AI94)</f>
        <v>0</v>
      </c>
      <c r="AJ95" s="45">
        <f>SUM(AJ93:AJ94)</f>
        <v>0</v>
      </c>
      <c r="AK95" s="45">
        <f>SUM(AK93:AK94)</f>
        <v>10</v>
      </c>
      <c r="AL95" s="45">
        <f>SUM(AL93:AL94)</f>
        <v>0</v>
      </c>
      <c r="AM95" s="50">
        <f>Juin!AM95</f>
        <v>0</v>
      </c>
      <c r="AN95" s="51">
        <f>IF(A94="","",IF(A94&gt;NomMois,0,IF(A94&lt;$A$3,2.08,(NETWORKDAYS(A94,$A$2)/21.66667)*2.08)))</f>
        <v>2.08</v>
      </c>
      <c r="AO95" s="51">
        <f>IF( AN95="",0,+AN95+Décembre!AO95)</f>
        <v>14.30399971938466</v>
      </c>
      <c r="AP95" s="51"/>
      <c r="AQ95" s="45">
        <f>+AM95-AI95</f>
        <v>0</v>
      </c>
      <c r="AR95" s="45" t="str">
        <f>+IF(AP95="","",AP95-AJ95)</f>
        <v/>
      </c>
      <c r="AS95" s="102">
        <f t="shared" ref="AS95:AS123" si="27">+AO95+AQ95</f>
        <v>14.30399971938466</v>
      </c>
    </row>
    <row r="96" spans="1:45" s="63" customFormat="1" ht="6.75" customHeight="1" x14ac:dyDescent="0.25">
      <c r="A96" s="64"/>
      <c r="B96" s="42"/>
      <c r="C96" s="65"/>
      <c r="D96" s="65"/>
      <c r="E96" s="65"/>
      <c r="F96" s="65"/>
      <c r="G96" s="65"/>
      <c r="H96" s="65"/>
      <c r="I96" s="65"/>
      <c r="J96" s="65"/>
      <c r="K96" s="65"/>
      <c r="L96" s="65"/>
      <c r="M96" s="65"/>
      <c r="N96" s="65"/>
      <c r="O96" s="65"/>
      <c r="P96" s="65"/>
      <c r="Q96" s="65"/>
      <c r="R96" s="65"/>
      <c r="S96" s="65"/>
      <c r="T96" s="65"/>
      <c r="U96" s="65"/>
      <c r="V96" s="65"/>
      <c r="W96" s="65"/>
      <c r="X96" s="65"/>
      <c r="Y96" s="65"/>
      <c r="Z96" s="65"/>
      <c r="AA96" s="65"/>
      <c r="AB96" s="65"/>
      <c r="AC96" s="65"/>
      <c r="AD96" s="65"/>
      <c r="AE96" s="65"/>
      <c r="AF96" s="65"/>
      <c r="AG96" s="65"/>
      <c r="AH96" s="65"/>
      <c r="AI96" s="65"/>
      <c r="AJ96" s="65"/>
      <c r="AK96" s="65"/>
      <c r="AL96" s="65"/>
      <c r="AM96" s="64"/>
      <c r="AN96" s="65"/>
      <c r="AO96" s="65"/>
      <c r="AP96" s="64"/>
      <c r="AQ96" s="69"/>
      <c r="AR96" s="69"/>
      <c r="AS96" s="65"/>
    </row>
    <row r="97" spans="1:45" s="79" customFormat="1" ht="12.95" customHeight="1" x14ac:dyDescent="0.25">
      <c r="A97" s="70"/>
      <c r="B97" s="42" t="s">
        <v>15</v>
      </c>
      <c r="C97" s="71"/>
      <c r="D97" s="71"/>
      <c r="E97" s="71"/>
      <c r="F97" s="71"/>
      <c r="G97" s="71"/>
      <c r="H97" s="71"/>
      <c r="I97" s="71"/>
      <c r="J97" s="71"/>
      <c r="K97" s="71"/>
      <c r="L97" s="71"/>
      <c r="M97" s="71"/>
      <c r="N97" s="71"/>
      <c r="O97" s="71"/>
      <c r="P97" s="71"/>
      <c r="Q97" s="71"/>
      <c r="R97" s="71"/>
      <c r="S97" s="71"/>
      <c r="T97" s="71"/>
      <c r="U97" s="71"/>
      <c r="V97" s="71"/>
      <c r="W97" s="71"/>
      <c r="X97" s="71"/>
      <c r="Y97" s="71"/>
      <c r="Z97" s="71"/>
      <c r="AA97" s="71"/>
      <c r="AB97" s="71"/>
      <c r="AC97" s="71"/>
      <c r="AD97" s="71"/>
      <c r="AE97" s="71"/>
      <c r="AF97" s="71"/>
      <c r="AG97" s="71"/>
      <c r="AH97" s="72">
        <f>COUNTA(Janvier!$C97:$AG97)</f>
        <v>0</v>
      </c>
      <c r="AI97" s="45">
        <f>(COUNTIFS(Janvier!$C97:$AG97,("cp")))/2+Décembre!AI97</f>
        <v>14.5</v>
      </c>
      <c r="AJ97" s="45">
        <f>COUNTIFS(Janvier!$C97:$AG97,"RTT")/2+Décembre!AJ97</f>
        <v>0</v>
      </c>
      <c r="AK97" s="45">
        <f>COUNTIFS(Janvier!$C97:$AG97,"m")/2+Décembre!AK97</f>
        <v>0</v>
      </c>
      <c r="AL97" s="45">
        <f>COUNTIFS(Janvier!$C97:$AG97,"a")/2+Décembre!AL97</f>
        <v>0</v>
      </c>
      <c r="AM97" s="46"/>
      <c r="AN97" s="47"/>
      <c r="AO97" s="47"/>
      <c r="AP97" s="46"/>
      <c r="AQ97" s="47"/>
      <c r="AR97" s="47"/>
      <c r="AS97" s="47"/>
    </row>
    <row r="98" spans="1:45" s="79" customFormat="1" ht="12.95" customHeight="1" x14ac:dyDescent="0.25">
      <c r="A98" s="73">
        <v>42736</v>
      </c>
      <c r="B98" s="42" t="s">
        <v>16</v>
      </c>
      <c r="C98" s="71"/>
      <c r="D98" s="71"/>
      <c r="E98" s="71"/>
      <c r="F98" s="71"/>
      <c r="G98" s="71"/>
      <c r="H98" s="71"/>
      <c r="I98" s="71"/>
      <c r="J98" s="71"/>
      <c r="K98" s="71"/>
      <c r="L98" s="71"/>
      <c r="M98" s="71"/>
      <c r="N98" s="71"/>
      <c r="O98" s="71"/>
      <c r="P98" s="71"/>
      <c r="Q98" s="71"/>
      <c r="R98" s="71"/>
      <c r="S98" s="71"/>
      <c r="T98" s="71"/>
      <c r="U98" s="71"/>
      <c r="V98" s="71"/>
      <c r="W98" s="71"/>
      <c r="X98" s="71"/>
      <c r="Y98" s="71"/>
      <c r="Z98" s="71"/>
      <c r="AA98" s="71"/>
      <c r="AB98" s="71"/>
      <c r="AC98" s="71"/>
      <c r="AD98" s="71"/>
      <c r="AE98" s="71"/>
      <c r="AF98" s="71"/>
      <c r="AG98" s="71"/>
      <c r="AH98" s="72">
        <f>COUNTA(Janvier!$C98:$AG98)</f>
        <v>0</v>
      </c>
      <c r="AI98" s="45">
        <f>(COUNTIFS(Janvier!$C98:$AG98,("cp")))/2+Décembre!AI98</f>
        <v>14.5</v>
      </c>
      <c r="AJ98" s="45">
        <f>COUNTIFS(Janvier!$C98:$AG98,"RTT")/2+Décembre!AJ98</f>
        <v>0</v>
      </c>
      <c r="AK98" s="45">
        <f>COUNTIFS(Janvier!$C98:$AG98,"m")/2+Décembre!AK98</f>
        <v>0</v>
      </c>
      <c r="AL98" s="45">
        <f>COUNTIFS(Janvier!$C98:$AG98,"a")/2+Décembre!AL98</f>
        <v>0</v>
      </c>
      <c r="AM98" s="46"/>
      <c r="AN98" s="47"/>
      <c r="AO98" s="47"/>
      <c r="AP98" s="46"/>
      <c r="AQ98" s="47"/>
      <c r="AR98" s="47"/>
      <c r="AS98" s="101"/>
    </row>
    <row r="99" spans="1:45" s="79" customFormat="1" ht="12.95" customHeight="1" x14ac:dyDescent="0.25">
      <c r="A99" s="70"/>
      <c r="B99" s="42"/>
      <c r="C99" s="71" t="str">
        <f t="shared" ref="C99:AG99" si="28">IF(C97&gt;0,C97,IF(C98&gt;0,C98,""))</f>
        <v/>
      </c>
      <c r="D99" s="71" t="str">
        <f t="shared" si="28"/>
        <v/>
      </c>
      <c r="E99" s="71" t="str">
        <f t="shared" si="28"/>
        <v/>
      </c>
      <c r="F99" s="71" t="str">
        <f t="shared" si="28"/>
        <v/>
      </c>
      <c r="G99" s="71" t="str">
        <f t="shared" si="28"/>
        <v/>
      </c>
      <c r="H99" s="71" t="str">
        <f t="shared" si="28"/>
        <v/>
      </c>
      <c r="I99" s="71" t="str">
        <f t="shared" si="28"/>
        <v/>
      </c>
      <c r="J99" s="71" t="str">
        <f t="shared" si="28"/>
        <v/>
      </c>
      <c r="K99" s="71" t="str">
        <f t="shared" si="28"/>
        <v/>
      </c>
      <c r="L99" s="71" t="str">
        <f t="shared" si="28"/>
        <v/>
      </c>
      <c r="M99" s="71" t="str">
        <f t="shared" si="28"/>
        <v/>
      </c>
      <c r="N99" s="71" t="str">
        <f t="shared" si="28"/>
        <v/>
      </c>
      <c r="O99" s="71" t="str">
        <f t="shared" si="28"/>
        <v/>
      </c>
      <c r="P99" s="71" t="str">
        <f t="shared" si="28"/>
        <v/>
      </c>
      <c r="Q99" s="71" t="str">
        <f t="shared" si="28"/>
        <v/>
      </c>
      <c r="R99" s="71" t="str">
        <f t="shared" si="28"/>
        <v/>
      </c>
      <c r="S99" s="71" t="str">
        <f t="shared" si="28"/>
        <v/>
      </c>
      <c r="T99" s="71" t="str">
        <f t="shared" si="28"/>
        <v/>
      </c>
      <c r="U99" s="71" t="str">
        <f t="shared" si="28"/>
        <v/>
      </c>
      <c r="V99" s="71" t="str">
        <f t="shared" si="28"/>
        <v/>
      </c>
      <c r="W99" s="71" t="str">
        <f t="shared" si="28"/>
        <v/>
      </c>
      <c r="X99" s="71" t="str">
        <f t="shared" si="28"/>
        <v/>
      </c>
      <c r="Y99" s="71" t="str">
        <f t="shared" si="28"/>
        <v/>
      </c>
      <c r="Z99" s="71" t="str">
        <f t="shared" si="28"/>
        <v/>
      </c>
      <c r="AA99" s="71" t="str">
        <f t="shared" si="28"/>
        <v/>
      </c>
      <c r="AB99" s="71" t="str">
        <f t="shared" si="28"/>
        <v/>
      </c>
      <c r="AC99" s="71" t="str">
        <f t="shared" si="28"/>
        <v/>
      </c>
      <c r="AD99" s="71" t="str">
        <f t="shared" si="28"/>
        <v/>
      </c>
      <c r="AE99" s="71" t="str">
        <f t="shared" si="28"/>
        <v/>
      </c>
      <c r="AF99" s="71" t="str">
        <f t="shared" si="28"/>
        <v/>
      </c>
      <c r="AG99" s="71" t="str">
        <f t="shared" si="28"/>
        <v/>
      </c>
      <c r="AH99" s="72">
        <f>SUM(AH97:AH98)</f>
        <v>0</v>
      </c>
      <c r="AI99" s="45">
        <f>SUM(AI97:AI98)</f>
        <v>29</v>
      </c>
      <c r="AJ99" s="45">
        <f>SUM(AJ97:AJ98)</f>
        <v>0</v>
      </c>
      <c r="AK99" s="45">
        <f>SUM(AK97:AK98)</f>
        <v>0</v>
      </c>
      <c r="AL99" s="45">
        <f>SUM(AL97:AL98)</f>
        <v>0</v>
      </c>
      <c r="AM99" s="50">
        <f>Juin!AM99</f>
        <v>5.41</v>
      </c>
      <c r="AN99" s="51">
        <f>IF(A98="","",IF(A98&gt;NomMois,0,IF(A98&lt;$A$3,2.08,(NETWORKDAYS(A98,$A$2)/21.66667)*2.08)))</f>
        <v>2.08</v>
      </c>
      <c r="AO99" s="51">
        <f>IF( AN99="",0,+AN99+Décembre!AO99)</f>
        <v>16.64</v>
      </c>
      <c r="AP99" s="51"/>
      <c r="AQ99" s="45">
        <f>+AM99-AI99</f>
        <v>-23.59</v>
      </c>
      <c r="AR99" s="45" t="str">
        <f>+IF(AP99="","",AP99-AJ99)</f>
        <v/>
      </c>
      <c r="AS99" s="102">
        <f t="shared" si="27"/>
        <v>-6.9499999999999993</v>
      </c>
    </row>
    <row r="100" spans="1:45" s="63" customFormat="1" ht="6.75" customHeight="1" x14ac:dyDescent="0.25">
      <c r="A100" s="64"/>
      <c r="B100" s="42"/>
      <c r="C100" s="65"/>
      <c r="D100" s="65"/>
      <c r="E100" s="65"/>
      <c r="F100" s="65"/>
      <c r="G100" s="65"/>
      <c r="H100" s="65"/>
      <c r="I100" s="65"/>
      <c r="J100" s="65"/>
      <c r="K100" s="65"/>
      <c r="L100" s="65"/>
      <c r="M100" s="65"/>
      <c r="N100" s="65"/>
      <c r="O100" s="65"/>
      <c r="P100" s="65"/>
      <c r="Q100" s="65"/>
      <c r="R100" s="65"/>
      <c r="S100" s="65"/>
      <c r="T100" s="65"/>
      <c r="U100" s="65"/>
      <c r="V100" s="65"/>
      <c r="W100" s="65"/>
      <c r="X100" s="65"/>
      <c r="Y100" s="65"/>
      <c r="Z100" s="65"/>
      <c r="AA100" s="65"/>
      <c r="AB100" s="65"/>
      <c r="AC100" s="65"/>
      <c r="AD100" s="65"/>
      <c r="AE100" s="65"/>
      <c r="AF100" s="65"/>
      <c r="AG100" s="65"/>
      <c r="AH100" s="65"/>
      <c r="AI100" s="65"/>
      <c r="AJ100" s="65"/>
      <c r="AK100" s="65"/>
      <c r="AL100" s="65"/>
      <c r="AM100" s="64"/>
      <c r="AN100" s="65"/>
      <c r="AO100" s="65"/>
      <c r="AP100" s="64"/>
      <c r="AQ100" s="69"/>
      <c r="AR100" s="69"/>
      <c r="AS100" s="65"/>
    </row>
    <row r="101" spans="1:45" s="79" customFormat="1" ht="12.95" customHeight="1" x14ac:dyDescent="0.25">
      <c r="A101" s="70"/>
      <c r="B101" s="42" t="s">
        <v>15</v>
      </c>
      <c r="C101" s="71"/>
      <c r="D101" s="106" t="s">
        <v>7</v>
      </c>
      <c r="E101" s="106" t="s">
        <v>7</v>
      </c>
      <c r="F101" s="71"/>
      <c r="G101" s="71"/>
      <c r="H101" s="71"/>
      <c r="I101" s="71"/>
      <c r="J101" s="71"/>
      <c r="K101" s="71"/>
      <c r="L101" s="71"/>
      <c r="M101" s="71"/>
      <c r="N101" s="71"/>
      <c r="O101" s="71"/>
      <c r="P101" s="71"/>
      <c r="Q101" s="71"/>
      <c r="R101" s="71"/>
      <c r="S101" s="71"/>
      <c r="T101" s="71"/>
      <c r="U101" s="71"/>
      <c r="V101" s="71"/>
      <c r="W101" s="71"/>
      <c r="X101" s="71"/>
      <c r="Y101" s="71"/>
      <c r="Z101" s="71"/>
      <c r="AA101" s="71"/>
      <c r="AB101" s="71"/>
      <c r="AC101" s="71"/>
      <c r="AD101" s="71"/>
      <c r="AE101" s="71"/>
      <c r="AF101" s="71"/>
      <c r="AG101" s="71"/>
      <c r="AH101" s="72">
        <f>COUNTA(Janvier!$C101:$AG101)</f>
        <v>2</v>
      </c>
      <c r="AI101" s="45">
        <f>(COUNTIFS(Janvier!$C101:$AG101,("cp")))/2+Décembre!AI101</f>
        <v>5</v>
      </c>
      <c r="AJ101" s="45">
        <f>COUNTIFS(Janvier!$C101:$AG101,"RTT")/2+Décembre!AJ101</f>
        <v>0</v>
      </c>
      <c r="AK101" s="45">
        <f>COUNTIFS(Janvier!$C101:$AG101,"m")/2+Décembre!AK101</f>
        <v>0</v>
      </c>
      <c r="AL101" s="45">
        <f>COUNTIFS(Janvier!$C101:$AG101,"a")/2+Décembre!AL101</f>
        <v>0</v>
      </c>
      <c r="AM101" s="46"/>
      <c r="AN101" s="47"/>
      <c r="AO101" s="47"/>
      <c r="AP101" s="46"/>
      <c r="AQ101" s="47"/>
      <c r="AR101" s="47"/>
      <c r="AS101" s="47"/>
    </row>
    <row r="102" spans="1:45" s="79" customFormat="1" ht="12.95" customHeight="1" x14ac:dyDescent="0.25">
      <c r="A102" s="73">
        <v>42814</v>
      </c>
      <c r="B102" s="42" t="s">
        <v>16</v>
      </c>
      <c r="C102" s="71"/>
      <c r="D102" s="106" t="s">
        <v>7</v>
      </c>
      <c r="E102" s="106" t="s">
        <v>7</v>
      </c>
      <c r="F102" s="71"/>
      <c r="G102" s="71"/>
      <c r="H102" s="71"/>
      <c r="I102" s="71"/>
      <c r="J102" s="71"/>
      <c r="K102" s="71"/>
      <c r="L102" s="71"/>
      <c r="M102" s="71"/>
      <c r="N102" s="71"/>
      <c r="O102" s="71"/>
      <c r="P102" s="71"/>
      <c r="Q102" s="71"/>
      <c r="R102" s="71"/>
      <c r="S102" s="71"/>
      <c r="T102" s="71"/>
      <c r="U102" s="71"/>
      <c r="V102" s="71"/>
      <c r="W102" s="71"/>
      <c r="X102" s="71"/>
      <c r="Y102" s="71"/>
      <c r="Z102" s="71"/>
      <c r="AA102" s="71"/>
      <c r="AB102" s="71"/>
      <c r="AC102" s="71"/>
      <c r="AD102" s="71"/>
      <c r="AE102" s="71"/>
      <c r="AF102" s="71"/>
      <c r="AG102" s="71"/>
      <c r="AH102" s="72">
        <f>COUNTA(Janvier!$C102:$AG102)</f>
        <v>2</v>
      </c>
      <c r="AI102" s="45">
        <f>(COUNTIFS(Janvier!$C102:$AG102,("cp")))/2+Décembre!AI102</f>
        <v>5</v>
      </c>
      <c r="AJ102" s="45">
        <f>COUNTIFS(Janvier!$C102:$AG102,"RTT")/2+Décembre!AJ102</f>
        <v>0</v>
      </c>
      <c r="AK102" s="45">
        <f>COUNTIFS(Janvier!$C102:$AG102,"m")/2+Décembre!AK102</f>
        <v>0</v>
      </c>
      <c r="AL102" s="45">
        <f>COUNTIFS(Janvier!$C102:$AG102,"a")/2+Décembre!AL102</f>
        <v>0</v>
      </c>
      <c r="AM102" s="46"/>
      <c r="AN102" s="47"/>
      <c r="AO102" s="47"/>
      <c r="AP102" s="46"/>
      <c r="AQ102" s="47"/>
      <c r="AR102" s="47"/>
      <c r="AS102" s="101"/>
    </row>
    <row r="103" spans="1:45" s="79" customFormat="1" ht="12.95" customHeight="1" x14ac:dyDescent="0.25">
      <c r="A103" s="70"/>
      <c r="B103" s="42"/>
      <c r="C103" s="71" t="str">
        <f t="shared" ref="C103:AG103" si="29">IF(C101&gt;0,C101,IF(C102&gt;0,C102,""))</f>
        <v/>
      </c>
      <c r="D103" s="107" t="str">
        <f t="shared" si="29"/>
        <v>CP</v>
      </c>
      <c r="E103" s="107" t="str">
        <f t="shared" si="29"/>
        <v>CP</v>
      </c>
      <c r="F103" s="71" t="str">
        <f t="shared" si="29"/>
        <v/>
      </c>
      <c r="G103" s="71" t="str">
        <f t="shared" si="29"/>
        <v/>
      </c>
      <c r="H103" s="71" t="str">
        <f t="shared" si="29"/>
        <v/>
      </c>
      <c r="I103" s="71" t="str">
        <f t="shared" si="29"/>
        <v/>
      </c>
      <c r="J103" s="71" t="str">
        <f t="shared" si="29"/>
        <v/>
      </c>
      <c r="K103" s="71" t="str">
        <f t="shared" si="29"/>
        <v/>
      </c>
      <c r="L103" s="71" t="str">
        <f t="shared" si="29"/>
        <v/>
      </c>
      <c r="M103" s="71" t="str">
        <f t="shared" si="29"/>
        <v/>
      </c>
      <c r="N103" s="71" t="str">
        <f t="shared" si="29"/>
        <v/>
      </c>
      <c r="O103" s="71" t="str">
        <f t="shared" si="29"/>
        <v/>
      </c>
      <c r="P103" s="71" t="str">
        <f t="shared" si="29"/>
        <v/>
      </c>
      <c r="Q103" s="71" t="str">
        <f t="shared" si="29"/>
        <v/>
      </c>
      <c r="R103" s="71" t="str">
        <f t="shared" si="29"/>
        <v/>
      </c>
      <c r="S103" s="71" t="str">
        <f t="shared" si="29"/>
        <v/>
      </c>
      <c r="T103" s="71" t="str">
        <f t="shared" si="29"/>
        <v/>
      </c>
      <c r="U103" s="71" t="str">
        <f t="shared" si="29"/>
        <v/>
      </c>
      <c r="V103" s="71" t="str">
        <f t="shared" si="29"/>
        <v/>
      </c>
      <c r="W103" s="71" t="str">
        <f t="shared" si="29"/>
        <v/>
      </c>
      <c r="X103" s="71" t="str">
        <f t="shared" si="29"/>
        <v/>
      </c>
      <c r="Y103" s="71" t="str">
        <f t="shared" si="29"/>
        <v/>
      </c>
      <c r="Z103" s="71" t="str">
        <f t="shared" si="29"/>
        <v/>
      </c>
      <c r="AA103" s="71" t="str">
        <f t="shared" si="29"/>
        <v/>
      </c>
      <c r="AB103" s="71" t="str">
        <f t="shared" si="29"/>
        <v/>
      </c>
      <c r="AC103" s="71" t="str">
        <f t="shared" si="29"/>
        <v/>
      </c>
      <c r="AD103" s="71" t="str">
        <f t="shared" si="29"/>
        <v/>
      </c>
      <c r="AE103" s="71" t="str">
        <f t="shared" si="29"/>
        <v/>
      </c>
      <c r="AF103" s="71" t="str">
        <f t="shared" si="29"/>
        <v/>
      </c>
      <c r="AG103" s="71" t="str">
        <f t="shared" si="29"/>
        <v/>
      </c>
      <c r="AH103" s="72">
        <f>SUM(AH101:AH102)</f>
        <v>4</v>
      </c>
      <c r="AI103" s="45">
        <f>SUM(AI101:AI102)</f>
        <v>10</v>
      </c>
      <c r="AJ103" s="45">
        <f>SUM(AJ101:AJ102)</f>
        <v>0</v>
      </c>
      <c r="AK103" s="45">
        <f>SUM(AK101:AK102)</f>
        <v>0</v>
      </c>
      <c r="AL103" s="45">
        <f>SUM(AL101:AL102)</f>
        <v>0</v>
      </c>
      <c r="AM103" s="50">
        <f>Juin!AM103</f>
        <v>2.65</v>
      </c>
      <c r="AN103" s="51">
        <f>IF(A102="","",IF(A102&gt;NomMois,0,IF(A102&lt;$A$3,2.08,(NETWORKDAYS(A102,$A$2)/21.66667)*2.08)))</f>
        <v>2.08</v>
      </c>
      <c r="AO103" s="51">
        <f>IF( AN103="",0,+AN103+Décembre!AO103)</f>
        <v>16.64</v>
      </c>
      <c r="AP103" s="51"/>
      <c r="AQ103" s="45">
        <f>+AM103-AI103</f>
        <v>-7.35</v>
      </c>
      <c r="AR103" s="45" t="str">
        <f>+IF(AP103="","",AP103-AJ103)</f>
        <v/>
      </c>
      <c r="AS103" s="102">
        <f t="shared" si="27"/>
        <v>9.2900000000000009</v>
      </c>
    </row>
    <row r="104" spans="1:45" s="79" customFormat="1" ht="8.25" customHeight="1" x14ac:dyDescent="0.25">
      <c r="A104" s="64"/>
      <c r="B104" s="42"/>
      <c r="C104" s="64"/>
      <c r="D104" s="64"/>
      <c r="E104" s="64"/>
      <c r="F104" s="64"/>
      <c r="G104" s="64"/>
      <c r="H104" s="64"/>
      <c r="I104" s="64"/>
      <c r="J104" s="64"/>
      <c r="K104" s="64"/>
      <c r="L104" s="64"/>
      <c r="M104" s="64"/>
      <c r="N104" s="64"/>
      <c r="O104" s="64"/>
      <c r="P104" s="64"/>
      <c r="Q104" s="64"/>
      <c r="R104" s="64"/>
      <c r="S104" s="64"/>
      <c r="T104" s="64"/>
      <c r="U104" s="64"/>
      <c r="V104" s="64"/>
      <c r="W104" s="64"/>
      <c r="X104" s="64"/>
      <c r="Y104" s="64"/>
      <c r="Z104" s="64"/>
      <c r="AA104" s="64"/>
      <c r="AB104" s="64"/>
      <c r="AC104" s="64"/>
      <c r="AD104" s="64"/>
      <c r="AE104" s="64"/>
      <c r="AF104" s="64"/>
      <c r="AG104" s="64"/>
      <c r="AH104" s="65"/>
      <c r="AI104" s="65"/>
      <c r="AJ104" s="65"/>
      <c r="AK104" s="65"/>
      <c r="AL104" s="65"/>
      <c r="AM104" s="64"/>
      <c r="AN104" s="65"/>
      <c r="AO104" s="65"/>
      <c r="AP104" s="64"/>
      <c r="AQ104" s="69"/>
      <c r="AR104" s="69"/>
      <c r="AS104" s="65"/>
    </row>
    <row r="105" spans="1:45" s="79" customFormat="1" ht="12.95" customHeight="1" x14ac:dyDescent="0.25">
      <c r="A105" s="41"/>
      <c r="B105" s="42" t="s">
        <v>15</v>
      </c>
      <c r="C105" s="67"/>
      <c r="D105" s="43"/>
      <c r="E105" s="43"/>
      <c r="F105" s="43"/>
      <c r="G105" s="43"/>
      <c r="H105" s="43"/>
      <c r="I105" s="43"/>
      <c r="J105" s="43"/>
      <c r="K105" s="43"/>
      <c r="L105" s="43"/>
      <c r="M105" s="43"/>
      <c r="N105" s="43"/>
      <c r="O105" s="43"/>
      <c r="P105" s="43"/>
      <c r="Q105" s="43"/>
      <c r="R105" s="43"/>
      <c r="S105" s="43"/>
      <c r="T105" s="43"/>
      <c r="U105" s="43"/>
      <c r="V105" s="43"/>
      <c r="W105" s="43"/>
      <c r="X105" s="43"/>
      <c r="Y105" s="43"/>
      <c r="Z105" s="43"/>
      <c r="AA105" s="43"/>
      <c r="AB105" s="43"/>
      <c r="AC105" s="43"/>
      <c r="AD105" s="43"/>
      <c r="AE105" s="43"/>
      <c r="AF105" s="43"/>
      <c r="AG105" s="43"/>
      <c r="AH105" s="44">
        <f>COUNTA(Janvier!$C105:$AG105)</f>
        <v>0</v>
      </c>
      <c r="AI105" s="45">
        <f>(COUNTIFS(Janvier!$C105:$AG105,("cp")))/2+Décembre!AI105</f>
        <v>0</v>
      </c>
      <c r="AJ105" s="45">
        <f>COUNTIFS(Janvier!$C105:$AG105,"RTT")/2+Décembre!AJ105</f>
        <v>0</v>
      </c>
      <c r="AK105" s="45">
        <f>COUNTIFS(Janvier!$C105:$AG105,"m")/2+Décembre!AK105</f>
        <v>0</v>
      </c>
      <c r="AL105" s="45">
        <f>COUNTIFS(Janvier!$C105:$AG105,"a")/2+Décembre!AL105</f>
        <v>0</v>
      </c>
      <c r="AM105" s="46"/>
      <c r="AN105" s="47"/>
      <c r="AO105" s="47"/>
      <c r="AP105" s="46"/>
      <c r="AQ105" s="47"/>
      <c r="AR105" s="47"/>
      <c r="AS105" s="47"/>
    </row>
    <row r="106" spans="1:45" s="79" customFormat="1" ht="12.95" customHeight="1" x14ac:dyDescent="0.25">
      <c r="A106" s="48">
        <v>43037</v>
      </c>
      <c r="B106" s="42" t="s">
        <v>16</v>
      </c>
      <c r="C106" s="67"/>
      <c r="D106" s="43"/>
      <c r="E106" s="43"/>
      <c r="F106" s="43"/>
      <c r="G106" s="43"/>
      <c r="H106" s="43"/>
      <c r="I106" s="43"/>
      <c r="J106" s="43"/>
      <c r="K106" s="43"/>
      <c r="L106" s="43"/>
      <c r="M106" s="43"/>
      <c r="N106" s="43"/>
      <c r="O106" s="43"/>
      <c r="P106" s="43"/>
      <c r="Q106" s="43"/>
      <c r="R106" s="43"/>
      <c r="S106" s="43"/>
      <c r="T106" s="43"/>
      <c r="U106" s="43"/>
      <c r="V106" s="43"/>
      <c r="W106" s="43"/>
      <c r="X106" s="43"/>
      <c r="Y106" s="43"/>
      <c r="Z106" s="43"/>
      <c r="AA106" s="43"/>
      <c r="AB106" s="43"/>
      <c r="AC106" s="43"/>
      <c r="AD106" s="43"/>
      <c r="AE106" s="43"/>
      <c r="AF106" s="43"/>
      <c r="AG106" s="43"/>
      <c r="AH106" s="44">
        <f>COUNTA(Janvier!$C106:$AG106)</f>
        <v>0</v>
      </c>
      <c r="AI106" s="45">
        <f>(COUNTIFS(Janvier!$C106:$AG106,("cp")))/2+Décembre!AI106</f>
        <v>0</v>
      </c>
      <c r="AJ106" s="45">
        <f>COUNTIFS(Janvier!$C106:$AG106,"RTT")/2+Décembre!AJ106</f>
        <v>0</v>
      </c>
      <c r="AK106" s="45">
        <f>COUNTIFS(Janvier!$C106:$AG106,"m")/2+Décembre!AK106</f>
        <v>0</v>
      </c>
      <c r="AL106" s="45">
        <f>COUNTIFS(Janvier!$C106:$AG106,"a")/2+Décembre!AL106</f>
        <v>0</v>
      </c>
      <c r="AM106" s="46"/>
      <c r="AN106" s="47"/>
      <c r="AO106" s="47"/>
      <c r="AP106" s="46"/>
      <c r="AQ106" s="47"/>
      <c r="AR106" s="47"/>
      <c r="AS106" s="101"/>
    </row>
    <row r="107" spans="1:45" s="79" customFormat="1" ht="12.95" customHeight="1" x14ac:dyDescent="0.25">
      <c r="A107" s="41"/>
      <c r="B107" s="42"/>
      <c r="C107" s="49" t="str">
        <f t="shared" ref="C107:AG107" si="30">IF(C105&gt;0,C105,IF(C106&gt;0,C106,""))</f>
        <v/>
      </c>
      <c r="D107" s="49" t="str">
        <f t="shared" si="30"/>
        <v/>
      </c>
      <c r="E107" s="49" t="str">
        <f t="shared" si="30"/>
        <v/>
      </c>
      <c r="F107" s="49" t="str">
        <f t="shared" si="30"/>
        <v/>
      </c>
      <c r="G107" s="49" t="str">
        <f t="shared" si="30"/>
        <v/>
      </c>
      <c r="H107" s="49" t="str">
        <f t="shared" si="30"/>
        <v/>
      </c>
      <c r="I107" s="49" t="str">
        <f t="shared" si="30"/>
        <v/>
      </c>
      <c r="J107" s="49" t="str">
        <f t="shared" si="30"/>
        <v/>
      </c>
      <c r="K107" s="49" t="str">
        <f t="shared" si="30"/>
        <v/>
      </c>
      <c r="L107" s="49" t="str">
        <f t="shared" si="30"/>
        <v/>
      </c>
      <c r="M107" s="49" t="str">
        <f t="shared" si="30"/>
        <v/>
      </c>
      <c r="N107" s="49" t="str">
        <f t="shared" si="30"/>
        <v/>
      </c>
      <c r="O107" s="49" t="str">
        <f t="shared" si="30"/>
        <v/>
      </c>
      <c r="P107" s="49" t="str">
        <f t="shared" si="30"/>
        <v/>
      </c>
      <c r="Q107" s="49" t="str">
        <f t="shared" si="30"/>
        <v/>
      </c>
      <c r="R107" s="49" t="str">
        <f t="shared" si="30"/>
        <v/>
      </c>
      <c r="S107" s="49" t="str">
        <f t="shared" si="30"/>
        <v/>
      </c>
      <c r="T107" s="49" t="str">
        <f t="shared" si="30"/>
        <v/>
      </c>
      <c r="U107" s="49" t="str">
        <f t="shared" si="30"/>
        <v/>
      </c>
      <c r="V107" s="49" t="str">
        <f t="shared" si="30"/>
        <v/>
      </c>
      <c r="W107" s="49" t="str">
        <f t="shared" si="30"/>
        <v/>
      </c>
      <c r="X107" s="49" t="str">
        <f t="shared" si="30"/>
        <v/>
      </c>
      <c r="Y107" s="49" t="str">
        <f t="shared" si="30"/>
        <v/>
      </c>
      <c r="Z107" s="49" t="str">
        <f t="shared" si="30"/>
        <v/>
      </c>
      <c r="AA107" s="49" t="str">
        <f t="shared" si="30"/>
        <v/>
      </c>
      <c r="AB107" s="49" t="str">
        <f t="shared" si="30"/>
        <v/>
      </c>
      <c r="AC107" s="49" t="str">
        <f t="shared" si="30"/>
        <v/>
      </c>
      <c r="AD107" s="49" t="str">
        <f t="shared" si="30"/>
        <v/>
      </c>
      <c r="AE107" s="49" t="str">
        <f t="shared" si="30"/>
        <v/>
      </c>
      <c r="AF107" s="49" t="str">
        <f t="shared" si="30"/>
        <v/>
      </c>
      <c r="AG107" s="49" t="str">
        <f t="shared" si="30"/>
        <v/>
      </c>
      <c r="AH107" s="44">
        <f>SUM(AH105:AH106)</f>
        <v>0</v>
      </c>
      <c r="AI107" s="45">
        <f>SUM(AI105:AI106)</f>
        <v>0</v>
      </c>
      <c r="AJ107" s="45">
        <f>SUM(AJ105:AJ106)</f>
        <v>0</v>
      </c>
      <c r="AK107" s="45">
        <f>SUM(AK105:AK106)</f>
        <v>0</v>
      </c>
      <c r="AL107" s="45">
        <f>SUM(AL105:AL106)</f>
        <v>0</v>
      </c>
      <c r="AM107" s="50">
        <v>0</v>
      </c>
      <c r="AN107" s="51">
        <f>IF(A106="","",IF(A106&gt;NomMois,0,IF(A106&lt;$A$3,2.08,(NETWORKDAYS(A106,$A$2)/21.66667)*2.08)))</f>
        <v>2.08</v>
      </c>
      <c r="AO107" s="51">
        <f>IF( AN107="",0,+AN107+Décembre!AO107)</f>
        <v>6.4319999704615434</v>
      </c>
      <c r="AP107" s="51"/>
      <c r="AQ107" s="45">
        <f>+AM107-AI107</f>
        <v>0</v>
      </c>
      <c r="AR107" s="45" t="str">
        <f>+IF(AP107="","",AP107-AJ107)</f>
        <v/>
      </c>
      <c r="AS107" s="102">
        <f t="shared" si="27"/>
        <v>6.4319999704615434</v>
      </c>
    </row>
    <row r="108" spans="1:45" s="79" customFormat="1" ht="6.75" customHeight="1" x14ac:dyDescent="0.25">
      <c r="A108" s="64"/>
      <c r="B108" s="42"/>
      <c r="C108" s="64"/>
      <c r="D108" s="64"/>
      <c r="E108" s="64"/>
      <c r="F108" s="64"/>
      <c r="G108" s="64"/>
      <c r="H108" s="64"/>
      <c r="I108" s="64"/>
      <c r="J108" s="64"/>
      <c r="K108" s="64"/>
      <c r="L108" s="64"/>
      <c r="M108" s="64"/>
      <c r="N108" s="64"/>
      <c r="O108" s="64"/>
      <c r="P108" s="64"/>
      <c r="Q108" s="64"/>
      <c r="R108" s="64"/>
      <c r="S108" s="64"/>
      <c r="T108" s="64"/>
      <c r="U108" s="64"/>
      <c r="V108" s="64"/>
      <c r="W108" s="64"/>
      <c r="X108" s="64"/>
      <c r="Y108" s="64"/>
      <c r="Z108" s="64"/>
      <c r="AA108" s="64"/>
      <c r="AB108" s="64"/>
      <c r="AC108" s="64"/>
      <c r="AD108" s="64"/>
      <c r="AE108" s="64"/>
      <c r="AF108" s="64"/>
      <c r="AG108" s="64"/>
      <c r="AH108" s="65"/>
      <c r="AI108" s="65"/>
      <c r="AJ108" s="65"/>
      <c r="AK108" s="65"/>
      <c r="AL108" s="65"/>
      <c r="AM108" s="64"/>
      <c r="AN108" s="65"/>
      <c r="AO108" s="65"/>
      <c r="AP108" s="64"/>
      <c r="AQ108" s="69"/>
      <c r="AR108" s="69"/>
      <c r="AS108" s="65"/>
    </row>
    <row r="109" spans="1:45" s="79" customFormat="1" ht="12.95" customHeight="1" x14ac:dyDescent="0.25">
      <c r="A109" s="41"/>
      <c r="B109" s="42" t="s">
        <v>15</v>
      </c>
      <c r="C109" s="67"/>
      <c r="D109" s="43"/>
      <c r="E109" s="43"/>
      <c r="F109" s="43"/>
      <c r="G109" s="43"/>
      <c r="H109" s="43"/>
      <c r="I109" s="43"/>
      <c r="J109" s="43"/>
      <c r="K109" s="43"/>
      <c r="L109" s="43"/>
      <c r="M109" s="43"/>
      <c r="N109" s="43"/>
      <c r="O109" s="43"/>
      <c r="P109" s="43"/>
      <c r="Q109" s="43"/>
      <c r="R109" s="43"/>
      <c r="S109" s="43"/>
      <c r="T109" s="43"/>
      <c r="U109" s="43"/>
      <c r="V109" s="43"/>
      <c r="W109" s="43"/>
      <c r="X109" s="43"/>
      <c r="Y109" s="43"/>
      <c r="Z109" s="43"/>
      <c r="AA109" s="43"/>
      <c r="AB109" s="43"/>
      <c r="AC109" s="43"/>
      <c r="AD109" s="43"/>
      <c r="AE109" s="43"/>
      <c r="AF109" s="43"/>
      <c r="AG109" s="43"/>
      <c r="AH109" s="44">
        <f>COUNTA(Janvier!$C109:$AG109)</f>
        <v>0</v>
      </c>
      <c r="AI109" s="45">
        <f>(COUNTIFS(Janvier!$C109:$AG109,("cp")))/2+Décembre!AI109</f>
        <v>0</v>
      </c>
      <c r="AJ109" s="45">
        <f>COUNTIFS(Janvier!$C109:$AG109,"RTT")/2+Décembre!AJ109</f>
        <v>0</v>
      </c>
      <c r="AK109" s="45">
        <f>COUNTIFS(Janvier!$C109:$AG109,"m")/2+Décembre!AK109</f>
        <v>0</v>
      </c>
      <c r="AL109" s="45">
        <f>COUNTIFS(Janvier!$C109:$AG109,"a")/2+Décembre!AL109</f>
        <v>0</v>
      </c>
      <c r="AM109" s="46"/>
      <c r="AN109" s="47"/>
      <c r="AO109" s="47"/>
      <c r="AP109" s="46"/>
      <c r="AQ109" s="47"/>
      <c r="AR109" s="47"/>
      <c r="AS109" s="47"/>
    </row>
    <row r="110" spans="1:45" s="79" customFormat="1" ht="12.95" customHeight="1" x14ac:dyDescent="0.25">
      <c r="A110" s="48">
        <v>42991</v>
      </c>
      <c r="B110" s="42" t="s">
        <v>16</v>
      </c>
      <c r="C110" s="67"/>
      <c r="D110" s="43"/>
      <c r="E110" s="43"/>
      <c r="F110" s="43"/>
      <c r="G110" s="43"/>
      <c r="H110" s="43"/>
      <c r="I110" s="43"/>
      <c r="J110" s="43"/>
      <c r="K110" s="43"/>
      <c r="L110" s="43"/>
      <c r="M110" s="43"/>
      <c r="N110" s="43"/>
      <c r="O110" s="43"/>
      <c r="P110" s="43"/>
      <c r="Q110" s="43"/>
      <c r="R110" s="43"/>
      <c r="S110" s="43"/>
      <c r="T110" s="43"/>
      <c r="U110" s="43"/>
      <c r="V110" s="43"/>
      <c r="W110" s="43"/>
      <c r="X110" s="43"/>
      <c r="Y110" s="43"/>
      <c r="Z110" s="43"/>
      <c r="AA110" s="43"/>
      <c r="AB110" s="43"/>
      <c r="AC110" s="43"/>
      <c r="AD110" s="43"/>
      <c r="AE110" s="43"/>
      <c r="AF110" s="43"/>
      <c r="AG110" s="43"/>
      <c r="AH110" s="44">
        <f>COUNTA(Janvier!$C110:$AG110)</f>
        <v>0</v>
      </c>
      <c r="AI110" s="45">
        <f>(COUNTIFS(Janvier!$C110:$AG110,("cp")))/2+Décembre!AI110</f>
        <v>0</v>
      </c>
      <c r="AJ110" s="45">
        <f>COUNTIFS(Janvier!$C110:$AG110,"RTT")/2+Décembre!AJ110</f>
        <v>0</v>
      </c>
      <c r="AK110" s="45">
        <f>COUNTIFS(Janvier!$C110:$AG110,"m")/2+Décembre!AK110</f>
        <v>0</v>
      </c>
      <c r="AL110" s="45">
        <f>COUNTIFS(Janvier!$C110:$AG110,"a")/2+Décembre!AL110</f>
        <v>0</v>
      </c>
      <c r="AM110" s="46"/>
      <c r="AN110" s="47"/>
      <c r="AO110" s="47"/>
      <c r="AP110" s="46"/>
      <c r="AQ110" s="47"/>
      <c r="AR110" s="47"/>
      <c r="AS110" s="101"/>
    </row>
    <row r="111" spans="1:45" s="79" customFormat="1" ht="12.95" customHeight="1" x14ac:dyDescent="0.25">
      <c r="A111" s="41"/>
      <c r="B111" s="42"/>
      <c r="C111" s="49" t="str">
        <f t="shared" ref="C111:AG111" si="31">IF(C109&gt;0,C109,IF(C110&gt;0,C110,""))</f>
        <v/>
      </c>
      <c r="D111" s="49" t="str">
        <f t="shared" si="31"/>
        <v/>
      </c>
      <c r="E111" s="49" t="str">
        <f t="shared" si="31"/>
        <v/>
      </c>
      <c r="F111" s="49" t="str">
        <f t="shared" si="31"/>
        <v/>
      </c>
      <c r="G111" s="49" t="str">
        <f t="shared" si="31"/>
        <v/>
      </c>
      <c r="H111" s="49" t="str">
        <f t="shared" si="31"/>
        <v/>
      </c>
      <c r="I111" s="49" t="str">
        <f t="shared" si="31"/>
        <v/>
      </c>
      <c r="J111" s="49" t="str">
        <f t="shared" si="31"/>
        <v/>
      </c>
      <c r="K111" s="49" t="str">
        <f t="shared" si="31"/>
        <v/>
      </c>
      <c r="L111" s="49" t="str">
        <f t="shared" si="31"/>
        <v/>
      </c>
      <c r="M111" s="49" t="str">
        <f t="shared" si="31"/>
        <v/>
      </c>
      <c r="N111" s="49" t="str">
        <f t="shared" si="31"/>
        <v/>
      </c>
      <c r="O111" s="49" t="str">
        <f t="shared" si="31"/>
        <v/>
      </c>
      <c r="P111" s="49" t="str">
        <f t="shared" si="31"/>
        <v/>
      </c>
      <c r="Q111" s="49" t="str">
        <f t="shared" si="31"/>
        <v/>
      </c>
      <c r="R111" s="49" t="str">
        <f t="shared" si="31"/>
        <v/>
      </c>
      <c r="S111" s="49" t="str">
        <f t="shared" si="31"/>
        <v/>
      </c>
      <c r="T111" s="49" t="str">
        <f t="shared" si="31"/>
        <v/>
      </c>
      <c r="U111" s="49" t="str">
        <f t="shared" si="31"/>
        <v/>
      </c>
      <c r="V111" s="49" t="str">
        <f t="shared" si="31"/>
        <v/>
      </c>
      <c r="W111" s="49" t="str">
        <f t="shared" si="31"/>
        <v/>
      </c>
      <c r="X111" s="49" t="str">
        <f t="shared" si="31"/>
        <v/>
      </c>
      <c r="Y111" s="49" t="str">
        <f t="shared" si="31"/>
        <v/>
      </c>
      <c r="Z111" s="49" t="str">
        <f t="shared" si="31"/>
        <v/>
      </c>
      <c r="AA111" s="49" t="str">
        <f t="shared" si="31"/>
        <v/>
      </c>
      <c r="AB111" s="49" t="str">
        <f t="shared" si="31"/>
        <v/>
      </c>
      <c r="AC111" s="49" t="str">
        <f t="shared" si="31"/>
        <v/>
      </c>
      <c r="AD111" s="49" t="str">
        <f t="shared" si="31"/>
        <v/>
      </c>
      <c r="AE111" s="49" t="str">
        <f t="shared" si="31"/>
        <v/>
      </c>
      <c r="AF111" s="49" t="str">
        <f t="shared" si="31"/>
        <v/>
      </c>
      <c r="AG111" s="49" t="str">
        <f t="shared" si="31"/>
        <v/>
      </c>
      <c r="AH111" s="44">
        <f>SUM(AH109:AH110)</f>
        <v>0</v>
      </c>
      <c r="AI111" s="45">
        <f>SUM(AI109:AI110)</f>
        <v>0</v>
      </c>
      <c r="AJ111" s="45">
        <f>SUM(AJ109:AJ110)</f>
        <v>0</v>
      </c>
      <c r="AK111" s="45">
        <f>SUM(AK109:AK110)</f>
        <v>0</v>
      </c>
      <c r="AL111" s="45">
        <f>SUM(AL109:AL110)</f>
        <v>0</v>
      </c>
      <c r="AM111" s="50">
        <v>0</v>
      </c>
      <c r="AN111" s="51">
        <f>IF(A110="","",IF(A110&gt;NomMois,0,IF(A110&lt;$A$3,2.08,(NETWORKDAYS(A110,$A$2)/21.66667)*2.08)))</f>
        <v>2.08</v>
      </c>
      <c r="AO111" s="51">
        <f>IF( AN111="",0,+AN111+Décembre!AO111)</f>
        <v>9.5679998080000299</v>
      </c>
      <c r="AP111" s="51"/>
      <c r="AQ111" s="45">
        <f>+AM111-AI111</f>
        <v>0</v>
      </c>
      <c r="AR111" s="45" t="str">
        <f>+IF(AP111="","",AP111-AJ111)</f>
        <v/>
      </c>
      <c r="AS111" s="102">
        <f t="shared" si="27"/>
        <v>9.5679998080000299</v>
      </c>
    </row>
    <row r="112" spans="1:45" s="79" customFormat="1" ht="6.75" customHeight="1" x14ac:dyDescent="0.25">
      <c r="A112" s="64"/>
      <c r="B112" s="42"/>
      <c r="C112" s="64"/>
      <c r="D112" s="64"/>
      <c r="E112" s="64"/>
      <c r="F112" s="64"/>
      <c r="G112" s="64"/>
      <c r="H112" s="64"/>
      <c r="I112" s="64"/>
      <c r="J112" s="64"/>
      <c r="K112" s="64"/>
      <c r="L112" s="64"/>
      <c r="M112" s="64"/>
      <c r="N112" s="64"/>
      <c r="O112" s="64"/>
      <c r="P112" s="64"/>
      <c r="Q112" s="64"/>
      <c r="R112" s="64"/>
      <c r="S112" s="64"/>
      <c r="T112" s="64"/>
      <c r="U112" s="64"/>
      <c r="V112" s="64"/>
      <c r="W112" s="64"/>
      <c r="X112" s="64"/>
      <c r="Y112" s="64"/>
      <c r="Z112" s="64"/>
      <c r="AA112" s="64"/>
      <c r="AB112" s="64"/>
      <c r="AC112" s="64"/>
      <c r="AD112" s="64"/>
      <c r="AE112" s="64"/>
      <c r="AF112" s="64"/>
      <c r="AG112" s="64"/>
      <c r="AH112" s="65"/>
      <c r="AI112" s="65"/>
      <c r="AJ112" s="65"/>
      <c r="AK112" s="65"/>
      <c r="AL112" s="65"/>
      <c r="AM112" s="64"/>
      <c r="AN112" s="65"/>
      <c r="AO112" s="65"/>
      <c r="AP112" s="64"/>
      <c r="AQ112" s="69"/>
      <c r="AR112" s="69"/>
      <c r="AS112" s="65"/>
    </row>
    <row r="113" spans="1:45" s="79" customFormat="1" ht="12.95" customHeight="1" x14ac:dyDescent="0.25">
      <c r="A113" s="41"/>
      <c r="B113" s="42" t="s">
        <v>15</v>
      </c>
      <c r="C113" s="67"/>
      <c r="D113" s="43"/>
      <c r="E113" s="43"/>
      <c r="F113" s="43"/>
      <c r="G113" s="43"/>
      <c r="H113" s="43"/>
      <c r="I113" s="43"/>
      <c r="J113" s="43"/>
      <c r="K113" s="43"/>
      <c r="L113" s="43"/>
      <c r="M113" s="43"/>
      <c r="N113" s="43"/>
      <c r="O113" s="43"/>
      <c r="P113" s="43"/>
      <c r="Q113" s="43"/>
      <c r="R113" s="43"/>
      <c r="S113" s="43"/>
      <c r="T113" s="43"/>
      <c r="U113" s="43"/>
      <c r="V113" s="43"/>
      <c r="W113" s="43"/>
      <c r="X113" s="43"/>
      <c r="Y113" s="43"/>
      <c r="Z113" s="43"/>
      <c r="AA113" s="43"/>
      <c r="AB113" s="43"/>
      <c r="AC113" s="43"/>
      <c r="AD113" s="43"/>
      <c r="AE113" s="43"/>
      <c r="AF113" s="43"/>
      <c r="AG113" s="43"/>
      <c r="AH113" s="44">
        <f>COUNTA(Janvier!$C113:$AG113)</f>
        <v>0</v>
      </c>
      <c r="AI113" s="45">
        <f>(COUNTIFS(Janvier!$C113:$AG113,("cp")))/2+Décembre!AI113</f>
        <v>0</v>
      </c>
      <c r="AJ113" s="45">
        <f>COUNTIFS(Janvier!$C113:$AG113,"RTT")/2+Décembre!AJ113</f>
        <v>0</v>
      </c>
      <c r="AK113" s="45">
        <f>COUNTIFS(Janvier!$C113:$AG113,"m")/2+Décembre!AK113</f>
        <v>0</v>
      </c>
      <c r="AL113" s="45">
        <f>COUNTIFS(Janvier!$C113:$AG113,"a")/2+Décembre!AL113</f>
        <v>0</v>
      </c>
      <c r="AM113" s="46"/>
      <c r="AN113" s="47"/>
      <c r="AO113" s="47"/>
      <c r="AP113" s="46"/>
      <c r="AQ113" s="47"/>
      <c r="AR113" s="47"/>
      <c r="AS113" s="47"/>
    </row>
    <row r="114" spans="1:45" s="79" customFormat="1" ht="12.95" customHeight="1" x14ac:dyDescent="0.25">
      <c r="A114" s="48">
        <v>43052</v>
      </c>
      <c r="B114" s="42" t="s">
        <v>16</v>
      </c>
      <c r="C114" s="67"/>
      <c r="D114" s="43"/>
      <c r="E114" s="43"/>
      <c r="F114" s="43"/>
      <c r="G114" s="43"/>
      <c r="H114" s="43"/>
      <c r="I114" s="43"/>
      <c r="J114" s="43"/>
      <c r="K114" s="43"/>
      <c r="L114" s="43"/>
      <c r="M114" s="43"/>
      <c r="N114" s="43"/>
      <c r="O114" s="43"/>
      <c r="P114" s="43"/>
      <c r="Q114" s="43"/>
      <c r="R114" s="43"/>
      <c r="S114" s="43"/>
      <c r="T114" s="43"/>
      <c r="U114" s="43"/>
      <c r="V114" s="43"/>
      <c r="W114" s="43"/>
      <c r="X114" s="43"/>
      <c r="Y114" s="43"/>
      <c r="Z114" s="43"/>
      <c r="AA114" s="43"/>
      <c r="AB114" s="43"/>
      <c r="AC114" s="43"/>
      <c r="AD114" s="43"/>
      <c r="AE114" s="43"/>
      <c r="AF114" s="43"/>
      <c r="AG114" s="43"/>
      <c r="AH114" s="44">
        <f>COUNTA(Janvier!$C114:$AG114)</f>
        <v>0</v>
      </c>
      <c r="AI114" s="45">
        <f>(COUNTIFS(Janvier!$C114:$AG114,("cp")))/2+Décembre!AI114</f>
        <v>0</v>
      </c>
      <c r="AJ114" s="45">
        <f>COUNTIFS(Janvier!$C114:$AG114,"RTT")/2+Décembre!AJ114</f>
        <v>0</v>
      </c>
      <c r="AK114" s="45">
        <f>COUNTIFS(Janvier!$C114:$AG114,"m")/2+Décembre!AK114</f>
        <v>0</v>
      </c>
      <c r="AL114" s="45">
        <f>COUNTIFS(Janvier!$C114:$AG114,"a")/2+Décembre!AL114</f>
        <v>0</v>
      </c>
      <c r="AM114" s="46"/>
      <c r="AN114" s="47"/>
      <c r="AO114" s="47"/>
      <c r="AP114" s="46"/>
      <c r="AQ114" s="47"/>
      <c r="AR114" s="47"/>
      <c r="AS114" s="101"/>
    </row>
    <row r="115" spans="1:45" s="79" customFormat="1" ht="12.95" customHeight="1" x14ac:dyDescent="0.25">
      <c r="A115" s="41"/>
      <c r="B115" s="42"/>
      <c r="C115" s="49" t="str">
        <f t="shared" ref="C115:AG115" si="32">IF(C113&gt;0,C113,IF(C114&gt;0,C114,""))</f>
        <v/>
      </c>
      <c r="D115" s="49" t="str">
        <f t="shared" si="32"/>
        <v/>
      </c>
      <c r="E115" s="49" t="str">
        <f t="shared" si="32"/>
        <v/>
      </c>
      <c r="F115" s="49" t="str">
        <f t="shared" si="32"/>
        <v/>
      </c>
      <c r="G115" s="49" t="str">
        <f t="shared" si="32"/>
        <v/>
      </c>
      <c r="H115" s="49" t="str">
        <f t="shared" si="32"/>
        <v/>
      </c>
      <c r="I115" s="49" t="str">
        <f t="shared" si="32"/>
        <v/>
      </c>
      <c r="J115" s="49" t="str">
        <f t="shared" si="32"/>
        <v/>
      </c>
      <c r="K115" s="49" t="str">
        <f t="shared" si="32"/>
        <v/>
      </c>
      <c r="L115" s="49" t="str">
        <f t="shared" si="32"/>
        <v/>
      </c>
      <c r="M115" s="49" t="str">
        <f t="shared" si="32"/>
        <v/>
      </c>
      <c r="N115" s="49" t="str">
        <f t="shared" si="32"/>
        <v/>
      </c>
      <c r="O115" s="49" t="str">
        <f t="shared" si="32"/>
        <v/>
      </c>
      <c r="P115" s="49" t="str">
        <f t="shared" si="32"/>
        <v/>
      </c>
      <c r="Q115" s="49" t="str">
        <f t="shared" si="32"/>
        <v/>
      </c>
      <c r="R115" s="49" t="str">
        <f t="shared" si="32"/>
        <v/>
      </c>
      <c r="S115" s="49" t="str">
        <f t="shared" si="32"/>
        <v/>
      </c>
      <c r="T115" s="49" t="str">
        <f t="shared" si="32"/>
        <v/>
      </c>
      <c r="U115" s="49" t="str">
        <f t="shared" si="32"/>
        <v/>
      </c>
      <c r="V115" s="49" t="str">
        <f t="shared" si="32"/>
        <v/>
      </c>
      <c r="W115" s="49" t="str">
        <f t="shared" si="32"/>
        <v/>
      </c>
      <c r="X115" s="49" t="str">
        <f t="shared" si="32"/>
        <v/>
      </c>
      <c r="Y115" s="49" t="str">
        <f t="shared" si="32"/>
        <v/>
      </c>
      <c r="Z115" s="49" t="str">
        <f t="shared" si="32"/>
        <v/>
      </c>
      <c r="AA115" s="49" t="str">
        <f t="shared" si="32"/>
        <v/>
      </c>
      <c r="AB115" s="49" t="str">
        <f t="shared" si="32"/>
        <v/>
      </c>
      <c r="AC115" s="49" t="str">
        <f t="shared" si="32"/>
        <v/>
      </c>
      <c r="AD115" s="49" t="str">
        <f t="shared" si="32"/>
        <v/>
      </c>
      <c r="AE115" s="49" t="str">
        <f t="shared" si="32"/>
        <v/>
      </c>
      <c r="AF115" s="49" t="str">
        <f t="shared" si="32"/>
        <v/>
      </c>
      <c r="AG115" s="49" t="str">
        <f t="shared" si="32"/>
        <v/>
      </c>
      <c r="AH115" s="44">
        <f>SUM(AH113:AH114)</f>
        <v>0</v>
      </c>
      <c r="AI115" s="45">
        <f>SUM(AI113:AI114)</f>
        <v>0</v>
      </c>
      <c r="AJ115" s="45">
        <f>SUM(AJ113:AJ114)</f>
        <v>0</v>
      </c>
      <c r="AK115" s="45">
        <f>SUM(AK113:AK114)</f>
        <v>0</v>
      </c>
      <c r="AL115" s="45">
        <f>SUM(AL113:AL114)</f>
        <v>0</v>
      </c>
      <c r="AM115" s="50">
        <v>0</v>
      </c>
      <c r="AN115" s="51">
        <f>IF(A114="","",IF(A114&gt;NomMois,0,IF(A114&lt;$A$3,2.08,(NETWORKDAYS(A114,$A$2)/21.66667)*2.08)))</f>
        <v>2.08</v>
      </c>
      <c r="AO115" s="51">
        <f>IF( AN115="",0,+AN115+Décembre!AO115)</f>
        <v>5.5039997932308014</v>
      </c>
      <c r="AP115" s="51"/>
      <c r="AQ115" s="45">
        <f>+AM115-AI115</f>
        <v>0</v>
      </c>
      <c r="AR115" s="45" t="str">
        <f>+IF(AP115="","",AP115-AJ115)</f>
        <v/>
      </c>
      <c r="AS115" s="102">
        <f t="shared" si="27"/>
        <v>5.5039997932308014</v>
      </c>
    </row>
    <row r="116" spans="1:45" s="79" customFormat="1" ht="6.75" customHeight="1" x14ac:dyDescent="0.25">
      <c r="A116" s="64"/>
      <c r="B116" s="42"/>
      <c r="C116" s="64"/>
      <c r="D116" s="64"/>
      <c r="E116" s="64"/>
      <c r="F116" s="64"/>
      <c r="G116" s="64"/>
      <c r="H116" s="64"/>
      <c r="I116" s="64"/>
      <c r="J116" s="64"/>
      <c r="K116" s="64"/>
      <c r="L116" s="64"/>
      <c r="M116" s="64"/>
      <c r="N116" s="64"/>
      <c r="O116" s="64"/>
      <c r="P116" s="64"/>
      <c r="Q116" s="64"/>
      <c r="R116" s="64"/>
      <c r="S116" s="64"/>
      <c r="T116" s="64"/>
      <c r="U116" s="64"/>
      <c r="V116" s="64"/>
      <c r="W116" s="64"/>
      <c r="X116" s="64"/>
      <c r="Y116" s="64"/>
      <c r="Z116" s="64"/>
      <c r="AA116" s="64"/>
      <c r="AB116" s="64"/>
      <c r="AC116" s="64"/>
      <c r="AD116" s="64"/>
      <c r="AE116" s="64"/>
      <c r="AF116" s="64"/>
      <c r="AG116" s="64"/>
      <c r="AH116" s="65"/>
      <c r="AI116" s="65"/>
      <c r="AJ116" s="65"/>
      <c r="AK116" s="65"/>
      <c r="AL116" s="65"/>
      <c r="AM116" s="64"/>
      <c r="AN116" s="65"/>
      <c r="AO116" s="65"/>
      <c r="AP116" s="64"/>
      <c r="AQ116" s="69"/>
      <c r="AR116" s="69"/>
      <c r="AS116" s="65"/>
    </row>
    <row r="117" spans="1:45" s="79" customFormat="1" ht="12.95" customHeight="1" x14ac:dyDescent="0.25">
      <c r="A117" s="41"/>
      <c r="B117" s="42" t="s">
        <v>15</v>
      </c>
      <c r="C117" s="67"/>
      <c r="D117" s="43"/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  <c r="S117" s="43"/>
      <c r="T117" s="43"/>
      <c r="U117" s="43"/>
      <c r="V117" s="43"/>
      <c r="W117" s="43"/>
      <c r="X117" s="43"/>
      <c r="Y117" s="43"/>
      <c r="Z117" s="43"/>
      <c r="AA117" s="43"/>
      <c r="AB117" s="43"/>
      <c r="AC117" s="43"/>
      <c r="AD117" s="43"/>
      <c r="AE117" s="43"/>
      <c r="AF117" s="43"/>
      <c r="AG117" s="43"/>
      <c r="AH117" s="44">
        <f>COUNTA(Janvier!$C117:$AG117)</f>
        <v>0</v>
      </c>
      <c r="AI117" s="45">
        <f>(COUNTIFS(Janvier!$C117:$AG117,("cp")))/2+Décembre!AI117</f>
        <v>0</v>
      </c>
      <c r="AJ117" s="45">
        <f>COUNTIFS(Janvier!$C117:$AG117,"RTT")/2+Décembre!AJ117</f>
        <v>0</v>
      </c>
      <c r="AK117" s="45">
        <f>COUNTIFS(Janvier!$C117:$AG117,"m")/2+Décembre!AK117</f>
        <v>0</v>
      </c>
      <c r="AL117" s="45">
        <f>COUNTIFS(Janvier!$C117:$AG117,"a")/2+Décembre!AL117</f>
        <v>0</v>
      </c>
      <c r="AM117" s="46"/>
      <c r="AN117" s="47"/>
      <c r="AO117" s="47"/>
      <c r="AP117" s="46"/>
      <c r="AQ117" s="47"/>
      <c r="AR117" s="47"/>
      <c r="AS117" s="47"/>
    </row>
    <row r="118" spans="1:45" s="79" customFormat="1" ht="12.95" customHeight="1" x14ac:dyDescent="0.25">
      <c r="A118" s="48"/>
      <c r="B118" s="42" t="s">
        <v>16</v>
      </c>
      <c r="C118" s="67"/>
      <c r="D118" s="43"/>
      <c r="E118" s="43"/>
      <c r="F118" s="43"/>
      <c r="G118" s="43"/>
      <c r="H118" s="43"/>
      <c r="I118" s="43"/>
      <c r="J118" s="43"/>
      <c r="K118" s="43"/>
      <c r="L118" s="43"/>
      <c r="M118" s="43"/>
      <c r="N118" s="43"/>
      <c r="O118" s="43"/>
      <c r="P118" s="43"/>
      <c r="Q118" s="43"/>
      <c r="R118" s="43"/>
      <c r="S118" s="43"/>
      <c r="T118" s="43"/>
      <c r="U118" s="43"/>
      <c r="V118" s="43"/>
      <c r="W118" s="43"/>
      <c r="X118" s="43"/>
      <c r="Y118" s="43"/>
      <c r="Z118" s="43"/>
      <c r="AA118" s="43"/>
      <c r="AB118" s="43"/>
      <c r="AC118" s="43"/>
      <c r="AD118" s="43"/>
      <c r="AE118" s="43"/>
      <c r="AF118" s="43"/>
      <c r="AG118" s="43"/>
      <c r="AH118" s="44">
        <f>COUNTA(Janvier!$C118:$AG118)</f>
        <v>0</v>
      </c>
      <c r="AI118" s="45">
        <f>(COUNTIFS(Janvier!$C118:$AG118,("cp")))/2+Décembre!AI118</f>
        <v>0</v>
      </c>
      <c r="AJ118" s="45">
        <f>COUNTIFS(Janvier!$C118:$AG118,"RTT")/2+Décembre!AJ118</f>
        <v>0</v>
      </c>
      <c r="AK118" s="45">
        <f>COUNTIFS(Janvier!$C118:$AG118,"m")/2+Décembre!AK118</f>
        <v>0</v>
      </c>
      <c r="AL118" s="45">
        <f>COUNTIFS(Janvier!$C118:$AG118,"a")/2+Décembre!AL118</f>
        <v>0</v>
      </c>
      <c r="AM118" s="46"/>
      <c r="AN118" s="47"/>
      <c r="AO118" s="47"/>
      <c r="AP118" s="46"/>
      <c r="AQ118" s="47"/>
      <c r="AR118" s="47"/>
      <c r="AS118" s="101"/>
    </row>
    <row r="119" spans="1:45" s="79" customFormat="1" ht="12.95" customHeight="1" x14ac:dyDescent="0.25">
      <c r="A119" s="41"/>
      <c r="B119" s="42"/>
      <c r="C119" s="49" t="str">
        <f t="shared" ref="C119:AG119" si="33">IF(C117&gt;0,C117,IF(C118&gt;0,C118,""))</f>
        <v/>
      </c>
      <c r="D119" s="49" t="str">
        <f t="shared" si="33"/>
        <v/>
      </c>
      <c r="E119" s="49" t="str">
        <f t="shared" si="33"/>
        <v/>
      </c>
      <c r="F119" s="49" t="str">
        <f t="shared" si="33"/>
        <v/>
      </c>
      <c r="G119" s="49" t="str">
        <f t="shared" si="33"/>
        <v/>
      </c>
      <c r="H119" s="49" t="str">
        <f t="shared" si="33"/>
        <v/>
      </c>
      <c r="I119" s="49" t="str">
        <f t="shared" si="33"/>
        <v/>
      </c>
      <c r="J119" s="49" t="str">
        <f t="shared" si="33"/>
        <v/>
      </c>
      <c r="K119" s="49" t="str">
        <f t="shared" si="33"/>
        <v/>
      </c>
      <c r="L119" s="49" t="str">
        <f t="shared" si="33"/>
        <v/>
      </c>
      <c r="M119" s="49" t="str">
        <f t="shared" si="33"/>
        <v/>
      </c>
      <c r="N119" s="49" t="str">
        <f t="shared" si="33"/>
        <v/>
      </c>
      <c r="O119" s="49" t="str">
        <f t="shared" si="33"/>
        <v/>
      </c>
      <c r="P119" s="49" t="str">
        <f t="shared" si="33"/>
        <v/>
      </c>
      <c r="Q119" s="49" t="str">
        <f t="shared" si="33"/>
        <v/>
      </c>
      <c r="R119" s="49" t="str">
        <f t="shared" si="33"/>
        <v/>
      </c>
      <c r="S119" s="49" t="str">
        <f t="shared" si="33"/>
        <v/>
      </c>
      <c r="T119" s="49" t="str">
        <f t="shared" si="33"/>
        <v/>
      </c>
      <c r="U119" s="49" t="str">
        <f t="shared" si="33"/>
        <v/>
      </c>
      <c r="V119" s="49" t="str">
        <f t="shared" si="33"/>
        <v/>
      </c>
      <c r="W119" s="49" t="str">
        <f t="shared" si="33"/>
        <v/>
      </c>
      <c r="X119" s="49" t="str">
        <f t="shared" si="33"/>
        <v/>
      </c>
      <c r="Y119" s="49" t="str">
        <f t="shared" si="33"/>
        <v/>
      </c>
      <c r="Z119" s="49" t="str">
        <f t="shared" si="33"/>
        <v/>
      </c>
      <c r="AA119" s="49" t="str">
        <f t="shared" si="33"/>
        <v/>
      </c>
      <c r="AB119" s="49" t="str">
        <f t="shared" si="33"/>
        <v/>
      </c>
      <c r="AC119" s="49" t="str">
        <f t="shared" si="33"/>
        <v/>
      </c>
      <c r="AD119" s="49" t="str">
        <f t="shared" si="33"/>
        <v/>
      </c>
      <c r="AE119" s="49" t="str">
        <f t="shared" si="33"/>
        <v/>
      </c>
      <c r="AF119" s="49" t="str">
        <f t="shared" si="33"/>
        <v/>
      </c>
      <c r="AG119" s="49" t="str">
        <f t="shared" si="33"/>
        <v/>
      </c>
      <c r="AH119" s="44">
        <f>SUM(AH117:AH118)</f>
        <v>0</v>
      </c>
      <c r="AI119" s="45">
        <f>SUM(AI117:AI118)</f>
        <v>0</v>
      </c>
      <c r="AJ119" s="45">
        <f>SUM(AJ117:AJ118)</f>
        <v>0</v>
      </c>
      <c r="AK119" s="45">
        <f>SUM(AK117:AK118)</f>
        <v>0</v>
      </c>
      <c r="AL119" s="45">
        <f>SUM(AL117:AL118)</f>
        <v>0</v>
      </c>
      <c r="AM119" s="50">
        <v>0</v>
      </c>
      <c r="AN119" s="51" t="str">
        <f>IF(A118="","",IF(A118&gt;NomMois,0,IF(A118&lt;$A$3,2.08,(NETWORKDAYS(A118,$A$2)/21.66667)*2.08)))</f>
        <v/>
      </c>
      <c r="AO119" s="51">
        <f>IF( AN119="",0,+AN119+Décembre!AO119)</f>
        <v>0</v>
      </c>
      <c r="AP119" s="51"/>
      <c r="AQ119" s="45">
        <f>+AM119-AI119</f>
        <v>0</v>
      </c>
      <c r="AR119" s="45" t="str">
        <f>+IF(AP119="","",AP119-AJ119)</f>
        <v/>
      </c>
      <c r="AS119" s="102">
        <f t="shared" si="27"/>
        <v>0</v>
      </c>
    </row>
    <row r="120" spans="1:45" s="79" customFormat="1" ht="6.75" customHeight="1" x14ac:dyDescent="0.25">
      <c r="A120" s="64"/>
      <c r="B120" s="42"/>
      <c r="C120" s="64"/>
      <c r="D120" s="64"/>
      <c r="E120" s="64"/>
      <c r="F120" s="64"/>
      <c r="G120" s="64"/>
      <c r="H120" s="64"/>
      <c r="I120" s="64"/>
      <c r="J120" s="64"/>
      <c r="K120" s="64"/>
      <c r="L120" s="64"/>
      <c r="M120" s="64"/>
      <c r="N120" s="64"/>
      <c r="O120" s="64"/>
      <c r="P120" s="64"/>
      <c r="Q120" s="64"/>
      <c r="R120" s="64"/>
      <c r="S120" s="64"/>
      <c r="T120" s="64"/>
      <c r="U120" s="64"/>
      <c r="V120" s="64"/>
      <c r="W120" s="64"/>
      <c r="X120" s="64"/>
      <c r="Y120" s="64"/>
      <c r="Z120" s="64"/>
      <c r="AA120" s="64"/>
      <c r="AB120" s="64"/>
      <c r="AC120" s="64"/>
      <c r="AD120" s="64"/>
      <c r="AE120" s="64"/>
      <c r="AF120" s="64"/>
      <c r="AG120" s="64"/>
      <c r="AH120" s="65"/>
      <c r="AI120" s="65"/>
      <c r="AJ120" s="65"/>
      <c r="AK120" s="65"/>
      <c r="AL120" s="65"/>
      <c r="AM120" s="64"/>
      <c r="AN120" s="65"/>
      <c r="AO120" s="65"/>
      <c r="AP120" s="64"/>
      <c r="AQ120" s="69"/>
      <c r="AR120" s="69"/>
      <c r="AS120" s="65"/>
    </row>
    <row r="121" spans="1:45" s="79" customFormat="1" ht="12.95" customHeight="1" x14ac:dyDescent="0.25">
      <c r="A121" s="41"/>
      <c r="B121" s="42" t="s">
        <v>15</v>
      </c>
      <c r="C121" s="67"/>
      <c r="D121" s="43"/>
      <c r="E121" s="43"/>
      <c r="F121" s="43"/>
      <c r="G121" s="43"/>
      <c r="H121" s="43"/>
      <c r="I121" s="43"/>
      <c r="J121" s="43"/>
      <c r="K121" s="43"/>
      <c r="L121" s="43"/>
      <c r="M121" s="43"/>
      <c r="N121" s="43"/>
      <c r="O121" s="43"/>
      <c r="P121" s="43"/>
      <c r="Q121" s="43"/>
      <c r="R121" s="43"/>
      <c r="S121" s="43"/>
      <c r="T121" s="43"/>
      <c r="U121" s="43"/>
      <c r="V121" s="43"/>
      <c r="W121" s="43"/>
      <c r="X121" s="43"/>
      <c r="Y121" s="43"/>
      <c r="Z121" s="43"/>
      <c r="AA121" s="43"/>
      <c r="AB121" s="43"/>
      <c r="AC121" s="43"/>
      <c r="AD121" s="43"/>
      <c r="AE121" s="43"/>
      <c r="AF121" s="43"/>
      <c r="AG121" s="43"/>
      <c r="AH121" s="44">
        <f>COUNTA(Janvier!$C121:$AG121)</f>
        <v>0</v>
      </c>
      <c r="AI121" s="45">
        <f>(COUNTIFS(Janvier!$C121:$AG121,("cp")))/2+Décembre!AI121</f>
        <v>0</v>
      </c>
      <c r="AJ121" s="45">
        <f>COUNTIFS(Janvier!$C121:$AG121,"RTT")/2+Décembre!AJ121</f>
        <v>0</v>
      </c>
      <c r="AK121" s="45">
        <f>COUNTIFS(Janvier!$C121:$AG121,"m")/2+Décembre!AK121</f>
        <v>0</v>
      </c>
      <c r="AL121" s="45">
        <f>COUNTIFS(Janvier!$C121:$AG121,"a")/2+Décembre!AL121</f>
        <v>0</v>
      </c>
      <c r="AM121" s="46"/>
      <c r="AN121" s="47"/>
      <c r="AO121" s="47"/>
      <c r="AP121" s="46"/>
      <c r="AQ121" s="47"/>
      <c r="AR121" s="47"/>
      <c r="AS121" s="47"/>
    </row>
    <row r="122" spans="1:45" s="79" customFormat="1" ht="12.95" customHeight="1" x14ac:dyDescent="0.25">
      <c r="A122" s="48"/>
      <c r="B122" s="42" t="s">
        <v>16</v>
      </c>
      <c r="C122" s="67"/>
      <c r="D122" s="43"/>
      <c r="E122" s="43"/>
      <c r="F122" s="43"/>
      <c r="G122" s="43"/>
      <c r="H122" s="43"/>
      <c r="I122" s="43"/>
      <c r="J122" s="43"/>
      <c r="K122" s="43"/>
      <c r="L122" s="43"/>
      <c r="M122" s="43"/>
      <c r="N122" s="43"/>
      <c r="O122" s="43"/>
      <c r="P122" s="43"/>
      <c r="Q122" s="43"/>
      <c r="R122" s="43"/>
      <c r="S122" s="43"/>
      <c r="T122" s="43"/>
      <c r="U122" s="43"/>
      <c r="V122" s="43"/>
      <c r="W122" s="43"/>
      <c r="X122" s="43"/>
      <c r="Y122" s="43"/>
      <c r="Z122" s="43"/>
      <c r="AA122" s="43"/>
      <c r="AB122" s="43"/>
      <c r="AC122" s="43"/>
      <c r="AD122" s="43"/>
      <c r="AE122" s="43"/>
      <c r="AF122" s="43"/>
      <c r="AG122" s="43"/>
      <c r="AH122" s="44">
        <f>COUNTA(Janvier!$C122:$AG122)</f>
        <v>0</v>
      </c>
      <c r="AI122" s="45">
        <f>(COUNTIFS(Janvier!$C122:$AG122,("cp")))/2+Décembre!AI122</f>
        <v>0</v>
      </c>
      <c r="AJ122" s="45">
        <f>COUNTIFS(Janvier!$C122:$AG122,"RTT")/2+Décembre!AJ122</f>
        <v>0</v>
      </c>
      <c r="AK122" s="45">
        <f>COUNTIFS(Janvier!$C122:$AG122,"m")/2+Décembre!AK122</f>
        <v>0</v>
      </c>
      <c r="AL122" s="45">
        <f>COUNTIFS(Janvier!$C122:$AG122,"a")/2+Décembre!AL122</f>
        <v>0</v>
      </c>
      <c r="AM122" s="46"/>
      <c r="AN122" s="47"/>
      <c r="AO122" s="47"/>
      <c r="AP122" s="46"/>
      <c r="AQ122" s="47"/>
      <c r="AR122" s="47"/>
      <c r="AS122" s="101"/>
    </row>
    <row r="123" spans="1:45" s="79" customFormat="1" ht="12.95" customHeight="1" x14ac:dyDescent="0.25">
      <c r="A123" s="41"/>
      <c r="B123" s="42"/>
      <c r="C123" s="49" t="str">
        <f t="shared" ref="C123:AG123" si="34">IF(C121&gt;0,C121,IF(C122&gt;0,C122,""))</f>
        <v/>
      </c>
      <c r="D123" s="49" t="str">
        <f t="shared" si="34"/>
        <v/>
      </c>
      <c r="E123" s="49" t="str">
        <f t="shared" si="34"/>
        <v/>
      </c>
      <c r="F123" s="49" t="str">
        <f t="shared" si="34"/>
        <v/>
      </c>
      <c r="G123" s="49" t="str">
        <f t="shared" si="34"/>
        <v/>
      </c>
      <c r="H123" s="49" t="str">
        <f t="shared" si="34"/>
        <v/>
      </c>
      <c r="I123" s="49" t="str">
        <f t="shared" si="34"/>
        <v/>
      </c>
      <c r="J123" s="49" t="str">
        <f t="shared" si="34"/>
        <v/>
      </c>
      <c r="K123" s="49" t="str">
        <f t="shared" si="34"/>
        <v/>
      </c>
      <c r="L123" s="49" t="str">
        <f t="shared" si="34"/>
        <v/>
      </c>
      <c r="M123" s="49" t="str">
        <f t="shared" si="34"/>
        <v/>
      </c>
      <c r="N123" s="49" t="str">
        <f t="shared" si="34"/>
        <v/>
      </c>
      <c r="O123" s="49" t="str">
        <f t="shared" si="34"/>
        <v/>
      </c>
      <c r="P123" s="49" t="str">
        <f t="shared" si="34"/>
        <v/>
      </c>
      <c r="Q123" s="49" t="str">
        <f t="shared" si="34"/>
        <v/>
      </c>
      <c r="R123" s="49" t="str">
        <f t="shared" si="34"/>
        <v/>
      </c>
      <c r="S123" s="49" t="str">
        <f t="shared" si="34"/>
        <v/>
      </c>
      <c r="T123" s="49" t="str">
        <f t="shared" si="34"/>
        <v/>
      </c>
      <c r="U123" s="49" t="str">
        <f t="shared" si="34"/>
        <v/>
      </c>
      <c r="V123" s="49" t="str">
        <f t="shared" si="34"/>
        <v/>
      </c>
      <c r="W123" s="49" t="str">
        <f t="shared" si="34"/>
        <v/>
      </c>
      <c r="X123" s="49" t="str">
        <f t="shared" si="34"/>
        <v/>
      </c>
      <c r="Y123" s="49" t="str">
        <f t="shared" si="34"/>
        <v/>
      </c>
      <c r="Z123" s="49" t="str">
        <f t="shared" si="34"/>
        <v/>
      </c>
      <c r="AA123" s="49" t="str">
        <f t="shared" si="34"/>
        <v/>
      </c>
      <c r="AB123" s="49" t="str">
        <f t="shared" si="34"/>
        <v/>
      </c>
      <c r="AC123" s="49" t="str">
        <f t="shared" si="34"/>
        <v/>
      </c>
      <c r="AD123" s="49" t="str">
        <f t="shared" si="34"/>
        <v/>
      </c>
      <c r="AE123" s="49" t="str">
        <f t="shared" si="34"/>
        <v/>
      </c>
      <c r="AF123" s="49" t="str">
        <f t="shared" si="34"/>
        <v/>
      </c>
      <c r="AG123" s="49" t="str">
        <f t="shared" si="34"/>
        <v/>
      </c>
      <c r="AH123" s="44">
        <f>SUM(AH121:AH122)</f>
        <v>0</v>
      </c>
      <c r="AI123" s="45">
        <f>SUM(AI121:AI122)</f>
        <v>0</v>
      </c>
      <c r="AJ123" s="45">
        <f>SUM(AJ121:AJ122)</f>
        <v>0</v>
      </c>
      <c r="AK123" s="45">
        <f>SUM(AK121:AK122)</f>
        <v>0</v>
      </c>
      <c r="AL123" s="45">
        <f>SUM(AL121:AL122)</f>
        <v>0</v>
      </c>
      <c r="AM123" s="50">
        <v>0</v>
      </c>
      <c r="AN123" s="51" t="str">
        <f>IF(A122="","",IF(A122&gt;NomMois,0,IF(A122&lt;$A$3,2.08,(NETWORKDAYS(A122,$A$2)/21.66667)*2.08)))</f>
        <v/>
      </c>
      <c r="AO123" s="51">
        <f>IF( AN123="",0,+AN123+Décembre!AO123)</f>
        <v>0</v>
      </c>
      <c r="AP123" s="51"/>
      <c r="AQ123" s="45">
        <f>+AM123-AI123</f>
        <v>0</v>
      </c>
      <c r="AR123" s="45" t="str">
        <f>+IF(AP123="","",AP123-AJ123)</f>
        <v/>
      </c>
      <c r="AS123" s="102">
        <f t="shared" si="27"/>
        <v>0</v>
      </c>
    </row>
    <row r="124" spans="1:45" s="79" customFormat="1" ht="6.75" customHeight="1" x14ac:dyDescent="0.25">
      <c r="A124" s="64"/>
      <c r="B124" s="64"/>
      <c r="C124" s="64"/>
      <c r="D124" s="64"/>
      <c r="E124" s="64"/>
      <c r="F124" s="64"/>
      <c r="G124" s="64"/>
      <c r="H124" s="64"/>
      <c r="I124" s="64"/>
      <c r="J124" s="64"/>
      <c r="K124" s="64"/>
      <c r="L124" s="64"/>
      <c r="M124" s="64"/>
      <c r="N124" s="64"/>
      <c r="O124" s="64"/>
      <c r="P124" s="64"/>
      <c r="Q124" s="64"/>
      <c r="R124" s="64"/>
      <c r="S124" s="64"/>
      <c r="T124" s="64"/>
      <c r="U124" s="64"/>
      <c r="V124" s="64"/>
      <c r="W124" s="64"/>
      <c r="X124" s="64"/>
      <c r="Y124" s="64"/>
      <c r="Z124" s="64"/>
      <c r="AA124" s="64"/>
      <c r="AB124" s="64"/>
      <c r="AC124" s="64"/>
      <c r="AD124" s="64"/>
      <c r="AE124" s="64"/>
      <c r="AF124" s="64"/>
      <c r="AG124" s="64"/>
      <c r="AH124" s="64"/>
      <c r="AI124" s="64"/>
      <c r="AJ124" s="64"/>
      <c r="AK124" s="64"/>
      <c r="AL124" s="64"/>
      <c r="AM124" s="64"/>
      <c r="AN124" s="64"/>
      <c r="AO124" s="64"/>
      <c r="AP124" s="64"/>
      <c r="AQ124" s="74"/>
      <c r="AR124" s="74"/>
      <c r="AS124" s="65"/>
    </row>
    <row r="125" spans="1:45" s="79" customFormat="1" x14ac:dyDescent="0.25">
      <c r="A125" s="100"/>
      <c r="B125" s="100"/>
      <c r="C125" s="100"/>
      <c r="D125" s="100"/>
      <c r="E125" s="100"/>
      <c r="F125" s="100"/>
      <c r="G125" s="100"/>
      <c r="H125" s="100"/>
      <c r="I125" s="100"/>
      <c r="J125" s="100"/>
      <c r="K125" s="100"/>
      <c r="L125" s="100"/>
      <c r="M125" s="100"/>
      <c r="N125" s="100"/>
      <c r="O125" s="100"/>
      <c r="P125" s="100"/>
      <c r="Q125" s="100"/>
      <c r="R125" s="100"/>
      <c r="S125" s="100"/>
      <c r="T125" s="100"/>
      <c r="U125" s="100"/>
      <c r="V125" s="100"/>
      <c r="W125" s="100"/>
      <c r="X125" s="100"/>
      <c r="Y125" s="100"/>
      <c r="Z125" s="100"/>
      <c r="AA125" s="100"/>
      <c r="AB125" s="100"/>
      <c r="AC125" s="100"/>
      <c r="AD125" s="100"/>
      <c r="AE125" s="100"/>
      <c r="AF125" s="100"/>
      <c r="AG125" s="100"/>
      <c r="AH125" s="100"/>
      <c r="AM125" s="8"/>
      <c r="AN125" s="8"/>
      <c r="AO125" s="8"/>
    </row>
    <row r="126" spans="1:45" s="79" customFormat="1" x14ac:dyDescent="0.25">
      <c r="A126" s="100"/>
      <c r="B126" s="100"/>
      <c r="C126" s="100"/>
      <c r="D126" s="100"/>
      <c r="E126" s="100"/>
      <c r="F126" s="100"/>
      <c r="G126" s="100"/>
      <c r="H126" s="100"/>
      <c r="I126" s="100"/>
      <c r="J126" s="100"/>
      <c r="K126" s="100"/>
      <c r="L126" s="100"/>
      <c r="M126" s="100"/>
      <c r="N126" s="100"/>
      <c r="O126" s="100"/>
      <c r="P126" s="100"/>
      <c r="Q126" s="100"/>
      <c r="R126" s="100"/>
      <c r="S126" s="100"/>
      <c r="T126" s="100"/>
      <c r="U126" s="100"/>
      <c r="V126" s="100"/>
      <c r="W126" s="100"/>
      <c r="X126" s="100"/>
      <c r="Y126" s="100"/>
      <c r="Z126" s="100"/>
      <c r="AA126" s="100"/>
      <c r="AB126" s="100"/>
      <c r="AC126" s="100"/>
      <c r="AD126" s="100"/>
      <c r="AE126" s="100"/>
      <c r="AF126" s="100"/>
      <c r="AG126" s="100"/>
      <c r="AH126" s="100"/>
      <c r="AM126" s="8"/>
      <c r="AN126" s="8"/>
      <c r="AO126" s="8"/>
    </row>
    <row r="127" spans="1:45" s="79" customFormat="1" x14ac:dyDescent="0.25">
      <c r="A127" s="80"/>
      <c r="B127" s="80"/>
      <c r="C127" s="82" t="s">
        <v>17</v>
      </c>
      <c r="D127" s="82"/>
      <c r="E127" s="82"/>
      <c r="F127" s="82"/>
      <c r="G127" s="83"/>
      <c r="H127" s="84" t="s">
        <v>7</v>
      </c>
      <c r="I127" s="85" t="s">
        <v>18</v>
      </c>
      <c r="J127" s="86"/>
      <c r="K127" s="86"/>
      <c r="L127" s="87" t="s">
        <v>8</v>
      </c>
      <c r="M127" s="85" t="s">
        <v>8</v>
      </c>
      <c r="N127" s="86"/>
      <c r="O127" s="86"/>
      <c r="P127" s="88" t="s">
        <v>9</v>
      </c>
      <c r="Q127" s="85" t="s">
        <v>19</v>
      </c>
      <c r="R127" s="86"/>
      <c r="S127" s="86"/>
      <c r="T127" s="89" t="s">
        <v>10</v>
      </c>
      <c r="U127" s="90" t="s">
        <v>20</v>
      </c>
      <c r="V127" s="91"/>
      <c r="W127" s="86"/>
      <c r="X127" s="93"/>
      <c r="Y127" s="92"/>
      <c r="Z127" s="90" t="s">
        <v>21</v>
      </c>
      <c r="AA127" s="86"/>
      <c r="AB127" s="91"/>
      <c r="AC127" s="93"/>
      <c r="AD127" s="93"/>
      <c r="AE127" s="93"/>
      <c r="AF127" s="93"/>
      <c r="AG127" s="93"/>
      <c r="AH127" s="94"/>
      <c r="AM127" s="8"/>
      <c r="AN127" s="8"/>
      <c r="AO127" s="8"/>
    </row>
    <row r="128" spans="1:45" s="79" customFormat="1" x14ac:dyDescent="0.25"/>
    <row r="129" s="79" customFormat="1" x14ac:dyDescent="0.25"/>
    <row r="130" s="79" customFormat="1" x14ac:dyDescent="0.25"/>
    <row r="131" s="79" customFormat="1" ht="15" customHeight="1" x14ac:dyDescent="0.25"/>
    <row r="132" s="79" customFormat="1" ht="15" customHeight="1" x14ac:dyDescent="0.25"/>
    <row r="133" s="79" customFormat="1" ht="15" customHeight="1" x14ac:dyDescent="0.25"/>
    <row r="134" s="79" customFormat="1" ht="15" customHeight="1" x14ac:dyDescent="0.25"/>
    <row r="135" s="79" customFormat="1" ht="15" customHeight="1" x14ac:dyDescent="0.25"/>
    <row r="136" s="79" customFormat="1" ht="15" customHeight="1" x14ac:dyDescent="0.25"/>
    <row r="137" s="79" customFormat="1" ht="15" customHeight="1" x14ac:dyDescent="0.25"/>
    <row r="138" s="79" customFormat="1" ht="15" customHeight="1" x14ac:dyDescent="0.25"/>
    <row r="139" s="79" customFormat="1" ht="15" customHeight="1" x14ac:dyDescent="0.25"/>
    <row r="140" s="79" customFormat="1" ht="15" customHeight="1" x14ac:dyDescent="0.25"/>
    <row r="141" s="79" customFormat="1" ht="15" customHeight="1" x14ac:dyDescent="0.25"/>
    <row r="142" s="79" customFormat="1" ht="15" customHeight="1" x14ac:dyDescent="0.25"/>
    <row r="143" s="79" customFormat="1" ht="15" customHeight="1" x14ac:dyDescent="0.25"/>
    <row r="144" s="79" customFormat="1" ht="15" customHeight="1" x14ac:dyDescent="0.25"/>
    <row r="145" s="79" customFormat="1" ht="15" customHeight="1" x14ac:dyDescent="0.25"/>
    <row r="146" s="79" customFormat="1" ht="15" customHeight="1" x14ac:dyDescent="0.25"/>
    <row r="147" s="79" customFormat="1" ht="15" customHeight="1" x14ac:dyDescent="0.25"/>
    <row r="148" s="79" customFormat="1" ht="15" customHeight="1" x14ac:dyDescent="0.25"/>
    <row r="149" s="79" customFormat="1" ht="15" customHeight="1" x14ac:dyDescent="0.25"/>
    <row r="150" s="79" customFormat="1" ht="15" customHeight="1" x14ac:dyDescent="0.25"/>
    <row r="151" s="79" customFormat="1" ht="15" customHeight="1" x14ac:dyDescent="0.25"/>
    <row r="152" s="79" customFormat="1" ht="15" customHeight="1" x14ac:dyDescent="0.25"/>
    <row r="153" s="79" customFormat="1" ht="15" customHeight="1" x14ac:dyDescent="0.25"/>
    <row r="154" s="79" customFormat="1" ht="15" customHeight="1" x14ac:dyDescent="0.25"/>
    <row r="155" s="79" customFormat="1" ht="15" customHeight="1" x14ac:dyDescent="0.25"/>
    <row r="156" s="79" customFormat="1" ht="15" customHeight="1" x14ac:dyDescent="0.25"/>
    <row r="157" s="79" customFormat="1" ht="15" customHeight="1" x14ac:dyDescent="0.25"/>
    <row r="158" s="79" customFormat="1" ht="15" customHeight="1" x14ac:dyDescent="0.25"/>
    <row r="159" s="79" customFormat="1" ht="15" customHeight="1" x14ac:dyDescent="0.25"/>
    <row r="160" s="79" customFormat="1" ht="15" customHeight="1" x14ac:dyDescent="0.25"/>
    <row r="161" s="79" customFormat="1" ht="15" customHeight="1" x14ac:dyDescent="0.25"/>
    <row r="162" s="79" customFormat="1" ht="15" customHeight="1" x14ac:dyDescent="0.25"/>
    <row r="163" s="79" customFormat="1" ht="15" customHeight="1" x14ac:dyDescent="0.25"/>
    <row r="164" s="79" customFormat="1" ht="15" customHeight="1" x14ac:dyDescent="0.25"/>
    <row r="165" s="79" customFormat="1" ht="15" customHeight="1" x14ac:dyDescent="0.25"/>
    <row r="166" s="79" customFormat="1" ht="15" customHeight="1" x14ac:dyDescent="0.25"/>
    <row r="167" s="79" customFormat="1" ht="15" customHeight="1" x14ac:dyDescent="0.25"/>
    <row r="168" s="79" customFormat="1" ht="15" customHeight="1" x14ac:dyDescent="0.25"/>
    <row r="169" s="79" customFormat="1" ht="15" customHeight="1" x14ac:dyDescent="0.25"/>
    <row r="170" s="79" customFormat="1" ht="15" customHeight="1" x14ac:dyDescent="0.25"/>
    <row r="171" s="79" customFormat="1" ht="15" customHeight="1" x14ac:dyDescent="0.25"/>
    <row r="172" s="79" customFormat="1" ht="15" customHeight="1" x14ac:dyDescent="0.25"/>
    <row r="173" s="79" customFormat="1" ht="15" customHeight="1" x14ac:dyDescent="0.25"/>
    <row r="174" s="79" customFormat="1" ht="15" customHeight="1" x14ac:dyDescent="0.25"/>
    <row r="175" s="79" customFormat="1" ht="15" customHeight="1" x14ac:dyDescent="0.25"/>
    <row r="176" s="79" customFormat="1" ht="15" customHeight="1" x14ac:dyDescent="0.25"/>
    <row r="177" s="79" customFormat="1" ht="15" customHeight="1" x14ac:dyDescent="0.25"/>
    <row r="178" s="79" customFormat="1" ht="15" customHeight="1" x14ac:dyDescent="0.25"/>
    <row r="179" s="79" customFormat="1" ht="15" customHeight="1" x14ac:dyDescent="0.25"/>
    <row r="180" s="79" customFormat="1" ht="15" customHeight="1" x14ac:dyDescent="0.25"/>
    <row r="181" s="79" customFormat="1" ht="15" customHeight="1" x14ac:dyDescent="0.25"/>
    <row r="182" s="79" customFormat="1" ht="15" customHeight="1" x14ac:dyDescent="0.25"/>
    <row r="183" s="79" customFormat="1" ht="15" customHeight="1" x14ac:dyDescent="0.25"/>
    <row r="184" s="79" customFormat="1" ht="15" customHeight="1" x14ac:dyDescent="0.25"/>
    <row r="185" s="79" customFormat="1" ht="15" customHeight="1" x14ac:dyDescent="0.25"/>
    <row r="186" s="79" customFormat="1" ht="15" customHeight="1" x14ac:dyDescent="0.25"/>
    <row r="187" s="79" customFormat="1" ht="15" customHeight="1" x14ac:dyDescent="0.25"/>
    <row r="188" s="79" customFormat="1" ht="15" customHeight="1" x14ac:dyDescent="0.25"/>
    <row r="189" s="79" customFormat="1" ht="15" customHeight="1" x14ac:dyDescent="0.25"/>
    <row r="190" s="79" customFormat="1" ht="15" customHeight="1" x14ac:dyDescent="0.25"/>
    <row r="191" s="79" customFormat="1" ht="15" customHeight="1" x14ac:dyDescent="0.25"/>
    <row r="192" s="79" customFormat="1" ht="15" customHeight="1" x14ac:dyDescent="0.25"/>
    <row r="193" s="79" customFormat="1" ht="15" customHeight="1" x14ac:dyDescent="0.25"/>
    <row r="194" s="79" customFormat="1" ht="15" customHeight="1" x14ac:dyDescent="0.25"/>
    <row r="195" s="79" customFormat="1" ht="15" customHeight="1" x14ac:dyDescent="0.25"/>
    <row r="196" s="79" customFormat="1" ht="15" customHeight="1" x14ac:dyDescent="0.25"/>
    <row r="197" s="79" customFormat="1" ht="15" customHeight="1" x14ac:dyDescent="0.25"/>
    <row r="198" s="79" customFormat="1" ht="15" customHeight="1" x14ac:dyDescent="0.25"/>
    <row r="199" s="79" customFormat="1" ht="15" customHeight="1" x14ac:dyDescent="0.25"/>
    <row r="200" s="79" customFormat="1" ht="15" customHeight="1" x14ac:dyDescent="0.25"/>
    <row r="201" s="79" customFormat="1" ht="15" customHeight="1" x14ac:dyDescent="0.25"/>
    <row r="202" s="79" customFormat="1" ht="15" customHeight="1" x14ac:dyDescent="0.25"/>
    <row r="203" s="79" customFormat="1" ht="15" customHeight="1" x14ac:dyDescent="0.25"/>
    <row r="204" s="79" customFormat="1" ht="15" customHeight="1" x14ac:dyDescent="0.25"/>
    <row r="205" s="79" customFormat="1" ht="15" customHeight="1" x14ac:dyDescent="0.25"/>
    <row r="206" s="79" customFormat="1" ht="15" customHeight="1" x14ac:dyDescent="0.25"/>
    <row r="207" s="79" customFormat="1" ht="15" customHeight="1" x14ac:dyDescent="0.25"/>
    <row r="208" s="79" customFormat="1" ht="15" customHeight="1" x14ac:dyDescent="0.25"/>
    <row r="209" s="79" customFormat="1" ht="15" customHeight="1" x14ac:dyDescent="0.25"/>
    <row r="210" s="79" customFormat="1" ht="15" customHeight="1" x14ac:dyDescent="0.25"/>
    <row r="211" s="79" customFormat="1" ht="15" customHeight="1" x14ac:dyDescent="0.25"/>
    <row r="212" s="79" customFormat="1" ht="15" customHeight="1" x14ac:dyDescent="0.25"/>
    <row r="213" s="79" customFormat="1" ht="15" customHeight="1" x14ac:dyDescent="0.25"/>
    <row r="214" s="79" customFormat="1" ht="15" customHeight="1" x14ac:dyDescent="0.25"/>
    <row r="215" s="79" customFormat="1" ht="15" customHeight="1" x14ac:dyDescent="0.25"/>
    <row r="216" s="79" customFormat="1" ht="15" customHeight="1" x14ac:dyDescent="0.25"/>
    <row r="217" s="79" customFormat="1" ht="15" customHeight="1" x14ac:dyDescent="0.25"/>
    <row r="218" s="79" customFormat="1" ht="15" customHeight="1" x14ac:dyDescent="0.25"/>
    <row r="219" s="79" customFormat="1" ht="15" customHeight="1" x14ac:dyDescent="0.25"/>
    <row r="220" s="79" customFormat="1" ht="15" customHeight="1" x14ac:dyDescent="0.25"/>
    <row r="221" s="79" customFormat="1" ht="15" customHeight="1" x14ac:dyDescent="0.25"/>
    <row r="222" s="79" customFormat="1" ht="15" customHeight="1" x14ac:dyDescent="0.25"/>
    <row r="223" s="79" customFormat="1" ht="15" customHeight="1" x14ac:dyDescent="0.25"/>
    <row r="224" s="79" customFormat="1" ht="15" customHeight="1" x14ac:dyDescent="0.25"/>
    <row r="225" s="79" customFormat="1" ht="15" customHeight="1" x14ac:dyDescent="0.25"/>
    <row r="226" s="79" customFormat="1" ht="15" customHeight="1" x14ac:dyDescent="0.25"/>
    <row r="227" s="79" customFormat="1" ht="15" customHeight="1" x14ac:dyDescent="0.25"/>
    <row r="228" s="79" customFormat="1" ht="15" customHeight="1" x14ac:dyDescent="0.25"/>
    <row r="229" s="79" customFormat="1" ht="15" customHeight="1" x14ac:dyDescent="0.25"/>
    <row r="230" s="79" customFormat="1" ht="15" customHeight="1" x14ac:dyDescent="0.25"/>
    <row r="231" s="79" customFormat="1" ht="15" customHeight="1" x14ac:dyDescent="0.25"/>
    <row r="232" s="79" customFormat="1" ht="15" customHeight="1" x14ac:dyDescent="0.25"/>
    <row r="233" s="79" customFormat="1" ht="15" customHeight="1" x14ac:dyDescent="0.25"/>
    <row r="234" s="79" customFormat="1" ht="15" customHeight="1" x14ac:dyDescent="0.25"/>
    <row r="235" s="79" customFormat="1" ht="15" customHeight="1" x14ac:dyDescent="0.25"/>
    <row r="236" s="79" customFormat="1" ht="15" customHeight="1" x14ac:dyDescent="0.25"/>
    <row r="237" s="79" customFormat="1" ht="15" customHeight="1" x14ac:dyDescent="0.25"/>
    <row r="238" s="79" customFormat="1" ht="15" customHeight="1" x14ac:dyDescent="0.25"/>
    <row r="239" s="79" customFormat="1" ht="15" customHeight="1" x14ac:dyDescent="0.25"/>
    <row r="240" s="79" customFormat="1" ht="15" customHeight="1" x14ac:dyDescent="0.25"/>
    <row r="241" s="79" customFormat="1" ht="15" customHeight="1" x14ac:dyDescent="0.25"/>
    <row r="242" s="79" customFormat="1" ht="15" customHeight="1" x14ac:dyDescent="0.25"/>
    <row r="243" s="79" customFormat="1" ht="15" customHeight="1" x14ac:dyDescent="0.25"/>
    <row r="244" s="79" customFormat="1" ht="15" customHeight="1" x14ac:dyDescent="0.25"/>
    <row r="245" s="79" customFormat="1" ht="15" customHeight="1" x14ac:dyDescent="0.25"/>
    <row r="246" s="79" customFormat="1" ht="15" customHeight="1" x14ac:dyDescent="0.25"/>
    <row r="247" s="79" customFormat="1" ht="15" customHeight="1" x14ac:dyDescent="0.25"/>
    <row r="248" s="79" customFormat="1" ht="15" customHeight="1" x14ac:dyDescent="0.25"/>
    <row r="249" s="79" customFormat="1" ht="15" customHeight="1" x14ac:dyDescent="0.25"/>
    <row r="250" s="79" customFormat="1" ht="15" customHeight="1" x14ac:dyDescent="0.25"/>
    <row r="251" s="79" customFormat="1" ht="15" customHeight="1" x14ac:dyDescent="0.25"/>
    <row r="252" s="79" customFormat="1" ht="15" customHeight="1" x14ac:dyDescent="0.25"/>
    <row r="253" s="79" customFormat="1" ht="15" customHeight="1" x14ac:dyDescent="0.25"/>
    <row r="254" s="79" customFormat="1" ht="15" customHeight="1" x14ac:dyDescent="0.25"/>
    <row r="255" s="79" customFormat="1" ht="15" customHeight="1" x14ac:dyDescent="0.25"/>
    <row r="256" s="79" customFormat="1" ht="15" customHeight="1" x14ac:dyDescent="0.25"/>
    <row r="257" s="79" customFormat="1" ht="15" customHeight="1" x14ac:dyDescent="0.25"/>
    <row r="258" s="79" customFormat="1" ht="15" customHeight="1" x14ac:dyDescent="0.25"/>
    <row r="259" s="79" customFormat="1" ht="15" customHeight="1" x14ac:dyDescent="0.25"/>
    <row r="260" s="79" customFormat="1" ht="15" customHeight="1" x14ac:dyDescent="0.25"/>
    <row r="261" s="79" customFormat="1" ht="15" customHeight="1" x14ac:dyDescent="0.25"/>
    <row r="262" s="79" customFormat="1" ht="15" customHeight="1" x14ac:dyDescent="0.25"/>
    <row r="263" s="79" customFormat="1" ht="15" customHeight="1" x14ac:dyDescent="0.25"/>
    <row r="264" s="79" customFormat="1" ht="15" customHeight="1" x14ac:dyDescent="0.25"/>
    <row r="265" s="79" customFormat="1" ht="15" customHeight="1" x14ac:dyDescent="0.25"/>
    <row r="266" s="79" customFormat="1" ht="15" customHeight="1" x14ac:dyDescent="0.25"/>
    <row r="267" s="79" customFormat="1" ht="15" customHeight="1" x14ac:dyDescent="0.25"/>
    <row r="268" s="79" customFormat="1" ht="15" customHeight="1" x14ac:dyDescent="0.25"/>
    <row r="269" s="79" customFormat="1" ht="15" customHeight="1" x14ac:dyDescent="0.25"/>
    <row r="270" s="79" customFormat="1" ht="15" customHeight="1" x14ac:dyDescent="0.25"/>
    <row r="271" s="79" customFormat="1" ht="15" customHeight="1" x14ac:dyDescent="0.25"/>
    <row r="272" s="79" customFormat="1" ht="15" customHeight="1" x14ac:dyDescent="0.25"/>
    <row r="273" s="79" customFormat="1" ht="15" customHeight="1" x14ac:dyDescent="0.25"/>
    <row r="274" s="79" customFormat="1" ht="15" customHeight="1" x14ac:dyDescent="0.25"/>
    <row r="275" s="79" customFormat="1" ht="15" customHeight="1" x14ac:dyDescent="0.25"/>
    <row r="276" s="79" customFormat="1" ht="15" customHeight="1" x14ac:dyDescent="0.25"/>
    <row r="277" s="79" customFormat="1" ht="15" customHeight="1" x14ac:dyDescent="0.25"/>
    <row r="278" s="79" customFormat="1" ht="15" customHeight="1" x14ac:dyDescent="0.25"/>
    <row r="279" s="79" customFormat="1" ht="15" customHeight="1" x14ac:dyDescent="0.25"/>
    <row r="280" s="79" customFormat="1" ht="15" customHeight="1" x14ac:dyDescent="0.25"/>
    <row r="281" s="79" customFormat="1" ht="15" customHeight="1" x14ac:dyDescent="0.25"/>
    <row r="282" s="79" customFormat="1" ht="15" customHeight="1" x14ac:dyDescent="0.25"/>
    <row r="283" s="79" customFormat="1" ht="15" customHeight="1" x14ac:dyDescent="0.25"/>
    <row r="284" s="79" customFormat="1" ht="15" customHeight="1" x14ac:dyDescent="0.25"/>
    <row r="285" s="79" customFormat="1" ht="15" customHeight="1" x14ac:dyDescent="0.25"/>
    <row r="286" s="79" customFormat="1" ht="15" customHeight="1" x14ac:dyDescent="0.25"/>
    <row r="287" s="79" customFormat="1" ht="15" customHeight="1" x14ac:dyDescent="0.25"/>
    <row r="288" s="79" customFormat="1" ht="15" customHeight="1" x14ac:dyDescent="0.25"/>
    <row r="289" s="79" customFormat="1" ht="15" customHeight="1" x14ac:dyDescent="0.25"/>
    <row r="290" s="79" customFormat="1" ht="15" customHeight="1" x14ac:dyDescent="0.25"/>
    <row r="291" s="79" customFormat="1" ht="15" customHeight="1" x14ac:dyDescent="0.25"/>
    <row r="292" s="79" customFormat="1" ht="15" customHeight="1" x14ac:dyDescent="0.25"/>
    <row r="293" s="79" customFormat="1" ht="15" customHeight="1" x14ac:dyDescent="0.25"/>
    <row r="294" s="79" customFormat="1" ht="15" customHeight="1" x14ac:dyDescent="0.25"/>
    <row r="295" s="79" customFormat="1" ht="15" customHeight="1" x14ac:dyDescent="0.25"/>
    <row r="296" s="79" customFormat="1" ht="15" customHeight="1" x14ac:dyDescent="0.25"/>
    <row r="297" s="79" customFormat="1" ht="15" customHeight="1" x14ac:dyDescent="0.25"/>
    <row r="298" s="79" customFormat="1" ht="15" customHeight="1" x14ac:dyDescent="0.25"/>
    <row r="299" s="79" customFormat="1" ht="15" customHeight="1" x14ac:dyDescent="0.25"/>
    <row r="300" s="79" customFormat="1" ht="15" customHeight="1" x14ac:dyDescent="0.25"/>
    <row r="301" s="79" customFormat="1" ht="15" customHeight="1" x14ac:dyDescent="0.25"/>
    <row r="302" s="79" customFormat="1" ht="15" customHeight="1" x14ac:dyDescent="0.25"/>
    <row r="303" s="79" customFormat="1" ht="15" customHeight="1" x14ac:dyDescent="0.25"/>
    <row r="304" s="79" customFormat="1" ht="15" customHeight="1" x14ac:dyDescent="0.25"/>
    <row r="305" s="79" customFormat="1" ht="15" customHeight="1" x14ac:dyDescent="0.25"/>
    <row r="306" s="79" customFormat="1" ht="15" customHeight="1" x14ac:dyDescent="0.25"/>
    <row r="307" s="79" customFormat="1" ht="15" customHeight="1" x14ac:dyDescent="0.25"/>
    <row r="308" s="79" customFormat="1" ht="15" customHeight="1" x14ac:dyDescent="0.25"/>
    <row r="309" s="79" customFormat="1" ht="15" customHeight="1" x14ac:dyDescent="0.25"/>
    <row r="310" s="79" customFormat="1" ht="15" customHeight="1" x14ac:dyDescent="0.25"/>
    <row r="311" s="79" customFormat="1" ht="15" customHeight="1" x14ac:dyDescent="0.25"/>
    <row r="312" s="79" customFormat="1" ht="15" customHeight="1" x14ac:dyDescent="0.25"/>
    <row r="313" s="79" customFormat="1" ht="15" customHeight="1" x14ac:dyDescent="0.25"/>
    <row r="314" s="79" customFormat="1" ht="15" customHeight="1" x14ac:dyDescent="0.25"/>
    <row r="315" s="79" customFormat="1" ht="15" customHeight="1" x14ac:dyDescent="0.25"/>
    <row r="316" s="79" customFormat="1" ht="15" customHeight="1" x14ac:dyDescent="0.25"/>
    <row r="317" s="79" customFormat="1" ht="15" customHeight="1" x14ac:dyDescent="0.25"/>
    <row r="318" s="79" customFormat="1" ht="15" customHeight="1" x14ac:dyDescent="0.25"/>
    <row r="319" s="79" customFormat="1" ht="15" customHeight="1" x14ac:dyDescent="0.25"/>
    <row r="320" s="79" customFormat="1" ht="15" customHeight="1" x14ac:dyDescent="0.25"/>
    <row r="321" s="79" customFormat="1" ht="15" customHeight="1" x14ac:dyDescent="0.25"/>
    <row r="322" s="79" customFormat="1" ht="15" customHeight="1" x14ac:dyDescent="0.25"/>
    <row r="323" s="79" customFormat="1" ht="15" customHeight="1" x14ac:dyDescent="0.25"/>
    <row r="324" s="79" customFormat="1" ht="15" customHeight="1" x14ac:dyDescent="0.25"/>
    <row r="325" s="79" customFormat="1" ht="15" customHeight="1" x14ac:dyDescent="0.25"/>
    <row r="326" s="79" customFormat="1" ht="15" customHeight="1" x14ac:dyDescent="0.25"/>
    <row r="327" s="79" customFormat="1" ht="15" customHeight="1" x14ac:dyDescent="0.25"/>
    <row r="328" s="79" customFormat="1" ht="15" customHeight="1" x14ac:dyDescent="0.25"/>
    <row r="329" s="79" customFormat="1" ht="15" customHeight="1" x14ac:dyDescent="0.25"/>
    <row r="330" s="79" customFormat="1" ht="15" customHeight="1" x14ac:dyDescent="0.25"/>
    <row r="331" s="79" customFormat="1" ht="15" customHeight="1" x14ac:dyDescent="0.25"/>
    <row r="332" s="79" customFormat="1" ht="15" customHeight="1" x14ac:dyDescent="0.25"/>
    <row r="333" s="79" customFormat="1" ht="15" customHeight="1" x14ac:dyDescent="0.25"/>
    <row r="334" s="79" customFormat="1" ht="15" customHeight="1" x14ac:dyDescent="0.25"/>
    <row r="335" s="79" customFormat="1" ht="15" customHeight="1" x14ac:dyDescent="0.25"/>
    <row r="336" s="79" customFormat="1" ht="15" customHeight="1" x14ac:dyDescent="0.25"/>
    <row r="337" s="79" customFormat="1" ht="15" customHeight="1" x14ac:dyDescent="0.25"/>
    <row r="338" s="79" customFormat="1" ht="15" customHeight="1" x14ac:dyDescent="0.25"/>
    <row r="339" s="79" customFormat="1" ht="15" customHeight="1" x14ac:dyDescent="0.25"/>
    <row r="340" s="79" customFormat="1" ht="15" customHeight="1" x14ac:dyDescent="0.25"/>
    <row r="341" s="79" customFormat="1" ht="15" customHeight="1" x14ac:dyDescent="0.25"/>
    <row r="342" s="79" customFormat="1" ht="15" customHeight="1" x14ac:dyDescent="0.25"/>
    <row r="343" s="79" customFormat="1" ht="15" customHeight="1" x14ac:dyDescent="0.25"/>
    <row r="344" s="79" customFormat="1" ht="15" customHeight="1" x14ac:dyDescent="0.25"/>
    <row r="345" s="79" customFormat="1" ht="15" customHeight="1" x14ac:dyDescent="0.25"/>
    <row r="346" s="79" customFormat="1" ht="15" customHeight="1" x14ac:dyDescent="0.25"/>
    <row r="347" s="79" customFormat="1" ht="15" customHeight="1" x14ac:dyDescent="0.25"/>
    <row r="348" s="79" customFormat="1" ht="15" customHeight="1" x14ac:dyDescent="0.25"/>
    <row r="349" s="79" customFormat="1" ht="15" customHeight="1" x14ac:dyDescent="0.25"/>
    <row r="350" s="79" customFormat="1" ht="15" customHeight="1" x14ac:dyDescent="0.25"/>
    <row r="351" s="79" customFormat="1" ht="15" customHeight="1" x14ac:dyDescent="0.25"/>
    <row r="352" s="79" customFormat="1" ht="15" customHeight="1" x14ac:dyDescent="0.25"/>
    <row r="353" s="79" customFormat="1" ht="15" customHeight="1" x14ac:dyDescent="0.25"/>
    <row r="354" s="79" customFormat="1" ht="15" customHeight="1" x14ac:dyDescent="0.25"/>
    <row r="355" s="79" customFormat="1" ht="15" customHeight="1" x14ac:dyDescent="0.25"/>
    <row r="356" s="79" customFormat="1" ht="15" customHeight="1" x14ac:dyDescent="0.25"/>
    <row r="357" s="79" customFormat="1" ht="15" customHeight="1" x14ac:dyDescent="0.25"/>
    <row r="358" s="79" customFormat="1" ht="15" customHeight="1" x14ac:dyDescent="0.25"/>
    <row r="359" s="79" customFormat="1" ht="15" customHeight="1" x14ac:dyDescent="0.25"/>
    <row r="360" s="79" customFormat="1" ht="15" customHeight="1" x14ac:dyDescent="0.25"/>
    <row r="361" s="79" customFormat="1" ht="15" customHeight="1" x14ac:dyDescent="0.25"/>
    <row r="362" s="79" customFormat="1" ht="15" customHeight="1" x14ac:dyDescent="0.25"/>
    <row r="363" s="79" customFormat="1" ht="15" customHeight="1" x14ac:dyDescent="0.25"/>
    <row r="364" s="79" customFormat="1" ht="15" customHeight="1" x14ac:dyDescent="0.25"/>
    <row r="365" s="79" customFormat="1" ht="15" customHeight="1" x14ac:dyDescent="0.25"/>
    <row r="366" s="79" customFormat="1" ht="15" customHeight="1" x14ac:dyDescent="0.25"/>
    <row r="367" s="79" customFormat="1" ht="15" customHeight="1" x14ac:dyDescent="0.25"/>
    <row r="368" s="79" customFormat="1" ht="15" customHeight="1" x14ac:dyDescent="0.25"/>
    <row r="369" s="79" customFormat="1" ht="15" customHeight="1" x14ac:dyDescent="0.25"/>
    <row r="370" s="79" customFormat="1" ht="15" customHeight="1" x14ac:dyDescent="0.25"/>
    <row r="371" s="79" customFormat="1" ht="15" customHeight="1" x14ac:dyDescent="0.25"/>
    <row r="372" s="79" customFormat="1" ht="15" customHeight="1" x14ac:dyDescent="0.25"/>
    <row r="373" s="79" customFormat="1" ht="15" customHeight="1" x14ac:dyDescent="0.25"/>
    <row r="374" s="79" customFormat="1" ht="15" customHeight="1" x14ac:dyDescent="0.25"/>
    <row r="375" s="79" customFormat="1" ht="15" customHeight="1" x14ac:dyDescent="0.25"/>
    <row r="376" s="79" customFormat="1" ht="15" customHeight="1" x14ac:dyDescent="0.25"/>
    <row r="377" s="79" customFormat="1" ht="15" customHeight="1" x14ac:dyDescent="0.25"/>
    <row r="378" s="79" customFormat="1" ht="15" customHeight="1" x14ac:dyDescent="0.25"/>
    <row r="379" s="79" customFormat="1" ht="15" customHeight="1" x14ac:dyDescent="0.25"/>
    <row r="380" s="79" customFormat="1" ht="15" customHeight="1" x14ac:dyDescent="0.25"/>
    <row r="381" s="79" customFormat="1" ht="15" customHeight="1" x14ac:dyDescent="0.25"/>
    <row r="382" s="79" customFormat="1" ht="15" customHeight="1" x14ac:dyDescent="0.25"/>
    <row r="383" s="79" customFormat="1" ht="15" customHeight="1" x14ac:dyDescent="0.25"/>
    <row r="384" s="79" customFormat="1" ht="15" customHeight="1" x14ac:dyDescent="0.25"/>
    <row r="385" s="79" customFormat="1" ht="15" customHeight="1" x14ac:dyDescent="0.25"/>
    <row r="386" s="79" customFormat="1" ht="15" customHeight="1" x14ac:dyDescent="0.25"/>
    <row r="387" s="79" customFormat="1" ht="15" customHeight="1" x14ac:dyDescent="0.25"/>
    <row r="388" s="79" customFormat="1" ht="15" customHeight="1" x14ac:dyDescent="0.25"/>
    <row r="389" s="79" customFormat="1" ht="15" customHeight="1" x14ac:dyDescent="0.25"/>
    <row r="390" s="79" customFormat="1" ht="15" customHeight="1" x14ac:dyDescent="0.25"/>
    <row r="391" s="79" customFormat="1" ht="15" customHeight="1" x14ac:dyDescent="0.25"/>
    <row r="392" s="79" customFormat="1" ht="15" customHeight="1" x14ac:dyDescent="0.25"/>
    <row r="393" s="79" customFormat="1" ht="15" customHeight="1" x14ac:dyDescent="0.25"/>
    <row r="394" s="79" customFormat="1" ht="15" customHeight="1" x14ac:dyDescent="0.25"/>
    <row r="395" s="79" customFormat="1" ht="15" customHeight="1" x14ac:dyDescent="0.25"/>
    <row r="396" s="79" customFormat="1" ht="15" customHeight="1" x14ac:dyDescent="0.25"/>
    <row r="397" s="79" customFormat="1" ht="15" customHeight="1" x14ac:dyDescent="0.25"/>
    <row r="398" s="79" customFormat="1" ht="15" customHeight="1" x14ac:dyDescent="0.25"/>
    <row r="399" s="79" customFormat="1" ht="15" customHeight="1" x14ac:dyDescent="0.25"/>
    <row r="400" s="79" customFormat="1" ht="15" customHeight="1" x14ac:dyDescent="0.25"/>
    <row r="401" s="79" customFormat="1" ht="15" customHeight="1" x14ac:dyDescent="0.25"/>
    <row r="402" s="79" customFormat="1" ht="15" customHeight="1" x14ac:dyDescent="0.25"/>
    <row r="403" s="79" customFormat="1" ht="15" customHeight="1" x14ac:dyDescent="0.25"/>
    <row r="404" s="79" customFormat="1" ht="15" customHeight="1" x14ac:dyDescent="0.25"/>
    <row r="405" s="79" customFormat="1" ht="15" customHeight="1" x14ac:dyDescent="0.25"/>
    <row r="406" s="79" customFormat="1" ht="15" customHeight="1" x14ac:dyDescent="0.25"/>
    <row r="407" s="79" customFormat="1" ht="15" customHeight="1" x14ac:dyDescent="0.25"/>
    <row r="408" s="79" customFormat="1" ht="15" customHeight="1" x14ac:dyDescent="0.25"/>
    <row r="409" s="79" customFormat="1" ht="15" customHeight="1" x14ac:dyDescent="0.25"/>
    <row r="410" s="79" customFormat="1" ht="15" customHeight="1" x14ac:dyDescent="0.25"/>
    <row r="411" s="79" customFormat="1" ht="15" customHeight="1" x14ac:dyDescent="0.25"/>
    <row r="412" s="79" customFormat="1" ht="15" customHeight="1" x14ac:dyDescent="0.25"/>
    <row r="413" s="79" customFormat="1" ht="15" customHeight="1" x14ac:dyDescent="0.25"/>
    <row r="414" s="79" customFormat="1" ht="15" customHeight="1" x14ac:dyDescent="0.25"/>
    <row r="415" s="79" customFormat="1" ht="15" customHeight="1" x14ac:dyDescent="0.25"/>
    <row r="416" s="79" customFormat="1" ht="15" customHeight="1" x14ac:dyDescent="0.25"/>
    <row r="417" s="79" customFormat="1" ht="15" customHeight="1" x14ac:dyDescent="0.25"/>
    <row r="418" s="79" customFormat="1" ht="15" customHeight="1" x14ac:dyDescent="0.25"/>
    <row r="419" s="79" customFormat="1" ht="15" customHeight="1" x14ac:dyDescent="0.25"/>
    <row r="420" s="79" customFormat="1" ht="15" customHeight="1" x14ac:dyDescent="0.25"/>
    <row r="421" s="79" customFormat="1" ht="15" customHeight="1" x14ac:dyDescent="0.25"/>
    <row r="422" s="79" customFormat="1" ht="15" customHeight="1" x14ac:dyDescent="0.25"/>
    <row r="423" s="79" customFormat="1" ht="15" customHeight="1" x14ac:dyDescent="0.25"/>
    <row r="424" s="79" customFormat="1" ht="15" customHeight="1" x14ac:dyDescent="0.25"/>
    <row r="425" s="79" customFormat="1" ht="15" customHeight="1" x14ac:dyDescent="0.25"/>
    <row r="426" s="79" customFormat="1" ht="15" customHeight="1" x14ac:dyDescent="0.25"/>
    <row r="427" s="79" customFormat="1" ht="15" customHeight="1" x14ac:dyDescent="0.25"/>
    <row r="428" s="79" customFormat="1" ht="15" customHeight="1" x14ac:dyDescent="0.25"/>
    <row r="429" s="79" customFormat="1" ht="15" customHeight="1" x14ac:dyDescent="0.25"/>
    <row r="430" s="79" customFormat="1" ht="15" customHeight="1" x14ac:dyDescent="0.25"/>
    <row r="431" s="79" customFormat="1" ht="15" customHeight="1" x14ac:dyDescent="0.25"/>
    <row r="432" s="79" customFormat="1" ht="15" customHeight="1" x14ac:dyDescent="0.25"/>
    <row r="433" s="79" customFormat="1" ht="15" customHeight="1" x14ac:dyDescent="0.25"/>
    <row r="434" s="79" customFormat="1" ht="15" customHeight="1" x14ac:dyDescent="0.25"/>
    <row r="435" s="79" customFormat="1" ht="15" customHeight="1" x14ac:dyDescent="0.25"/>
    <row r="436" s="79" customFormat="1" ht="15" customHeight="1" x14ac:dyDescent="0.25"/>
    <row r="437" s="79" customFormat="1" ht="15" customHeight="1" x14ac:dyDescent="0.25"/>
    <row r="438" s="79" customFormat="1" ht="15" customHeight="1" x14ac:dyDescent="0.25"/>
    <row r="439" s="79" customFormat="1" ht="15" customHeight="1" x14ac:dyDescent="0.25"/>
    <row r="440" s="79" customFormat="1" ht="15" customHeight="1" x14ac:dyDescent="0.25"/>
    <row r="441" s="79" customFormat="1" ht="15" customHeight="1" x14ac:dyDescent="0.25"/>
    <row r="442" s="79" customFormat="1" ht="15" customHeight="1" x14ac:dyDescent="0.25"/>
    <row r="443" s="79" customFormat="1" ht="15" customHeight="1" x14ac:dyDescent="0.25"/>
    <row r="444" s="79" customFormat="1" ht="15" customHeight="1" x14ac:dyDescent="0.25"/>
    <row r="445" s="79" customFormat="1" ht="15" customHeight="1" x14ac:dyDescent="0.25"/>
    <row r="446" s="79" customFormat="1" ht="15" customHeight="1" x14ac:dyDescent="0.25"/>
    <row r="447" s="79" customFormat="1" ht="15" customHeight="1" x14ac:dyDescent="0.25"/>
    <row r="448" s="79" customFormat="1" ht="15" customHeight="1" x14ac:dyDescent="0.25"/>
    <row r="449" s="79" customFormat="1" ht="15" customHeight="1" x14ac:dyDescent="0.25"/>
    <row r="450" s="79" customFormat="1" ht="15" customHeight="1" x14ac:dyDescent="0.25"/>
    <row r="451" s="79" customFormat="1" ht="15" customHeight="1" x14ac:dyDescent="0.25"/>
    <row r="452" s="79" customFormat="1" ht="15" customHeight="1" x14ac:dyDescent="0.25"/>
    <row r="453" s="79" customFormat="1" ht="15" customHeight="1" x14ac:dyDescent="0.25"/>
    <row r="454" s="79" customFormat="1" ht="15" customHeight="1" x14ac:dyDescent="0.25"/>
    <row r="455" s="79" customFormat="1" ht="15" customHeight="1" x14ac:dyDescent="0.25"/>
    <row r="456" s="79" customFormat="1" ht="15" customHeight="1" x14ac:dyDescent="0.25"/>
    <row r="457" s="79" customFormat="1" ht="15" customHeight="1" x14ac:dyDescent="0.25"/>
    <row r="458" s="79" customFormat="1" ht="15" customHeight="1" x14ac:dyDescent="0.25"/>
    <row r="459" s="79" customFormat="1" ht="15" customHeight="1" x14ac:dyDescent="0.25"/>
    <row r="460" s="79" customFormat="1" ht="15" customHeight="1" x14ac:dyDescent="0.25"/>
    <row r="461" s="79" customFormat="1" ht="15" customHeight="1" x14ac:dyDescent="0.25"/>
    <row r="462" s="79" customFormat="1" ht="15" customHeight="1" x14ac:dyDescent="0.25"/>
    <row r="463" s="79" customFormat="1" ht="15" customHeight="1" x14ac:dyDescent="0.25"/>
    <row r="464" s="79" customFormat="1" ht="15" customHeight="1" x14ac:dyDescent="0.25"/>
    <row r="465" s="79" customFormat="1" ht="15" customHeight="1" x14ac:dyDescent="0.25"/>
    <row r="466" s="79" customFormat="1" ht="15" customHeight="1" x14ac:dyDescent="0.25"/>
    <row r="467" s="79" customFormat="1" ht="15" customHeight="1" x14ac:dyDescent="0.25"/>
    <row r="468" s="79" customFormat="1" ht="15" customHeight="1" x14ac:dyDescent="0.25"/>
    <row r="469" s="79" customFormat="1" ht="15" customHeight="1" x14ac:dyDescent="0.25"/>
    <row r="470" s="79" customFormat="1" ht="15" customHeight="1" x14ac:dyDescent="0.25"/>
    <row r="471" s="79" customFormat="1" ht="15" customHeight="1" x14ac:dyDescent="0.25"/>
    <row r="472" s="79" customFormat="1" ht="15" customHeight="1" x14ac:dyDescent="0.25"/>
    <row r="473" s="79" customFormat="1" ht="15" customHeight="1" x14ac:dyDescent="0.25"/>
    <row r="474" s="79" customFormat="1" ht="15" customHeight="1" x14ac:dyDescent="0.25"/>
    <row r="475" s="79" customFormat="1" ht="15" customHeight="1" x14ac:dyDescent="0.25"/>
    <row r="476" s="79" customFormat="1" ht="15" customHeight="1" x14ac:dyDescent="0.25"/>
    <row r="477" s="79" customFormat="1" ht="15" customHeight="1" x14ac:dyDescent="0.25"/>
    <row r="478" s="79" customFormat="1" ht="15" customHeight="1" x14ac:dyDescent="0.25"/>
    <row r="479" s="79" customFormat="1" ht="15" customHeight="1" x14ac:dyDescent="0.25"/>
    <row r="480" s="79" customFormat="1" ht="15" customHeight="1" x14ac:dyDescent="0.25"/>
    <row r="481" s="79" customFormat="1" ht="15" customHeight="1" x14ac:dyDescent="0.25"/>
    <row r="482" s="79" customFormat="1" ht="15" customHeight="1" x14ac:dyDescent="0.25"/>
    <row r="483" s="79" customFormat="1" ht="15" customHeight="1" x14ac:dyDescent="0.25"/>
    <row r="484" s="79" customFormat="1" ht="15" customHeight="1" x14ac:dyDescent="0.25"/>
    <row r="485" s="79" customFormat="1" ht="15" customHeight="1" x14ac:dyDescent="0.25"/>
    <row r="486" s="79" customFormat="1" ht="15" customHeight="1" x14ac:dyDescent="0.25"/>
    <row r="487" s="79" customFormat="1" ht="15" customHeight="1" x14ac:dyDescent="0.25"/>
    <row r="488" s="79" customFormat="1" ht="15" customHeight="1" x14ac:dyDescent="0.25"/>
    <row r="489" s="79" customFormat="1" ht="15" customHeight="1" x14ac:dyDescent="0.25"/>
    <row r="490" s="79" customFormat="1" ht="15" customHeight="1" x14ac:dyDescent="0.25"/>
    <row r="491" s="79" customFormat="1" ht="15" customHeight="1" x14ac:dyDescent="0.25"/>
    <row r="492" s="79" customFormat="1" ht="15" customHeight="1" x14ac:dyDescent="0.25"/>
    <row r="493" s="79" customFormat="1" ht="15" customHeight="1" x14ac:dyDescent="0.25"/>
    <row r="494" s="79" customFormat="1" ht="15" customHeight="1" x14ac:dyDescent="0.25"/>
    <row r="495" s="79" customFormat="1" ht="15" customHeight="1" x14ac:dyDescent="0.25"/>
    <row r="496" s="79" customFormat="1" ht="15" customHeight="1" x14ac:dyDescent="0.25"/>
    <row r="497" s="79" customFormat="1" ht="15" customHeight="1" x14ac:dyDescent="0.25"/>
    <row r="498" s="79" customFormat="1" ht="15" customHeight="1" x14ac:dyDescent="0.25"/>
    <row r="499" s="79" customFormat="1" ht="15" customHeight="1" x14ac:dyDescent="0.25"/>
    <row r="500" s="79" customFormat="1" ht="15" customHeight="1" x14ac:dyDescent="0.25"/>
    <row r="501" s="79" customFormat="1" ht="15" customHeight="1" x14ac:dyDescent="0.25"/>
    <row r="502" s="79" customFormat="1" ht="15" customHeight="1" x14ac:dyDescent="0.25"/>
    <row r="503" s="79" customFormat="1" ht="15" customHeight="1" x14ac:dyDescent="0.25"/>
    <row r="504" s="79" customFormat="1" ht="15" customHeight="1" x14ac:dyDescent="0.25"/>
    <row r="505" s="79" customFormat="1" ht="15" customHeight="1" x14ac:dyDescent="0.25"/>
    <row r="506" s="79" customFormat="1" ht="15" customHeight="1" x14ac:dyDescent="0.25"/>
    <row r="507" s="79" customFormat="1" ht="15" customHeight="1" x14ac:dyDescent="0.25"/>
    <row r="508" s="79" customFormat="1" ht="15" customHeight="1" x14ac:dyDescent="0.25"/>
    <row r="509" s="79" customFormat="1" ht="15" customHeight="1" x14ac:dyDescent="0.25"/>
    <row r="510" s="79" customFormat="1" ht="15" customHeight="1" x14ac:dyDescent="0.25"/>
    <row r="511" s="79" customFormat="1" ht="15" customHeight="1" x14ac:dyDescent="0.25"/>
    <row r="512" s="79" customFormat="1" ht="15" customHeight="1" x14ac:dyDescent="0.25"/>
    <row r="513" s="79" customFormat="1" ht="15" customHeight="1" x14ac:dyDescent="0.25"/>
    <row r="514" s="79" customFormat="1" ht="15" customHeight="1" x14ac:dyDescent="0.25"/>
    <row r="515" s="79" customFormat="1" ht="15" customHeight="1" x14ac:dyDescent="0.25"/>
    <row r="516" s="79" customFormat="1" ht="15" customHeight="1" x14ac:dyDescent="0.25"/>
    <row r="517" s="79" customFormat="1" ht="15" customHeight="1" x14ac:dyDescent="0.25"/>
    <row r="518" s="79" customFormat="1" ht="15" customHeight="1" x14ac:dyDescent="0.25"/>
    <row r="519" s="79" customFormat="1" ht="15" customHeight="1" x14ac:dyDescent="0.25"/>
    <row r="520" s="79" customFormat="1" ht="15" customHeight="1" x14ac:dyDescent="0.25"/>
    <row r="521" s="79" customFormat="1" ht="15" customHeight="1" x14ac:dyDescent="0.25"/>
    <row r="522" s="79" customFormat="1" ht="15" customHeight="1" x14ac:dyDescent="0.25"/>
    <row r="523" s="79" customFormat="1" ht="15" customHeight="1" x14ac:dyDescent="0.25"/>
    <row r="524" s="79" customFormat="1" ht="15" customHeight="1" x14ac:dyDescent="0.25"/>
    <row r="525" s="79" customFormat="1" ht="15" customHeight="1" x14ac:dyDescent="0.25"/>
    <row r="526" s="79" customFormat="1" ht="15" customHeight="1" x14ac:dyDescent="0.25"/>
    <row r="527" s="79" customFormat="1" ht="15" customHeight="1" x14ac:dyDescent="0.25"/>
    <row r="528" s="79" customFormat="1" ht="15" customHeight="1" x14ac:dyDescent="0.25"/>
    <row r="529" s="79" customFormat="1" ht="15" customHeight="1" x14ac:dyDescent="0.25"/>
    <row r="530" s="79" customFormat="1" ht="15" customHeight="1" x14ac:dyDescent="0.25"/>
    <row r="531" s="79" customFormat="1" ht="15" customHeight="1" x14ac:dyDescent="0.25"/>
    <row r="532" s="79" customFormat="1" ht="15" customHeight="1" x14ac:dyDescent="0.25"/>
    <row r="533" s="79" customFormat="1" ht="15" customHeight="1" x14ac:dyDescent="0.25"/>
    <row r="534" s="79" customFormat="1" ht="15" customHeight="1" x14ac:dyDescent="0.25"/>
    <row r="535" s="79" customFormat="1" ht="15" customHeight="1" x14ac:dyDescent="0.25"/>
    <row r="536" s="79" customFormat="1" ht="15" customHeight="1" x14ac:dyDescent="0.25"/>
    <row r="537" s="79" customFormat="1" ht="15" customHeight="1" x14ac:dyDescent="0.25"/>
    <row r="538" s="79" customFormat="1" ht="15" customHeight="1" x14ac:dyDescent="0.25"/>
    <row r="539" s="79" customFormat="1" ht="15" customHeight="1" x14ac:dyDescent="0.25"/>
    <row r="540" s="79" customFormat="1" ht="15" customHeight="1" x14ac:dyDescent="0.25"/>
    <row r="541" s="79" customFormat="1" ht="15" customHeight="1" x14ac:dyDescent="0.25"/>
    <row r="542" s="79" customFormat="1" ht="15" customHeight="1" x14ac:dyDescent="0.25"/>
    <row r="543" s="79" customFormat="1" ht="15" customHeight="1" x14ac:dyDescent="0.25"/>
    <row r="544" s="79" customFormat="1" ht="15" customHeight="1" x14ac:dyDescent="0.25"/>
    <row r="545" s="79" customFormat="1" ht="15" customHeight="1" x14ac:dyDescent="0.25"/>
    <row r="546" s="79" customFormat="1" ht="15" customHeight="1" x14ac:dyDescent="0.25"/>
    <row r="547" s="79" customFormat="1" ht="15" customHeight="1" x14ac:dyDescent="0.25"/>
    <row r="548" s="79" customFormat="1" ht="15" customHeight="1" x14ac:dyDescent="0.25"/>
    <row r="549" s="79" customFormat="1" ht="15" customHeight="1" x14ac:dyDescent="0.25"/>
    <row r="550" s="79" customFormat="1" ht="15" customHeight="1" x14ac:dyDescent="0.25"/>
    <row r="551" s="79" customFormat="1" ht="15" customHeight="1" x14ac:dyDescent="0.25"/>
    <row r="552" s="79" customFormat="1" ht="15" customHeight="1" x14ac:dyDescent="0.25"/>
    <row r="553" s="79" customFormat="1" ht="15" customHeight="1" x14ac:dyDescent="0.25"/>
    <row r="554" s="79" customFormat="1" ht="15" customHeight="1" x14ac:dyDescent="0.25"/>
    <row r="555" s="79" customFormat="1" ht="15" customHeight="1" x14ac:dyDescent="0.25"/>
    <row r="556" s="79" customFormat="1" ht="15" customHeight="1" x14ac:dyDescent="0.25"/>
    <row r="557" s="79" customFormat="1" ht="15" customHeight="1" x14ac:dyDescent="0.25"/>
    <row r="558" s="79" customFormat="1" ht="15" customHeight="1" x14ac:dyDescent="0.25"/>
    <row r="559" s="79" customFormat="1" ht="15" customHeight="1" x14ac:dyDescent="0.25"/>
    <row r="560" s="79" customFormat="1" ht="15" customHeight="1" x14ac:dyDescent="0.25"/>
    <row r="561" s="79" customFormat="1" ht="15" customHeight="1" x14ac:dyDescent="0.25"/>
    <row r="562" s="79" customFormat="1" ht="15" customHeight="1" x14ac:dyDescent="0.25"/>
    <row r="563" s="79" customFormat="1" ht="15" customHeight="1" x14ac:dyDescent="0.25"/>
    <row r="564" s="79" customFormat="1" ht="15" customHeight="1" x14ac:dyDescent="0.25"/>
    <row r="565" s="79" customFormat="1" ht="15" customHeight="1" x14ac:dyDescent="0.25"/>
    <row r="566" s="79" customFormat="1" ht="15" customHeight="1" x14ac:dyDescent="0.25"/>
    <row r="567" s="79" customFormat="1" ht="15" customHeight="1" x14ac:dyDescent="0.25"/>
    <row r="568" s="79" customFormat="1" ht="15" customHeight="1" x14ac:dyDescent="0.25"/>
    <row r="569" s="79" customFormat="1" ht="15" customHeight="1" x14ac:dyDescent="0.25"/>
    <row r="570" s="79" customFormat="1" ht="15" customHeight="1" x14ac:dyDescent="0.25"/>
    <row r="571" s="79" customFormat="1" ht="15" customHeight="1" x14ac:dyDescent="0.25"/>
    <row r="572" s="79" customFormat="1" ht="15" customHeight="1" x14ac:dyDescent="0.25"/>
    <row r="573" s="79" customFormat="1" ht="15" customHeight="1" x14ac:dyDescent="0.25"/>
    <row r="574" s="79" customFormat="1" ht="15" customHeight="1" x14ac:dyDescent="0.25"/>
    <row r="575" s="79" customFormat="1" ht="15" customHeight="1" x14ac:dyDescent="0.25"/>
    <row r="576" s="79" customFormat="1" ht="15" customHeight="1" x14ac:dyDescent="0.25"/>
    <row r="577" s="79" customFormat="1" ht="15" customHeight="1" x14ac:dyDescent="0.25"/>
    <row r="578" s="79" customFormat="1" ht="15" customHeight="1" x14ac:dyDescent="0.25"/>
    <row r="579" s="79" customFormat="1" ht="15" customHeight="1" x14ac:dyDescent="0.25"/>
    <row r="580" s="79" customFormat="1" ht="15" customHeight="1" x14ac:dyDescent="0.25"/>
    <row r="581" s="79" customFormat="1" ht="15" customHeight="1" x14ac:dyDescent="0.25"/>
    <row r="582" s="79" customFormat="1" ht="15" customHeight="1" x14ac:dyDescent="0.25"/>
    <row r="583" s="79" customFormat="1" ht="15" customHeight="1" x14ac:dyDescent="0.25"/>
    <row r="584" s="79" customFormat="1" ht="15" customHeight="1" x14ac:dyDescent="0.25"/>
    <row r="585" s="79" customFormat="1" ht="15" customHeight="1" x14ac:dyDescent="0.25"/>
    <row r="586" s="79" customFormat="1" ht="15" customHeight="1" x14ac:dyDescent="0.25"/>
    <row r="587" s="79" customFormat="1" ht="15" customHeight="1" x14ac:dyDescent="0.25"/>
    <row r="588" s="79" customFormat="1" ht="15" customHeight="1" x14ac:dyDescent="0.25"/>
    <row r="589" s="79" customFormat="1" ht="15" customHeight="1" x14ac:dyDescent="0.25"/>
    <row r="590" s="79" customFormat="1" ht="15" customHeight="1" x14ac:dyDescent="0.25"/>
    <row r="591" s="79" customFormat="1" ht="15" customHeight="1" x14ac:dyDescent="0.25"/>
    <row r="592" s="79" customFormat="1" ht="15" customHeight="1" x14ac:dyDescent="0.25"/>
    <row r="593" s="79" customFormat="1" ht="15" customHeight="1" x14ac:dyDescent="0.25"/>
    <row r="594" s="79" customFormat="1" ht="15" customHeight="1" x14ac:dyDescent="0.25"/>
    <row r="595" s="79" customFormat="1" ht="15" customHeight="1" x14ac:dyDescent="0.25"/>
    <row r="596" s="79" customFormat="1" ht="15" customHeight="1" x14ac:dyDescent="0.25"/>
    <row r="597" s="79" customFormat="1" ht="15" customHeight="1" x14ac:dyDescent="0.25"/>
    <row r="598" s="79" customFormat="1" ht="15" customHeight="1" x14ac:dyDescent="0.25"/>
    <row r="599" s="79" customFormat="1" ht="15" customHeight="1" x14ac:dyDescent="0.25"/>
    <row r="600" s="79" customFormat="1" ht="15" customHeight="1" x14ac:dyDescent="0.25"/>
    <row r="601" s="79" customFormat="1" ht="15" customHeight="1" x14ac:dyDescent="0.25"/>
    <row r="602" s="79" customFormat="1" ht="15" customHeight="1" x14ac:dyDescent="0.25"/>
    <row r="603" s="79" customFormat="1" ht="15" customHeight="1" x14ac:dyDescent="0.25"/>
    <row r="604" s="79" customFormat="1" ht="15" customHeight="1" x14ac:dyDescent="0.25"/>
    <row r="605" s="79" customFormat="1" ht="15" customHeight="1" x14ac:dyDescent="0.25"/>
    <row r="606" s="79" customFormat="1" ht="15" customHeight="1" x14ac:dyDescent="0.25"/>
    <row r="607" s="79" customFormat="1" ht="15" customHeight="1" x14ac:dyDescent="0.25"/>
    <row r="608" s="79" customFormat="1" ht="15" customHeight="1" x14ac:dyDescent="0.25"/>
    <row r="609" s="79" customFormat="1" ht="15" customHeight="1" x14ac:dyDescent="0.25"/>
    <row r="610" s="79" customFormat="1" ht="15" customHeight="1" x14ac:dyDescent="0.25"/>
    <row r="611" s="79" customFormat="1" ht="15" customHeight="1" x14ac:dyDescent="0.25"/>
    <row r="612" s="79" customFormat="1" ht="15" customHeight="1" x14ac:dyDescent="0.25"/>
    <row r="613" s="79" customFormat="1" ht="15" customHeight="1" x14ac:dyDescent="0.25"/>
    <row r="614" s="79" customFormat="1" ht="15" customHeight="1" x14ac:dyDescent="0.25"/>
    <row r="615" s="79" customFormat="1" ht="15" customHeight="1" x14ac:dyDescent="0.25"/>
    <row r="616" s="79" customFormat="1" ht="15" customHeight="1" x14ac:dyDescent="0.25"/>
    <row r="617" s="79" customFormat="1" ht="15" customHeight="1" x14ac:dyDescent="0.25"/>
    <row r="618" s="79" customFormat="1" ht="15" customHeight="1" x14ac:dyDescent="0.25"/>
    <row r="619" s="79" customFormat="1" ht="15" customHeight="1" x14ac:dyDescent="0.25"/>
    <row r="620" s="79" customFormat="1" ht="15" customHeight="1" x14ac:dyDescent="0.25"/>
    <row r="621" s="79" customFormat="1" ht="15" customHeight="1" x14ac:dyDescent="0.25"/>
    <row r="622" s="79" customFormat="1" ht="15" customHeight="1" x14ac:dyDescent="0.25"/>
    <row r="623" s="79" customFormat="1" ht="15" customHeight="1" x14ac:dyDescent="0.25"/>
    <row r="624" s="79" customFormat="1" ht="15" customHeight="1" x14ac:dyDescent="0.25"/>
    <row r="625" s="79" customFormat="1" ht="15" customHeight="1" x14ac:dyDescent="0.25"/>
    <row r="626" s="79" customFormat="1" ht="15" customHeight="1" x14ac:dyDescent="0.25"/>
    <row r="627" s="79" customFormat="1" ht="15" customHeight="1" x14ac:dyDescent="0.25"/>
    <row r="628" s="79" customFormat="1" ht="15" customHeight="1" x14ac:dyDescent="0.25"/>
    <row r="629" s="79" customFormat="1" ht="15" customHeight="1" x14ac:dyDescent="0.25"/>
    <row r="630" s="79" customFormat="1" ht="15" customHeight="1" x14ac:dyDescent="0.25"/>
    <row r="631" s="79" customFormat="1" ht="15" customHeight="1" x14ac:dyDescent="0.25"/>
    <row r="632" s="79" customFormat="1" ht="15" customHeight="1" x14ac:dyDescent="0.25"/>
    <row r="633" s="79" customFormat="1" ht="15" customHeight="1" x14ac:dyDescent="0.25"/>
    <row r="634" s="79" customFormat="1" ht="15" customHeight="1" x14ac:dyDescent="0.25"/>
    <row r="635" s="79" customFormat="1" ht="15" customHeight="1" x14ac:dyDescent="0.25"/>
    <row r="636" s="79" customFormat="1" ht="15" customHeight="1" x14ac:dyDescent="0.25"/>
    <row r="637" s="79" customFormat="1" ht="15" customHeight="1" x14ac:dyDescent="0.25"/>
    <row r="638" s="79" customFormat="1" ht="15" customHeight="1" x14ac:dyDescent="0.25"/>
    <row r="639" s="79" customFormat="1" ht="15" customHeight="1" x14ac:dyDescent="0.25"/>
    <row r="640" s="79" customFormat="1" ht="15" customHeight="1" x14ac:dyDescent="0.25"/>
    <row r="641" s="79" customFormat="1" ht="15" customHeight="1" x14ac:dyDescent="0.25"/>
    <row r="642" s="79" customFormat="1" ht="15" customHeight="1" x14ac:dyDescent="0.25"/>
    <row r="643" s="79" customFormat="1" ht="15" customHeight="1" x14ac:dyDescent="0.25"/>
    <row r="644" s="79" customFormat="1" ht="15" customHeight="1" x14ac:dyDescent="0.25"/>
    <row r="645" s="79" customFormat="1" ht="15" customHeight="1" x14ac:dyDescent="0.25"/>
    <row r="646" s="79" customFormat="1" ht="15" customHeight="1" x14ac:dyDescent="0.25"/>
    <row r="647" s="79" customFormat="1" ht="15" customHeight="1" x14ac:dyDescent="0.25"/>
    <row r="648" s="79" customFormat="1" ht="15" customHeight="1" x14ac:dyDescent="0.25"/>
    <row r="649" s="79" customFormat="1" ht="15" customHeight="1" x14ac:dyDescent="0.25"/>
    <row r="650" s="79" customFormat="1" ht="15" customHeight="1" x14ac:dyDescent="0.25"/>
    <row r="651" s="79" customFormat="1" ht="15" customHeight="1" x14ac:dyDescent="0.25"/>
    <row r="652" s="79" customFormat="1" ht="15" customHeight="1" x14ac:dyDescent="0.25"/>
    <row r="653" s="79" customFormat="1" ht="15" customHeight="1" x14ac:dyDescent="0.25"/>
    <row r="654" s="79" customFormat="1" ht="15" customHeight="1" x14ac:dyDescent="0.25"/>
    <row r="655" s="79" customFormat="1" ht="15" customHeight="1" x14ac:dyDescent="0.25"/>
    <row r="656" s="79" customFormat="1" ht="15" customHeight="1" x14ac:dyDescent="0.25"/>
    <row r="657" s="79" customFormat="1" ht="15" customHeight="1" x14ac:dyDescent="0.25"/>
    <row r="658" s="79" customFormat="1" ht="15" customHeight="1" x14ac:dyDescent="0.25"/>
    <row r="659" s="79" customFormat="1" ht="15" customHeight="1" x14ac:dyDescent="0.25"/>
    <row r="660" s="79" customFormat="1" ht="15" customHeight="1" x14ac:dyDescent="0.25"/>
    <row r="661" s="79" customFormat="1" ht="15" customHeight="1" x14ac:dyDescent="0.25"/>
    <row r="662" s="79" customFormat="1" ht="15" customHeight="1" x14ac:dyDescent="0.25"/>
    <row r="663" s="79" customFormat="1" ht="15" customHeight="1" x14ac:dyDescent="0.25"/>
    <row r="664" s="79" customFormat="1" ht="15" customHeight="1" x14ac:dyDescent="0.25"/>
    <row r="665" s="79" customFormat="1" ht="15" customHeight="1" x14ac:dyDescent="0.25"/>
    <row r="666" s="79" customFormat="1" ht="15" customHeight="1" x14ac:dyDescent="0.25"/>
    <row r="667" s="79" customFormat="1" ht="15" customHeight="1" x14ac:dyDescent="0.25"/>
    <row r="668" s="79" customFormat="1" ht="15" customHeight="1" x14ac:dyDescent="0.25"/>
    <row r="669" s="79" customFormat="1" ht="15" customHeight="1" x14ac:dyDescent="0.25"/>
    <row r="670" s="79" customFormat="1" ht="15" customHeight="1" x14ac:dyDescent="0.25"/>
    <row r="671" s="79" customFormat="1" ht="15" customHeight="1" x14ac:dyDescent="0.25"/>
    <row r="672" s="79" customFormat="1" ht="15" customHeight="1" x14ac:dyDescent="0.25"/>
    <row r="673" s="79" customFormat="1" ht="15" customHeight="1" x14ac:dyDescent="0.25"/>
    <row r="674" s="79" customFormat="1" ht="15" customHeight="1" x14ac:dyDescent="0.25"/>
    <row r="675" s="79" customFormat="1" ht="15" customHeight="1" x14ac:dyDescent="0.25"/>
    <row r="676" s="79" customFormat="1" ht="15" customHeight="1" x14ac:dyDescent="0.25"/>
    <row r="677" s="79" customFormat="1" ht="15" customHeight="1" x14ac:dyDescent="0.25"/>
    <row r="678" s="79" customFormat="1" ht="15" customHeight="1" x14ac:dyDescent="0.25"/>
    <row r="679" s="79" customFormat="1" ht="15" customHeight="1" x14ac:dyDescent="0.25"/>
    <row r="680" s="79" customFormat="1" ht="15" customHeight="1" x14ac:dyDescent="0.25"/>
    <row r="681" s="79" customFormat="1" ht="15" customHeight="1" x14ac:dyDescent="0.25"/>
    <row r="682" s="79" customFormat="1" ht="15" customHeight="1" x14ac:dyDescent="0.25"/>
    <row r="683" s="79" customFormat="1" ht="15" customHeight="1" x14ac:dyDescent="0.25"/>
    <row r="684" s="79" customFormat="1" ht="15" customHeight="1" x14ac:dyDescent="0.25"/>
    <row r="685" s="79" customFormat="1" ht="15" customHeight="1" x14ac:dyDescent="0.25"/>
    <row r="686" s="79" customFormat="1" ht="15" customHeight="1" x14ac:dyDescent="0.25"/>
    <row r="687" s="79" customFormat="1" ht="15" customHeight="1" x14ac:dyDescent="0.25"/>
    <row r="688" s="79" customFormat="1" ht="15" customHeight="1" x14ac:dyDescent="0.25"/>
    <row r="689" s="79" customFormat="1" ht="15" customHeight="1" x14ac:dyDescent="0.25"/>
    <row r="690" s="79" customFormat="1" ht="15" customHeight="1" x14ac:dyDescent="0.25"/>
    <row r="691" s="79" customFormat="1" ht="15" customHeight="1" x14ac:dyDescent="0.25"/>
    <row r="692" s="79" customFormat="1" ht="15" customHeight="1" x14ac:dyDescent="0.25"/>
    <row r="693" s="79" customFormat="1" ht="15" customHeight="1" x14ac:dyDescent="0.25"/>
    <row r="694" s="79" customFormat="1" ht="15" customHeight="1" x14ac:dyDescent="0.25"/>
    <row r="695" s="79" customFormat="1" ht="15" customHeight="1" x14ac:dyDescent="0.25"/>
    <row r="696" s="79" customFormat="1" ht="15" customHeight="1" x14ac:dyDescent="0.25"/>
    <row r="697" s="79" customFormat="1" ht="15" customHeight="1" x14ac:dyDescent="0.25"/>
    <row r="698" s="79" customFormat="1" ht="15" customHeight="1" x14ac:dyDescent="0.25"/>
    <row r="699" s="79" customFormat="1" ht="15" customHeight="1" x14ac:dyDescent="0.25"/>
    <row r="700" s="79" customFormat="1" ht="15" customHeight="1" x14ac:dyDescent="0.25"/>
    <row r="701" s="79" customFormat="1" ht="15" customHeight="1" x14ac:dyDescent="0.25"/>
    <row r="702" s="79" customFormat="1" ht="15" customHeight="1" x14ac:dyDescent="0.25"/>
    <row r="703" s="79" customFormat="1" ht="15" customHeight="1" x14ac:dyDescent="0.25"/>
    <row r="704" s="79" customFormat="1" ht="15" customHeight="1" x14ac:dyDescent="0.25"/>
    <row r="705" s="79" customFormat="1" ht="15" customHeight="1" x14ac:dyDescent="0.25"/>
    <row r="706" s="79" customFormat="1" ht="15" customHeight="1" x14ac:dyDescent="0.25"/>
    <row r="707" s="79" customFormat="1" ht="15" customHeight="1" x14ac:dyDescent="0.25"/>
    <row r="708" s="79" customFormat="1" ht="15" customHeight="1" x14ac:dyDescent="0.25"/>
    <row r="709" s="79" customFormat="1" ht="15" customHeight="1" x14ac:dyDescent="0.25"/>
    <row r="710" s="79" customFormat="1" ht="15" customHeight="1" x14ac:dyDescent="0.25"/>
    <row r="711" s="79" customFormat="1" ht="15" customHeight="1" x14ac:dyDescent="0.25"/>
    <row r="712" s="79" customFormat="1" ht="15" customHeight="1" x14ac:dyDescent="0.25"/>
    <row r="713" s="79" customFormat="1" ht="15" customHeight="1" x14ac:dyDescent="0.25"/>
    <row r="714" s="79" customFormat="1" ht="15" customHeight="1" x14ac:dyDescent="0.25"/>
    <row r="715" s="79" customFormat="1" ht="15" customHeight="1" x14ac:dyDescent="0.25"/>
    <row r="716" s="79" customFormat="1" ht="15" customHeight="1" x14ac:dyDescent="0.25"/>
    <row r="717" s="79" customFormat="1" ht="15" customHeight="1" x14ac:dyDescent="0.25"/>
    <row r="718" s="79" customFormat="1" ht="15" customHeight="1" x14ac:dyDescent="0.25"/>
    <row r="719" s="79" customFormat="1" ht="15" customHeight="1" x14ac:dyDescent="0.25"/>
    <row r="720" s="79" customFormat="1" ht="15" customHeight="1" x14ac:dyDescent="0.25"/>
    <row r="721" s="79" customFormat="1" ht="15" customHeight="1" x14ac:dyDescent="0.25"/>
    <row r="722" s="79" customFormat="1" ht="15" customHeight="1" x14ac:dyDescent="0.25"/>
    <row r="723" s="79" customFormat="1" ht="15" customHeight="1" x14ac:dyDescent="0.25"/>
    <row r="724" s="79" customFormat="1" ht="15" customHeight="1" x14ac:dyDescent="0.25"/>
    <row r="725" s="79" customFormat="1" ht="15" customHeight="1" x14ac:dyDescent="0.25"/>
    <row r="726" s="79" customFormat="1" ht="15" customHeight="1" x14ac:dyDescent="0.25"/>
    <row r="727" s="79" customFormat="1" ht="15" customHeight="1" x14ac:dyDescent="0.25"/>
    <row r="728" s="79" customFormat="1" ht="15" customHeight="1" x14ac:dyDescent="0.25"/>
    <row r="729" s="79" customFormat="1" ht="15" customHeight="1" x14ac:dyDescent="0.25"/>
    <row r="730" s="79" customFormat="1" ht="15" customHeight="1" x14ac:dyDescent="0.25"/>
    <row r="731" s="79" customFormat="1" ht="15" customHeight="1" x14ac:dyDescent="0.25"/>
    <row r="732" s="79" customFormat="1" ht="15" customHeight="1" x14ac:dyDescent="0.25"/>
    <row r="733" s="79" customFormat="1" ht="15" customHeight="1" x14ac:dyDescent="0.25"/>
    <row r="734" s="79" customFormat="1" ht="15" customHeight="1" x14ac:dyDescent="0.25"/>
    <row r="735" s="79" customFormat="1" ht="15" customHeight="1" x14ac:dyDescent="0.25"/>
    <row r="736" s="79" customFormat="1" ht="15" customHeight="1" x14ac:dyDescent="0.25"/>
    <row r="737" s="79" customFormat="1" ht="15" customHeight="1" x14ac:dyDescent="0.25"/>
    <row r="738" s="79" customFormat="1" ht="15" customHeight="1" x14ac:dyDescent="0.25"/>
    <row r="739" s="79" customFormat="1" ht="15" customHeight="1" x14ac:dyDescent="0.25"/>
    <row r="740" s="79" customFormat="1" ht="15" customHeight="1" x14ac:dyDescent="0.25"/>
    <row r="741" s="79" customFormat="1" ht="15" customHeight="1" x14ac:dyDescent="0.25"/>
    <row r="742" s="79" customFormat="1" ht="15" customHeight="1" x14ac:dyDescent="0.25"/>
    <row r="743" s="79" customFormat="1" ht="15" customHeight="1" x14ac:dyDescent="0.25"/>
    <row r="744" s="79" customFormat="1" ht="15" customHeight="1" x14ac:dyDescent="0.25"/>
    <row r="745" s="79" customFormat="1" ht="15" customHeight="1" x14ac:dyDescent="0.25"/>
    <row r="746" s="79" customFormat="1" ht="15" customHeight="1" x14ac:dyDescent="0.25"/>
    <row r="747" s="79" customFormat="1" ht="15" customHeight="1" x14ac:dyDescent="0.25"/>
    <row r="748" s="79" customFormat="1" ht="15" customHeight="1" x14ac:dyDescent="0.25"/>
    <row r="749" s="79" customFormat="1" ht="15" customHeight="1" x14ac:dyDescent="0.25"/>
    <row r="750" s="79" customFormat="1" ht="15" customHeight="1" x14ac:dyDescent="0.25"/>
    <row r="751" s="79" customFormat="1" ht="15" customHeight="1" x14ac:dyDescent="0.25"/>
    <row r="752" s="79" customFormat="1" ht="15" customHeight="1" x14ac:dyDescent="0.25"/>
    <row r="753" s="79" customFormat="1" ht="15" customHeight="1" x14ac:dyDescent="0.25"/>
    <row r="754" s="79" customFormat="1" ht="15" customHeight="1" x14ac:dyDescent="0.25"/>
    <row r="755" s="79" customFormat="1" ht="15" customHeight="1" x14ac:dyDescent="0.25"/>
    <row r="756" s="79" customFormat="1" ht="15" customHeight="1" x14ac:dyDescent="0.25"/>
    <row r="757" s="79" customFormat="1" ht="15" customHeight="1" x14ac:dyDescent="0.25"/>
    <row r="758" s="79" customFormat="1" ht="15" customHeight="1" x14ac:dyDescent="0.25"/>
    <row r="759" s="79" customFormat="1" ht="15" customHeight="1" x14ac:dyDescent="0.25"/>
    <row r="760" s="79" customFormat="1" ht="15" customHeight="1" x14ac:dyDescent="0.25"/>
    <row r="761" s="79" customFormat="1" ht="15" customHeight="1" x14ac:dyDescent="0.25"/>
    <row r="762" s="79" customFormat="1" ht="15" customHeight="1" x14ac:dyDescent="0.25"/>
    <row r="763" s="79" customFormat="1" ht="15" customHeight="1" x14ac:dyDescent="0.25"/>
    <row r="764" s="79" customFormat="1" ht="15" customHeight="1" x14ac:dyDescent="0.25"/>
    <row r="765" s="79" customFormat="1" ht="15" customHeight="1" x14ac:dyDescent="0.25"/>
    <row r="766" s="79" customFormat="1" ht="15" customHeight="1" x14ac:dyDescent="0.25"/>
    <row r="767" s="79" customFormat="1" ht="15" customHeight="1" x14ac:dyDescent="0.25"/>
    <row r="768" s="79" customFormat="1" ht="15" customHeight="1" x14ac:dyDescent="0.25"/>
    <row r="769" s="79" customFormat="1" ht="15" customHeight="1" x14ac:dyDescent="0.25"/>
    <row r="770" s="79" customFormat="1" ht="15" customHeight="1" x14ac:dyDescent="0.25"/>
    <row r="771" s="79" customFormat="1" ht="15" customHeight="1" x14ac:dyDescent="0.25"/>
    <row r="772" s="79" customFormat="1" ht="15" customHeight="1" x14ac:dyDescent="0.25"/>
    <row r="773" s="79" customFormat="1" ht="15" customHeight="1" x14ac:dyDescent="0.25"/>
    <row r="774" s="79" customFormat="1" ht="15" customHeight="1" x14ac:dyDescent="0.25"/>
    <row r="775" s="79" customFormat="1" ht="15" customHeight="1" x14ac:dyDescent="0.25"/>
    <row r="776" s="79" customFormat="1" ht="15" customHeight="1" x14ac:dyDescent="0.25"/>
    <row r="777" s="79" customFormat="1" ht="15" customHeight="1" x14ac:dyDescent="0.25"/>
    <row r="778" s="79" customFormat="1" ht="15" customHeight="1" x14ac:dyDescent="0.25"/>
    <row r="779" s="79" customFormat="1" ht="15" customHeight="1" x14ac:dyDescent="0.25"/>
    <row r="780" s="79" customFormat="1" ht="15" customHeight="1" x14ac:dyDescent="0.25"/>
    <row r="781" s="79" customFormat="1" ht="15" customHeight="1" x14ac:dyDescent="0.25"/>
    <row r="782" s="79" customFormat="1" ht="15" customHeight="1" x14ac:dyDescent="0.25"/>
    <row r="783" s="79" customFormat="1" ht="15" customHeight="1" x14ac:dyDescent="0.25"/>
    <row r="784" s="79" customFormat="1" ht="15" customHeight="1" x14ac:dyDescent="0.25"/>
    <row r="785" s="79" customFormat="1" ht="15" customHeight="1" x14ac:dyDescent="0.25"/>
    <row r="786" s="79" customFormat="1" ht="15" customHeight="1" x14ac:dyDescent="0.25"/>
    <row r="787" s="79" customFormat="1" ht="15" customHeight="1" x14ac:dyDescent="0.25"/>
    <row r="788" s="79" customFormat="1" ht="15" customHeight="1" x14ac:dyDescent="0.25"/>
    <row r="789" s="79" customFormat="1" ht="15" customHeight="1" x14ac:dyDescent="0.25"/>
    <row r="790" s="79" customFormat="1" ht="15" customHeight="1" x14ac:dyDescent="0.25"/>
    <row r="791" s="79" customFormat="1" ht="15" customHeight="1" x14ac:dyDescent="0.25"/>
    <row r="792" s="79" customFormat="1" ht="15" customHeight="1" x14ac:dyDescent="0.25"/>
    <row r="793" s="79" customFormat="1" ht="15" customHeight="1" x14ac:dyDescent="0.25"/>
    <row r="794" s="79" customFormat="1" ht="15" customHeight="1" x14ac:dyDescent="0.25"/>
    <row r="795" s="79" customFormat="1" ht="15" customHeight="1" x14ac:dyDescent="0.25"/>
    <row r="796" s="79" customFormat="1" ht="15" customHeight="1" x14ac:dyDescent="0.25"/>
    <row r="797" s="79" customFormat="1" ht="15" customHeight="1" x14ac:dyDescent="0.25"/>
    <row r="798" s="79" customFormat="1" ht="15" customHeight="1" x14ac:dyDescent="0.25"/>
    <row r="799" s="79" customFormat="1" ht="15" customHeight="1" x14ac:dyDescent="0.25"/>
    <row r="800" s="79" customFormat="1" ht="15" customHeight="1" x14ac:dyDescent="0.25"/>
    <row r="801" s="79" customFormat="1" ht="15" customHeight="1" x14ac:dyDescent="0.25"/>
    <row r="802" s="79" customFormat="1" ht="15" customHeight="1" x14ac:dyDescent="0.25"/>
    <row r="803" s="79" customFormat="1" ht="15" customHeight="1" x14ac:dyDescent="0.25"/>
    <row r="804" s="79" customFormat="1" ht="15" customHeight="1" x14ac:dyDescent="0.25"/>
    <row r="805" s="79" customFormat="1" ht="15" customHeight="1" x14ac:dyDescent="0.25"/>
    <row r="806" s="79" customFormat="1" ht="15" customHeight="1" x14ac:dyDescent="0.25"/>
    <row r="807" s="79" customFormat="1" ht="15" customHeight="1" x14ac:dyDescent="0.25"/>
    <row r="808" s="79" customFormat="1" ht="15" customHeight="1" x14ac:dyDescent="0.25"/>
    <row r="809" s="79" customFormat="1" ht="15" customHeight="1" x14ac:dyDescent="0.25"/>
    <row r="810" s="79" customFormat="1" ht="15" customHeight="1" x14ac:dyDescent="0.25"/>
    <row r="811" s="79" customFormat="1" ht="15" customHeight="1" x14ac:dyDescent="0.25"/>
    <row r="812" s="79" customFormat="1" ht="15" customHeight="1" x14ac:dyDescent="0.25"/>
    <row r="813" s="79" customFormat="1" ht="15" customHeight="1" x14ac:dyDescent="0.25"/>
    <row r="814" s="79" customFormat="1" ht="15" customHeight="1" x14ac:dyDescent="0.25"/>
    <row r="815" s="79" customFormat="1" ht="15" customHeight="1" x14ac:dyDescent="0.25"/>
    <row r="816" s="79" customFormat="1" ht="15" customHeight="1" x14ac:dyDescent="0.25"/>
    <row r="817" s="79" customFormat="1" ht="15" customHeight="1" x14ac:dyDescent="0.25"/>
    <row r="818" s="79" customFormat="1" ht="15" customHeight="1" x14ac:dyDescent="0.25"/>
    <row r="819" s="79" customFormat="1" ht="15" customHeight="1" x14ac:dyDescent="0.25"/>
    <row r="820" s="79" customFormat="1" ht="15" customHeight="1" x14ac:dyDescent="0.25"/>
    <row r="821" s="79" customFormat="1" ht="15" customHeight="1" x14ac:dyDescent="0.25"/>
    <row r="822" s="79" customFormat="1" ht="15" customHeight="1" x14ac:dyDescent="0.25"/>
    <row r="823" s="79" customFormat="1" ht="15" customHeight="1" x14ac:dyDescent="0.25"/>
    <row r="824" s="79" customFormat="1" ht="15" customHeight="1" x14ac:dyDescent="0.25"/>
    <row r="825" s="79" customFormat="1" ht="15" customHeight="1" x14ac:dyDescent="0.25"/>
    <row r="826" s="79" customFormat="1" ht="15" customHeight="1" x14ac:dyDescent="0.25"/>
    <row r="827" s="79" customFormat="1" ht="15" customHeight="1" x14ac:dyDescent="0.25"/>
    <row r="828" s="79" customFormat="1" ht="15" customHeight="1" x14ac:dyDescent="0.25"/>
    <row r="829" s="79" customFormat="1" ht="15" customHeight="1" x14ac:dyDescent="0.25"/>
    <row r="830" s="79" customFormat="1" ht="15" customHeight="1" x14ac:dyDescent="0.25"/>
    <row r="831" s="79" customFormat="1" ht="15" customHeight="1" x14ac:dyDescent="0.25"/>
    <row r="832" s="79" customFormat="1" ht="15" customHeight="1" x14ac:dyDescent="0.25"/>
    <row r="833" s="79" customFormat="1" ht="15" customHeight="1" x14ac:dyDescent="0.25"/>
    <row r="834" s="79" customFormat="1" ht="15" customHeight="1" x14ac:dyDescent="0.25"/>
    <row r="835" s="79" customFormat="1" ht="15" customHeight="1" x14ac:dyDescent="0.25"/>
    <row r="836" s="79" customFormat="1" ht="15" customHeight="1" x14ac:dyDescent="0.25"/>
    <row r="837" s="79" customFormat="1" ht="15" customHeight="1" x14ac:dyDescent="0.25"/>
    <row r="838" s="79" customFormat="1" ht="15" customHeight="1" x14ac:dyDescent="0.25"/>
    <row r="839" s="79" customFormat="1" ht="15" customHeight="1" x14ac:dyDescent="0.25"/>
    <row r="840" s="79" customFormat="1" ht="15" customHeight="1" x14ac:dyDescent="0.25"/>
    <row r="841" s="79" customFormat="1" ht="15" customHeight="1" x14ac:dyDescent="0.25"/>
    <row r="842" s="79" customFormat="1" ht="15" customHeight="1" x14ac:dyDescent="0.25"/>
    <row r="843" s="79" customFormat="1" ht="15" customHeight="1" x14ac:dyDescent="0.25"/>
    <row r="844" s="79" customFormat="1" ht="15" customHeight="1" x14ac:dyDescent="0.25"/>
    <row r="845" s="79" customFormat="1" ht="15" customHeight="1" x14ac:dyDescent="0.25"/>
    <row r="846" s="79" customFormat="1" ht="15" customHeight="1" x14ac:dyDescent="0.25"/>
    <row r="847" s="79" customFormat="1" ht="15" customHeight="1" x14ac:dyDescent="0.25"/>
    <row r="848" s="79" customFormat="1" ht="15" customHeight="1" x14ac:dyDescent="0.25"/>
    <row r="849" s="79" customFormat="1" ht="15" customHeight="1" x14ac:dyDescent="0.25"/>
    <row r="850" s="79" customFormat="1" ht="15" customHeight="1" x14ac:dyDescent="0.25"/>
    <row r="851" s="79" customFormat="1" ht="15" customHeight="1" x14ac:dyDescent="0.25"/>
    <row r="852" s="79" customFormat="1" ht="15" customHeight="1" x14ac:dyDescent="0.25"/>
    <row r="853" s="79" customFormat="1" ht="15" customHeight="1" x14ac:dyDescent="0.25"/>
    <row r="854" s="79" customFormat="1" ht="15" customHeight="1" x14ac:dyDescent="0.25"/>
    <row r="855" s="79" customFormat="1" ht="15" customHeight="1" x14ac:dyDescent="0.25"/>
    <row r="856" s="79" customFormat="1" ht="15" customHeight="1" x14ac:dyDescent="0.25"/>
    <row r="857" s="79" customFormat="1" ht="15" customHeight="1" x14ac:dyDescent="0.25"/>
    <row r="858" s="79" customFormat="1" ht="15" customHeight="1" x14ac:dyDescent="0.25"/>
    <row r="859" s="79" customFormat="1" ht="15" customHeight="1" x14ac:dyDescent="0.25"/>
    <row r="860" s="79" customFormat="1" ht="15" customHeight="1" x14ac:dyDescent="0.25"/>
    <row r="861" s="79" customFormat="1" ht="15" customHeight="1" x14ac:dyDescent="0.25"/>
    <row r="862" s="79" customFormat="1" ht="15" customHeight="1" x14ac:dyDescent="0.25"/>
    <row r="863" s="79" customFormat="1" ht="15" customHeight="1" x14ac:dyDescent="0.25"/>
    <row r="864" s="79" customFormat="1" ht="15" customHeight="1" x14ac:dyDescent="0.25"/>
    <row r="865" s="79" customFormat="1" ht="15" customHeight="1" x14ac:dyDescent="0.25"/>
    <row r="866" s="79" customFormat="1" ht="15" customHeight="1" x14ac:dyDescent="0.25"/>
    <row r="867" s="79" customFormat="1" ht="15" customHeight="1" x14ac:dyDescent="0.25"/>
    <row r="868" s="79" customFormat="1" ht="15" customHeight="1" x14ac:dyDescent="0.25"/>
    <row r="869" s="79" customFormat="1" ht="15" customHeight="1" x14ac:dyDescent="0.25"/>
    <row r="870" s="79" customFormat="1" ht="15" customHeight="1" x14ac:dyDescent="0.25"/>
    <row r="871" s="79" customFormat="1" ht="15" customHeight="1" x14ac:dyDescent="0.25"/>
    <row r="872" s="79" customFormat="1" ht="15" customHeight="1" x14ac:dyDescent="0.25"/>
    <row r="873" s="79" customFormat="1" ht="15" customHeight="1" x14ac:dyDescent="0.25"/>
    <row r="874" s="79" customFormat="1" ht="15" customHeight="1" x14ac:dyDescent="0.25"/>
    <row r="875" s="79" customFormat="1" ht="15" customHeight="1" x14ac:dyDescent="0.25"/>
    <row r="876" s="79" customFormat="1" ht="15" customHeight="1" x14ac:dyDescent="0.25"/>
    <row r="877" s="79" customFormat="1" ht="15" customHeight="1" x14ac:dyDescent="0.25"/>
    <row r="878" s="79" customFormat="1" ht="15" customHeight="1" x14ac:dyDescent="0.25"/>
    <row r="879" s="79" customFormat="1" ht="15" customHeight="1" x14ac:dyDescent="0.25"/>
    <row r="880" s="79" customFormat="1" ht="15" customHeight="1" x14ac:dyDescent="0.25"/>
    <row r="881" s="79" customFormat="1" ht="15" customHeight="1" x14ac:dyDescent="0.25"/>
    <row r="882" s="79" customFormat="1" ht="15" customHeight="1" x14ac:dyDescent="0.25"/>
    <row r="883" s="79" customFormat="1" ht="15" customHeight="1" x14ac:dyDescent="0.25"/>
    <row r="884" s="79" customFormat="1" ht="15" customHeight="1" x14ac:dyDescent="0.25"/>
    <row r="885" s="79" customFormat="1" ht="15" customHeight="1" x14ac:dyDescent="0.25"/>
    <row r="886" s="79" customFormat="1" ht="15" customHeight="1" x14ac:dyDescent="0.25"/>
    <row r="887" s="79" customFormat="1" ht="15" customHeight="1" x14ac:dyDescent="0.25"/>
    <row r="888" s="79" customFormat="1" ht="15" customHeight="1" x14ac:dyDescent="0.25"/>
    <row r="889" s="79" customFormat="1" ht="15" customHeight="1" x14ac:dyDescent="0.25"/>
    <row r="890" s="79" customFormat="1" ht="15" customHeight="1" x14ac:dyDescent="0.25"/>
    <row r="891" s="79" customFormat="1" ht="15" customHeight="1" x14ac:dyDescent="0.25"/>
    <row r="892" s="79" customFormat="1" ht="15" customHeight="1" x14ac:dyDescent="0.25"/>
    <row r="893" s="79" customFormat="1" ht="15" customHeight="1" x14ac:dyDescent="0.25"/>
    <row r="894" s="79" customFormat="1" ht="15" customHeight="1" x14ac:dyDescent="0.25"/>
    <row r="895" s="79" customFormat="1" ht="15" customHeight="1" x14ac:dyDescent="0.25"/>
    <row r="896" s="79" customFormat="1" ht="15" customHeight="1" x14ac:dyDescent="0.25"/>
    <row r="897" s="79" customFormat="1" ht="15" customHeight="1" x14ac:dyDescent="0.25"/>
    <row r="898" s="79" customFormat="1" ht="15" customHeight="1" x14ac:dyDescent="0.25"/>
    <row r="899" s="79" customFormat="1" ht="15" customHeight="1" x14ac:dyDescent="0.25"/>
    <row r="900" s="79" customFormat="1" ht="15" customHeight="1" x14ac:dyDescent="0.25"/>
    <row r="901" s="79" customFormat="1" ht="15" customHeight="1" x14ac:dyDescent="0.25"/>
    <row r="902" s="79" customFormat="1" ht="15" customHeight="1" x14ac:dyDescent="0.25"/>
    <row r="903" s="79" customFormat="1" ht="15" customHeight="1" x14ac:dyDescent="0.25"/>
    <row r="904" s="79" customFormat="1" ht="15" customHeight="1" x14ac:dyDescent="0.25"/>
    <row r="905" s="79" customFormat="1" ht="15" customHeight="1" x14ac:dyDescent="0.25"/>
    <row r="906" s="79" customFormat="1" ht="15" customHeight="1" x14ac:dyDescent="0.25"/>
    <row r="907" s="79" customFormat="1" ht="15" customHeight="1" x14ac:dyDescent="0.25"/>
    <row r="908" s="79" customFormat="1" ht="15" customHeight="1" x14ac:dyDescent="0.25"/>
    <row r="909" s="79" customFormat="1" ht="15" customHeight="1" x14ac:dyDescent="0.25"/>
    <row r="910" s="79" customFormat="1" ht="15" customHeight="1" x14ac:dyDescent="0.25"/>
    <row r="911" s="79" customFormat="1" ht="15" customHeight="1" x14ac:dyDescent="0.25"/>
    <row r="912" s="79" customFormat="1" ht="15" customHeight="1" x14ac:dyDescent="0.25"/>
    <row r="913" s="79" customFormat="1" ht="15" customHeight="1" x14ac:dyDescent="0.25"/>
    <row r="914" s="79" customFormat="1" ht="15" customHeight="1" x14ac:dyDescent="0.25"/>
    <row r="915" s="79" customFormat="1" ht="15" customHeight="1" x14ac:dyDescent="0.25"/>
    <row r="916" s="79" customFormat="1" ht="15" customHeight="1" x14ac:dyDescent="0.25"/>
    <row r="917" s="79" customFormat="1" ht="15" customHeight="1" x14ac:dyDescent="0.25"/>
    <row r="918" s="79" customFormat="1" ht="15" customHeight="1" x14ac:dyDescent="0.25"/>
    <row r="919" s="79" customFormat="1" ht="15" customHeight="1" x14ac:dyDescent="0.25"/>
    <row r="920" s="79" customFormat="1" ht="15" customHeight="1" x14ac:dyDescent="0.25"/>
    <row r="921" s="79" customFormat="1" ht="15" customHeight="1" x14ac:dyDescent="0.25"/>
    <row r="922" s="79" customFormat="1" ht="15" customHeight="1" x14ac:dyDescent="0.25"/>
    <row r="923" s="79" customFormat="1" ht="15" customHeight="1" x14ac:dyDescent="0.25"/>
    <row r="924" s="79" customFormat="1" ht="15" customHeight="1" x14ac:dyDescent="0.25"/>
    <row r="925" s="79" customFormat="1" ht="15" customHeight="1" x14ac:dyDescent="0.25"/>
    <row r="926" s="79" customFormat="1" ht="15" customHeight="1" x14ac:dyDescent="0.25"/>
    <row r="927" s="79" customFormat="1" ht="15" customHeight="1" x14ac:dyDescent="0.25"/>
    <row r="928" s="79" customFormat="1" ht="15" customHeight="1" x14ac:dyDescent="0.25"/>
    <row r="929" s="79" customFormat="1" ht="15" customHeight="1" x14ac:dyDescent="0.25"/>
    <row r="930" s="79" customFormat="1" ht="15" customHeight="1" x14ac:dyDescent="0.25"/>
    <row r="931" s="79" customFormat="1" ht="15" customHeight="1" x14ac:dyDescent="0.25"/>
    <row r="932" s="79" customFormat="1" ht="15" customHeight="1" x14ac:dyDescent="0.25"/>
    <row r="933" s="79" customFormat="1" ht="15" customHeight="1" x14ac:dyDescent="0.25"/>
    <row r="934" s="79" customFormat="1" ht="15" customHeight="1" x14ac:dyDescent="0.25"/>
    <row r="935" s="79" customFormat="1" ht="15" customHeight="1" x14ac:dyDescent="0.25"/>
    <row r="936" s="79" customFormat="1" ht="15" customHeight="1" x14ac:dyDescent="0.25"/>
    <row r="937" s="79" customFormat="1" ht="15" customHeight="1" x14ac:dyDescent="0.25"/>
    <row r="938" s="79" customFormat="1" ht="15" customHeight="1" x14ac:dyDescent="0.25"/>
    <row r="939" s="79" customFormat="1" ht="15" customHeight="1" x14ac:dyDescent="0.25"/>
    <row r="940" s="79" customFormat="1" ht="15" customHeight="1" x14ac:dyDescent="0.25"/>
    <row r="941" s="79" customFormat="1" ht="15" customHeight="1" x14ac:dyDescent="0.25"/>
    <row r="942" s="79" customFormat="1" ht="15" customHeight="1" x14ac:dyDescent="0.25"/>
    <row r="943" s="79" customFormat="1" ht="15" customHeight="1" x14ac:dyDescent="0.25"/>
    <row r="944" s="79" customFormat="1" ht="15" customHeight="1" x14ac:dyDescent="0.25"/>
    <row r="945" s="79" customFormat="1" ht="15" customHeight="1" x14ac:dyDescent="0.25"/>
    <row r="946" s="79" customFormat="1" ht="15" customHeight="1" x14ac:dyDescent="0.25"/>
    <row r="947" s="79" customFormat="1" ht="15" customHeight="1" x14ac:dyDescent="0.25"/>
    <row r="948" s="79" customFormat="1" ht="15" customHeight="1" x14ac:dyDescent="0.25"/>
    <row r="949" s="79" customFormat="1" ht="15" customHeight="1" x14ac:dyDescent="0.25"/>
    <row r="950" s="79" customFormat="1" ht="15" customHeight="1" x14ac:dyDescent="0.25"/>
    <row r="951" s="79" customFormat="1" ht="15" customHeight="1" x14ac:dyDescent="0.25"/>
    <row r="952" s="79" customFormat="1" ht="15" customHeight="1" x14ac:dyDescent="0.25"/>
    <row r="953" s="79" customFormat="1" ht="15" customHeight="1" x14ac:dyDescent="0.25"/>
    <row r="954" s="79" customFormat="1" ht="15" customHeight="1" x14ac:dyDescent="0.25"/>
    <row r="955" s="79" customFormat="1" ht="15" customHeight="1" x14ac:dyDescent="0.25"/>
    <row r="956" s="79" customFormat="1" ht="15" customHeight="1" x14ac:dyDescent="0.25"/>
    <row r="957" s="79" customFormat="1" ht="15" customHeight="1" x14ac:dyDescent="0.25"/>
    <row r="958" s="79" customFormat="1" ht="15" customHeight="1" x14ac:dyDescent="0.25"/>
    <row r="959" s="79" customFormat="1" ht="15" customHeight="1" x14ac:dyDescent="0.25"/>
    <row r="960" s="79" customFormat="1" ht="15" customHeight="1" x14ac:dyDescent="0.25"/>
    <row r="961" s="79" customFormat="1" ht="15" customHeight="1" x14ac:dyDescent="0.25"/>
    <row r="962" s="79" customFormat="1" ht="15" customHeight="1" x14ac:dyDescent="0.25"/>
    <row r="963" s="79" customFormat="1" ht="15" customHeight="1" x14ac:dyDescent="0.25"/>
    <row r="964" s="79" customFormat="1" ht="15" customHeight="1" x14ac:dyDescent="0.25"/>
    <row r="965" s="79" customFormat="1" ht="15" customHeight="1" x14ac:dyDescent="0.25"/>
    <row r="966" s="79" customFormat="1" ht="15" customHeight="1" x14ac:dyDescent="0.25"/>
    <row r="967" s="79" customFormat="1" ht="15" customHeight="1" x14ac:dyDescent="0.25"/>
    <row r="968" s="79" customFormat="1" ht="15" customHeight="1" x14ac:dyDescent="0.25"/>
    <row r="969" s="79" customFormat="1" ht="15" customHeight="1" x14ac:dyDescent="0.25"/>
    <row r="970" s="79" customFormat="1" ht="15" customHeight="1" x14ac:dyDescent="0.25"/>
    <row r="971" s="79" customFormat="1" ht="15" customHeight="1" x14ac:dyDescent="0.25"/>
    <row r="972" s="79" customFormat="1" ht="15" customHeight="1" x14ac:dyDescent="0.25"/>
    <row r="973" s="79" customFormat="1" ht="15" customHeight="1" x14ac:dyDescent="0.25"/>
    <row r="974" s="79" customFormat="1" ht="15" customHeight="1" x14ac:dyDescent="0.25"/>
    <row r="975" s="79" customFormat="1" ht="15" customHeight="1" x14ac:dyDescent="0.25"/>
    <row r="976" s="79" customFormat="1" ht="15" customHeight="1" x14ac:dyDescent="0.25"/>
    <row r="977" s="79" customFormat="1" ht="15" customHeight="1" x14ac:dyDescent="0.25"/>
    <row r="978" s="79" customFormat="1" ht="15" customHeight="1" x14ac:dyDescent="0.25"/>
    <row r="979" s="79" customFormat="1" ht="15" customHeight="1" x14ac:dyDescent="0.25"/>
    <row r="980" s="79" customFormat="1" ht="15" customHeight="1" x14ac:dyDescent="0.25"/>
    <row r="981" s="79" customFormat="1" ht="15" customHeight="1" x14ac:dyDescent="0.25"/>
    <row r="982" s="79" customFormat="1" ht="15" customHeight="1" x14ac:dyDescent="0.25"/>
    <row r="983" s="79" customFormat="1" ht="15" customHeight="1" x14ac:dyDescent="0.25"/>
    <row r="984" s="79" customFormat="1" ht="15" customHeight="1" x14ac:dyDescent="0.25"/>
    <row r="985" s="79" customFormat="1" ht="15" customHeight="1" x14ac:dyDescent="0.25"/>
    <row r="986" s="79" customFormat="1" ht="15" customHeight="1" x14ac:dyDescent="0.25"/>
    <row r="987" s="79" customFormat="1" ht="15" customHeight="1" x14ac:dyDescent="0.25"/>
    <row r="988" s="79" customFormat="1" ht="15" customHeight="1" x14ac:dyDescent="0.25"/>
    <row r="989" s="79" customFormat="1" ht="15" customHeight="1" x14ac:dyDescent="0.25"/>
    <row r="990" s="79" customFormat="1" ht="15" customHeight="1" x14ac:dyDescent="0.25"/>
    <row r="991" s="79" customFormat="1" ht="15" customHeight="1" x14ac:dyDescent="0.25"/>
    <row r="992" s="79" customFormat="1" ht="15" customHeight="1" x14ac:dyDescent="0.25"/>
    <row r="993" s="79" customFormat="1" ht="15" customHeight="1" x14ac:dyDescent="0.25"/>
    <row r="994" s="79" customFormat="1" ht="15" customHeight="1" x14ac:dyDescent="0.25"/>
    <row r="995" s="79" customFormat="1" ht="15" customHeight="1" x14ac:dyDescent="0.25"/>
    <row r="996" s="79" customFormat="1" ht="15" customHeight="1" x14ac:dyDescent="0.25"/>
    <row r="997" s="79" customFormat="1" ht="15" customHeight="1" x14ac:dyDescent="0.25"/>
    <row r="998" s="79" customFormat="1" ht="15" customHeight="1" x14ac:dyDescent="0.25"/>
    <row r="999" s="79" customFormat="1" ht="15" customHeight="1" x14ac:dyDescent="0.25"/>
    <row r="1000" s="79" customFormat="1" ht="15" customHeight="1" x14ac:dyDescent="0.25"/>
    <row r="1001" s="79" customFormat="1" ht="15" customHeight="1" x14ac:dyDescent="0.25"/>
    <row r="1002" s="79" customFormat="1" ht="15" customHeight="1" x14ac:dyDescent="0.25"/>
    <row r="1003" s="79" customFormat="1" ht="15" customHeight="1" x14ac:dyDescent="0.25"/>
    <row r="1004" s="79" customFormat="1" ht="15" customHeight="1" x14ac:dyDescent="0.25"/>
    <row r="1005" s="79" customFormat="1" ht="15" customHeight="1" x14ac:dyDescent="0.25"/>
    <row r="1006" s="79" customFormat="1" ht="15" customHeight="1" x14ac:dyDescent="0.25"/>
    <row r="1007" s="79" customFormat="1" ht="15" customHeight="1" x14ac:dyDescent="0.25"/>
    <row r="1008" s="79" customFormat="1" ht="15" customHeight="1" x14ac:dyDescent="0.25"/>
    <row r="1009" s="79" customFormat="1" ht="15" customHeight="1" x14ac:dyDescent="0.25"/>
    <row r="1010" s="79" customFormat="1" ht="15" customHeight="1" x14ac:dyDescent="0.25"/>
    <row r="1011" s="79" customFormat="1" ht="15" customHeight="1" x14ac:dyDescent="0.25"/>
    <row r="1012" s="79" customFormat="1" ht="15" customHeight="1" x14ac:dyDescent="0.25"/>
    <row r="1013" s="79" customFormat="1" ht="15" customHeight="1" x14ac:dyDescent="0.25"/>
    <row r="1014" s="79" customFormat="1" ht="15" customHeight="1" x14ac:dyDescent="0.25"/>
    <row r="1015" s="79" customFormat="1" ht="15" customHeight="1" x14ac:dyDescent="0.25"/>
    <row r="1016" s="79" customFormat="1" ht="15" customHeight="1" x14ac:dyDescent="0.25"/>
    <row r="1017" s="79" customFormat="1" ht="15" customHeight="1" x14ac:dyDescent="0.25"/>
    <row r="1018" s="79" customFormat="1" ht="15" customHeight="1" x14ac:dyDescent="0.25"/>
    <row r="1019" s="79" customFormat="1" ht="15" customHeight="1" x14ac:dyDescent="0.25"/>
    <row r="1020" s="79" customFormat="1" ht="15" customHeight="1" x14ac:dyDescent="0.25"/>
    <row r="1021" s="79" customFormat="1" ht="15" customHeight="1" x14ac:dyDescent="0.25"/>
    <row r="1022" s="79" customFormat="1" ht="15" customHeight="1" x14ac:dyDescent="0.25"/>
    <row r="1023" s="79" customFormat="1" ht="15" customHeight="1" x14ac:dyDescent="0.25"/>
    <row r="1024" s="79" customFormat="1" ht="15" customHeight="1" x14ac:dyDescent="0.25"/>
    <row r="1025" s="79" customFormat="1" ht="15" customHeight="1" x14ac:dyDescent="0.25"/>
    <row r="1026" s="79" customFormat="1" ht="15" customHeight="1" x14ac:dyDescent="0.25"/>
    <row r="1027" s="79" customFormat="1" ht="15" customHeight="1" x14ac:dyDescent="0.25"/>
    <row r="1028" s="79" customFormat="1" ht="15" customHeight="1" x14ac:dyDescent="0.25"/>
    <row r="1029" s="79" customFormat="1" ht="15" customHeight="1" x14ac:dyDescent="0.25"/>
    <row r="1030" s="79" customFormat="1" ht="15" customHeight="1" x14ac:dyDescent="0.25"/>
    <row r="1031" s="79" customFormat="1" ht="15" customHeight="1" x14ac:dyDescent="0.25"/>
    <row r="1032" s="79" customFormat="1" ht="15" customHeight="1" x14ac:dyDescent="0.25"/>
    <row r="1033" s="79" customFormat="1" ht="15" customHeight="1" x14ac:dyDescent="0.25"/>
    <row r="1034" s="79" customFormat="1" ht="15" customHeight="1" x14ac:dyDescent="0.25"/>
    <row r="1035" s="79" customFormat="1" ht="15" customHeight="1" x14ac:dyDescent="0.25"/>
    <row r="1036" s="79" customFormat="1" ht="15" customHeight="1" x14ac:dyDescent="0.25"/>
    <row r="1037" s="79" customFormat="1" ht="15" customHeight="1" x14ac:dyDescent="0.25"/>
    <row r="1038" s="79" customFormat="1" ht="15" customHeight="1" x14ac:dyDescent="0.25"/>
    <row r="1039" s="79" customFormat="1" ht="15" customHeight="1" x14ac:dyDescent="0.25"/>
    <row r="1040" s="79" customFormat="1" ht="15" customHeight="1" x14ac:dyDescent="0.25"/>
    <row r="1041" s="79" customFormat="1" ht="15" customHeight="1" x14ac:dyDescent="0.25"/>
    <row r="1042" s="79" customFormat="1" ht="15" customHeight="1" x14ac:dyDescent="0.25"/>
    <row r="1043" s="79" customFormat="1" ht="15" customHeight="1" x14ac:dyDescent="0.25"/>
    <row r="1044" s="79" customFormat="1" ht="15" customHeight="1" x14ac:dyDescent="0.25"/>
    <row r="1045" s="79" customFormat="1" ht="15" customHeight="1" x14ac:dyDescent="0.25"/>
    <row r="1046" s="79" customFormat="1" ht="15" customHeight="1" x14ac:dyDescent="0.25"/>
    <row r="1047" s="79" customFormat="1" ht="15" customHeight="1" x14ac:dyDescent="0.25"/>
    <row r="1048" s="79" customFormat="1" ht="15" customHeight="1" x14ac:dyDescent="0.25"/>
    <row r="1049" s="79" customFormat="1" ht="15" customHeight="1" x14ac:dyDescent="0.25"/>
    <row r="1050" s="79" customFormat="1" ht="15" customHeight="1" x14ac:dyDescent="0.25"/>
    <row r="1051" s="79" customFormat="1" ht="15" customHeight="1" x14ac:dyDescent="0.25"/>
    <row r="1052" s="79" customFormat="1" ht="15" customHeight="1" x14ac:dyDescent="0.25"/>
    <row r="1053" s="79" customFormat="1" ht="15" customHeight="1" x14ac:dyDescent="0.25"/>
    <row r="1054" s="79" customFormat="1" ht="15" customHeight="1" x14ac:dyDescent="0.25"/>
    <row r="1055" s="79" customFormat="1" ht="15" customHeight="1" x14ac:dyDescent="0.25"/>
    <row r="1056" s="79" customFormat="1" ht="15" customHeight="1" x14ac:dyDescent="0.25"/>
    <row r="1057" s="79" customFormat="1" ht="15" customHeight="1" x14ac:dyDescent="0.25"/>
    <row r="1058" s="79" customFormat="1" ht="15" customHeight="1" x14ac:dyDescent="0.25"/>
    <row r="1059" s="79" customFormat="1" ht="15" customHeight="1" x14ac:dyDescent="0.25"/>
    <row r="1060" s="79" customFormat="1" ht="15" customHeight="1" x14ac:dyDescent="0.25"/>
    <row r="1061" s="79" customFormat="1" ht="15" customHeight="1" x14ac:dyDescent="0.25"/>
    <row r="1062" s="79" customFormat="1" ht="15" customHeight="1" x14ac:dyDescent="0.25"/>
    <row r="1063" s="79" customFormat="1" ht="15" customHeight="1" x14ac:dyDescent="0.25"/>
    <row r="1064" s="79" customFormat="1" ht="15" customHeight="1" x14ac:dyDescent="0.25"/>
    <row r="1065" s="79" customFormat="1" ht="15" customHeight="1" x14ac:dyDescent="0.25"/>
    <row r="1066" s="79" customFormat="1" ht="15" customHeight="1" x14ac:dyDescent="0.25"/>
    <row r="1067" s="79" customFormat="1" ht="15" customHeight="1" x14ac:dyDescent="0.25"/>
    <row r="1068" s="79" customFormat="1" ht="15" customHeight="1" x14ac:dyDescent="0.25"/>
    <row r="1069" s="79" customFormat="1" ht="15" customHeight="1" x14ac:dyDescent="0.25"/>
    <row r="1070" s="79" customFormat="1" ht="15" customHeight="1" x14ac:dyDescent="0.25"/>
    <row r="1071" s="79" customFormat="1" ht="15" customHeight="1" x14ac:dyDescent="0.25"/>
    <row r="1072" s="79" customFormat="1" ht="15" customHeight="1" x14ac:dyDescent="0.25"/>
    <row r="1073" s="79" customFormat="1" ht="15" customHeight="1" x14ac:dyDescent="0.25"/>
    <row r="1074" s="79" customFormat="1" ht="15" customHeight="1" x14ac:dyDescent="0.25"/>
    <row r="1075" s="79" customFormat="1" ht="15" customHeight="1" x14ac:dyDescent="0.25"/>
    <row r="1076" s="79" customFormat="1" ht="15" customHeight="1" x14ac:dyDescent="0.25"/>
    <row r="1077" s="79" customFormat="1" ht="15" customHeight="1" x14ac:dyDescent="0.25"/>
    <row r="1078" s="79" customFormat="1" ht="15" customHeight="1" x14ac:dyDescent="0.25"/>
    <row r="1079" s="79" customFormat="1" ht="15" customHeight="1" x14ac:dyDescent="0.25"/>
    <row r="1080" s="79" customFormat="1" ht="15" customHeight="1" x14ac:dyDescent="0.25"/>
    <row r="1081" s="79" customFormat="1" ht="15" customHeight="1" x14ac:dyDescent="0.25"/>
    <row r="1082" s="79" customFormat="1" ht="15" customHeight="1" x14ac:dyDescent="0.25"/>
    <row r="1083" s="79" customFormat="1" ht="15" customHeight="1" x14ac:dyDescent="0.25"/>
    <row r="1084" s="79" customFormat="1" ht="15" customHeight="1" x14ac:dyDescent="0.25"/>
    <row r="1085" s="79" customFormat="1" ht="15" customHeight="1" x14ac:dyDescent="0.25"/>
    <row r="1086" s="79" customFormat="1" ht="15" customHeight="1" x14ac:dyDescent="0.25"/>
    <row r="1087" s="79" customFormat="1" ht="15" customHeight="1" x14ac:dyDescent="0.25"/>
    <row r="1088" s="79" customFormat="1" ht="15" customHeight="1" x14ac:dyDescent="0.25"/>
    <row r="1089" s="79" customFormat="1" ht="15" customHeight="1" x14ac:dyDescent="0.25"/>
    <row r="1090" s="79" customFormat="1" ht="15" customHeight="1" x14ac:dyDescent="0.25"/>
    <row r="1091" s="79" customFormat="1" ht="15" customHeight="1" x14ac:dyDescent="0.25"/>
    <row r="1092" s="79" customFormat="1" ht="15" customHeight="1" x14ac:dyDescent="0.25"/>
    <row r="1093" s="79" customFormat="1" ht="15" customHeight="1" x14ac:dyDescent="0.25"/>
    <row r="1094" s="79" customFormat="1" ht="15" customHeight="1" x14ac:dyDescent="0.25"/>
    <row r="1095" s="79" customFormat="1" ht="15" customHeight="1" x14ac:dyDescent="0.25"/>
    <row r="1096" s="79" customFormat="1" ht="15" customHeight="1" x14ac:dyDescent="0.25"/>
    <row r="1097" s="79" customFormat="1" ht="15" customHeight="1" x14ac:dyDescent="0.25"/>
    <row r="1098" s="79" customFormat="1" ht="15" customHeight="1" x14ac:dyDescent="0.25"/>
    <row r="1099" s="79" customFormat="1" ht="15" customHeight="1" x14ac:dyDescent="0.25"/>
    <row r="1100" s="79" customFormat="1" ht="15" customHeight="1" x14ac:dyDescent="0.25"/>
    <row r="1101" s="79" customFormat="1" ht="15" customHeight="1" x14ac:dyDescent="0.25"/>
    <row r="1102" s="79" customFormat="1" ht="15" customHeight="1" x14ac:dyDescent="0.25"/>
    <row r="1103" s="79" customFormat="1" ht="15" customHeight="1" x14ac:dyDescent="0.25"/>
    <row r="1104" s="79" customFormat="1" ht="15" customHeight="1" x14ac:dyDescent="0.25"/>
    <row r="1105" s="79" customFormat="1" ht="15" customHeight="1" x14ac:dyDescent="0.25"/>
    <row r="1106" s="79" customFormat="1" ht="15" customHeight="1" x14ac:dyDescent="0.25"/>
    <row r="1107" s="79" customFormat="1" ht="15" customHeight="1" x14ac:dyDescent="0.25"/>
    <row r="1108" s="79" customFormat="1" ht="15" customHeight="1" x14ac:dyDescent="0.25"/>
    <row r="1109" s="79" customFormat="1" ht="15" customHeight="1" x14ac:dyDescent="0.25"/>
    <row r="1110" s="79" customFormat="1" ht="15" customHeight="1" x14ac:dyDescent="0.25"/>
    <row r="1111" s="79" customFormat="1" ht="15" customHeight="1" x14ac:dyDescent="0.25"/>
    <row r="1112" s="79" customFormat="1" ht="15" customHeight="1" x14ac:dyDescent="0.25"/>
    <row r="1113" s="79" customFormat="1" ht="15" customHeight="1" x14ac:dyDescent="0.25"/>
    <row r="1114" s="79" customFormat="1" ht="15" customHeight="1" x14ac:dyDescent="0.25"/>
    <row r="1115" s="79" customFormat="1" ht="15" customHeight="1" x14ac:dyDescent="0.25"/>
    <row r="1116" s="79" customFormat="1" ht="15" customHeight="1" x14ac:dyDescent="0.25"/>
    <row r="1117" s="79" customFormat="1" ht="15" customHeight="1" x14ac:dyDescent="0.25"/>
    <row r="1118" s="79" customFormat="1" ht="15" customHeight="1" x14ac:dyDescent="0.25"/>
    <row r="1119" s="79" customFormat="1" ht="15" customHeight="1" x14ac:dyDescent="0.25"/>
    <row r="1120" s="79" customFormat="1" ht="15" customHeight="1" x14ac:dyDescent="0.25"/>
    <row r="1121" s="79" customFormat="1" ht="15" customHeight="1" x14ac:dyDescent="0.25"/>
    <row r="1122" s="79" customFormat="1" ht="15" customHeight="1" x14ac:dyDescent="0.25"/>
    <row r="1123" s="79" customFormat="1" ht="15" customHeight="1" x14ac:dyDescent="0.25"/>
    <row r="1124" s="79" customFormat="1" ht="15" customHeight="1" x14ac:dyDescent="0.25"/>
    <row r="1125" s="79" customFormat="1" ht="15" customHeight="1" x14ac:dyDescent="0.25"/>
    <row r="1126" s="79" customFormat="1" ht="15" customHeight="1" x14ac:dyDescent="0.25"/>
    <row r="1127" s="79" customFormat="1" ht="15" customHeight="1" x14ac:dyDescent="0.25"/>
    <row r="1128" s="79" customFormat="1" ht="15" customHeight="1" x14ac:dyDescent="0.25"/>
    <row r="1129" s="79" customFormat="1" ht="15" customHeight="1" x14ac:dyDescent="0.25"/>
    <row r="1130" s="79" customFormat="1" ht="15" customHeight="1" x14ac:dyDescent="0.25"/>
    <row r="1131" s="79" customFormat="1" ht="15" customHeight="1" x14ac:dyDescent="0.25"/>
    <row r="1132" s="79" customFormat="1" ht="15" customHeight="1" x14ac:dyDescent="0.25"/>
    <row r="1133" s="79" customFormat="1" ht="15" customHeight="1" x14ac:dyDescent="0.25"/>
    <row r="1134" s="79" customFormat="1" ht="15" customHeight="1" x14ac:dyDescent="0.25"/>
    <row r="1135" s="79" customFormat="1" ht="15" customHeight="1" x14ac:dyDescent="0.25"/>
    <row r="1136" s="79" customFormat="1" ht="15" customHeight="1" x14ac:dyDescent="0.25"/>
    <row r="1137" s="79" customFormat="1" ht="15" customHeight="1" x14ac:dyDescent="0.25"/>
    <row r="1138" s="79" customFormat="1" ht="15" customHeight="1" x14ac:dyDescent="0.25"/>
    <row r="1139" s="79" customFormat="1" ht="15" customHeight="1" x14ac:dyDescent="0.25"/>
    <row r="1140" s="79" customFormat="1" ht="15" customHeight="1" x14ac:dyDescent="0.25"/>
    <row r="1141" s="79" customFormat="1" ht="15" customHeight="1" x14ac:dyDescent="0.25"/>
    <row r="1142" s="79" customFormat="1" ht="15" customHeight="1" x14ac:dyDescent="0.25"/>
    <row r="1143" s="79" customFormat="1" ht="15" customHeight="1" x14ac:dyDescent="0.25"/>
    <row r="1144" s="79" customFormat="1" ht="15" customHeight="1" x14ac:dyDescent="0.25"/>
    <row r="1145" s="79" customFormat="1" ht="15" customHeight="1" x14ac:dyDescent="0.25"/>
    <row r="1146" s="79" customFormat="1" ht="15" customHeight="1" x14ac:dyDescent="0.25"/>
    <row r="1147" s="79" customFormat="1" ht="15" customHeight="1" x14ac:dyDescent="0.25"/>
    <row r="1148" s="79" customFormat="1" ht="15" customHeight="1" x14ac:dyDescent="0.25"/>
    <row r="1149" s="79" customFormat="1" ht="15" customHeight="1" x14ac:dyDescent="0.25"/>
    <row r="1150" s="79" customFormat="1" ht="15" customHeight="1" x14ac:dyDescent="0.25"/>
    <row r="1151" s="79" customFormat="1" ht="15" customHeight="1" x14ac:dyDescent="0.25"/>
    <row r="1152" s="79" customFormat="1" ht="15" customHeight="1" x14ac:dyDescent="0.25"/>
    <row r="1153" s="79" customFormat="1" ht="15" customHeight="1" x14ac:dyDescent="0.25"/>
    <row r="1154" s="79" customFormat="1" ht="15" customHeight="1" x14ac:dyDescent="0.25"/>
    <row r="1155" s="79" customFormat="1" ht="15" customHeight="1" x14ac:dyDescent="0.25"/>
    <row r="1156" s="79" customFormat="1" ht="15" customHeight="1" x14ac:dyDescent="0.25"/>
    <row r="1157" s="79" customFormat="1" ht="15" customHeight="1" x14ac:dyDescent="0.25"/>
    <row r="1158" s="79" customFormat="1" ht="15" customHeight="1" x14ac:dyDescent="0.25"/>
    <row r="1159" s="79" customFormat="1" ht="15" customHeight="1" x14ac:dyDescent="0.25"/>
    <row r="1160" s="79" customFormat="1" ht="15" customHeight="1" x14ac:dyDescent="0.25"/>
    <row r="1161" s="79" customFormat="1" ht="15" customHeight="1" x14ac:dyDescent="0.25"/>
    <row r="1162" s="79" customFormat="1" ht="15" customHeight="1" x14ac:dyDescent="0.25"/>
    <row r="1163" s="79" customFormat="1" ht="15" customHeight="1" x14ac:dyDescent="0.25"/>
    <row r="1164" s="79" customFormat="1" ht="15" customHeight="1" x14ac:dyDescent="0.25"/>
    <row r="1165" s="79" customFormat="1" ht="15" customHeight="1" x14ac:dyDescent="0.25"/>
    <row r="1166" s="79" customFormat="1" ht="15" customHeight="1" x14ac:dyDescent="0.25"/>
    <row r="1167" s="79" customFormat="1" ht="15" customHeight="1" x14ac:dyDescent="0.25"/>
    <row r="1168" s="79" customFormat="1" ht="15" customHeight="1" x14ac:dyDescent="0.25"/>
    <row r="1169" s="79" customFormat="1" ht="15" customHeight="1" x14ac:dyDescent="0.25"/>
    <row r="1170" s="79" customFormat="1" ht="15" customHeight="1" x14ac:dyDescent="0.25"/>
    <row r="1171" s="79" customFormat="1" ht="15" customHeight="1" x14ac:dyDescent="0.25"/>
    <row r="1172" s="79" customFormat="1" ht="15" customHeight="1" x14ac:dyDescent="0.25"/>
    <row r="1173" s="79" customFormat="1" ht="15" customHeight="1" x14ac:dyDescent="0.25"/>
    <row r="1174" s="79" customFormat="1" ht="15" customHeight="1" x14ac:dyDescent="0.25"/>
    <row r="1175" s="79" customFormat="1" ht="15" customHeight="1" x14ac:dyDescent="0.25"/>
    <row r="1176" s="79" customFormat="1" ht="15" customHeight="1" x14ac:dyDescent="0.25"/>
    <row r="1177" s="79" customFormat="1" ht="15" customHeight="1" x14ac:dyDescent="0.25"/>
    <row r="1178" s="79" customFormat="1" ht="15" customHeight="1" x14ac:dyDescent="0.25"/>
    <row r="1179" s="79" customFormat="1" ht="15" customHeight="1" x14ac:dyDescent="0.25"/>
    <row r="1180" s="79" customFormat="1" ht="15" customHeight="1" x14ac:dyDescent="0.25"/>
    <row r="1181" s="79" customFormat="1" ht="15" customHeight="1" x14ac:dyDescent="0.25"/>
    <row r="1182" s="79" customFormat="1" ht="15" customHeight="1" x14ac:dyDescent="0.25"/>
    <row r="1183" s="79" customFormat="1" ht="15" customHeight="1" x14ac:dyDescent="0.25"/>
    <row r="1184" s="79" customFormat="1" ht="15" customHeight="1" x14ac:dyDescent="0.25"/>
    <row r="1185" s="79" customFormat="1" ht="15" customHeight="1" x14ac:dyDescent="0.25"/>
    <row r="1186" s="79" customFormat="1" ht="15" customHeight="1" x14ac:dyDescent="0.25"/>
    <row r="1187" s="79" customFormat="1" ht="15" customHeight="1" x14ac:dyDescent="0.25"/>
    <row r="1188" s="79" customFormat="1" ht="15" customHeight="1" x14ac:dyDescent="0.25"/>
    <row r="1189" s="79" customFormat="1" ht="15" customHeight="1" x14ac:dyDescent="0.25"/>
    <row r="1190" s="79" customFormat="1" ht="15" customHeight="1" x14ac:dyDescent="0.25"/>
    <row r="1191" s="79" customFormat="1" ht="15" customHeight="1" x14ac:dyDescent="0.25"/>
    <row r="1192" s="79" customFormat="1" ht="15" customHeight="1" x14ac:dyDescent="0.25"/>
    <row r="1193" s="79" customFormat="1" ht="15" customHeight="1" x14ac:dyDescent="0.25"/>
    <row r="1194" s="79" customFormat="1" ht="15" customHeight="1" x14ac:dyDescent="0.25"/>
    <row r="1195" s="79" customFormat="1" ht="15" customHeight="1" x14ac:dyDescent="0.25"/>
    <row r="1196" s="79" customFormat="1" ht="15" customHeight="1" x14ac:dyDescent="0.25"/>
    <row r="1197" s="79" customFormat="1" ht="15" customHeight="1" x14ac:dyDescent="0.25"/>
    <row r="1198" s="79" customFormat="1" ht="15" customHeight="1" x14ac:dyDescent="0.25"/>
    <row r="1199" s="79" customFormat="1" ht="15" customHeight="1" x14ac:dyDescent="0.25"/>
    <row r="1200" s="79" customFormat="1" ht="15" customHeight="1" x14ac:dyDescent="0.25"/>
    <row r="1201" s="79" customFormat="1" ht="15" customHeight="1" x14ac:dyDescent="0.25"/>
    <row r="1202" s="79" customFormat="1" ht="15" customHeight="1" x14ac:dyDescent="0.25"/>
    <row r="1203" s="79" customFormat="1" ht="15" customHeight="1" x14ac:dyDescent="0.25"/>
    <row r="1204" s="79" customFormat="1" ht="15" customHeight="1" x14ac:dyDescent="0.25"/>
    <row r="1205" s="79" customFormat="1" ht="15" customHeight="1" x14ac:dyDescent="0.25"/>
    <row r="1206" s="79" customFormat="1" ht="15" customHeight="1" x14ac:dyDescent="0.25"/>
    <row r="1207" s="79" customFormat="1" ht="15" customHeight="1" x14ac:dyDescent="0.25"/>
    <row r="1208" s="79" customFormat="1" ht="15" customHeight="1" x14ac:dyDescent="0.25"/>
    <row r="1209" s="79" customFormat="1" ht="15" customHeight="1" x14ac:dyDescent="0.25"/>
    <row r="1210" s="79" customFormat="1" ht="15" customHeight="1" x14ac:dyDescent="0.25"/>
    <row r="1211" s="79" customFormat="1" ht="15" customHeight="1" x14ac:dyDescent="0.25"/>
    <row r="1212" s="79" customFormat="1" ht="15" customHeight="1" x14ac:dyDescent="0.25"/>
    <row r="1213" s="79" customFormat="1" ht="15" customHeight="1" x14ac:dyDescent="0.25"/>
    <row r="1214" s="79" customFormat="1" ht="15" customHeight="1" x14ac:dyDescent="0.25"/>
    <row r="1215" s="79" customFormat="1" ht="15" customHeight="1" x14ac:dyDescent="0.25"/>
    <row r="1216" s="79" customFormat="1" ht="15" customHeight="1" x14ac:dyDescent="0.25"/>
    <row r="1217" s="79" customFormat="1" ht="15" customHeight="1" x14ac:dyDescent="0.25"/>
    <row r="1218" s="79" customFormat="1" ht="15" customHeight="1" x14ac:dyDescent="0.25"/>
    <row r="1219" s="79" customFormat="1" ht="15" customHeight="1" x14ac:dyDescent="0.25"/>
    <row r="1220" s="79" customFormat="1" ht="15" customHeight="1" x14ac:dyDescent="0.25"/>
    <row r="1221" s="79" customFormat="1" ht="15" customHeight="1" x14ac:dyDescent="0.25"/>
    <row r="1222" s="79" customFormat="1" ht="15" customHeight="1" x14ac:dyDescent="0.25"/>
    <row r="1223" s="79" customFormat="1" ht="15" customHeight="1" x14ac:dyDescent="0.25"/>
    <row r="1224" s="79" customFormat="1" ht="15" customHeight="1" x14ac:dyDescent="0.25"/>
    <row r="1225" s="79" customFormat="1" ht="15" customHeight="1" x14ac:dyDescent="0.25"/>
    <row r="1226" s="79" customFormat="1" ht="15" customHeight="1" x14ac:dyDescent="0.25"/>
    <row r="1227" s="79" customFormat="1" ht="15" customHeight="1" x14ac:dyDescent="0.25"/>
    <row r="1228" s="79" customFormat="1" ht="15" customHeight="1" x14ac:dyDescent="0.25"/>
    <row r="1229" s="79" customFormat="1" ht="15" customHeight="1" x14ac:dyDescent="0.25"/>
    <row r="1230" s="79" customFormat="1" ht="15" customHeight="1" x14ac:dyDescent="0.25"/>
    <row r="1231" s="79" customFormat="1" ht="15" customHeight="1" x14ac:dyDescent="0.25"/>
    <row r="1232" s="79" customFormat="1" ht="15" customHeight="1" x14ac:dyDescent="0.25"/>
    <row r="1233" s="79" customFormat="1" ht="15" customHeight="1" x14ac:dyDescent="0.25"/>
    <row r="1234" s="79" customFormat="1" ht="15" customHeight="1" x14ac:dyDescent="0.25"/>
    <row r="1235" s="79" customFormat="1" ht="15" customHeight="1" x14ac:dyDescent="0.25"/>
    <row r="1236" s="79" customFormat="1" ht="15" customHeight="1" x14ac:dyDescent="0.25"/>
    <row r="1237" s="79" customFormat="1" ht="15" customHeight="1" x14ac:dyDescent="0.25"/>
    <row r="1238" s="79" customFormat="1" ht="15" customHeight="1" x14ac:dyDescent="0.25"/>
    <row r="1239" s="79" customFormat="1" ht="15" customHeight="1" x14ac:dyDescent="0.25"/>
    <row r="1240" s="79" customFormat="1" ht="15" customHeight="1" x14ac:dyDescent="0.25"/>
    <row r="1241" s="79" customFormat="1" ht="15" customHeight="1" x14ac:dyDescent="0.25"/>
    <row r="1242" s="79" customFormat="1" ht="15" customHeight="1" x14ac:dyDescent="0.25"/>
    <row r="1243" s="79" customFormat="1" ht="15" customHeight="1" x14ac:dyDescent="0.25"/>
    <row r="1244" s="79" customFormat="1" ht="15" customHeight="1" x14ac:dyDescent="0.25"/>
    <row r="1245" s="79" customFormat="1" ht="15" customHeight="1" x14ac:dyDescent="0.25"/>
    <row r="1246" s="79" customFormat="1" ht="15" customHeight="1" x14ac:dyDescent="0.25"/>
    <row r="1247" s="79" customFormat="1" ht="15" customHeight="1" x14ac:dyDescent="0.25"/>
    <row r="1248" s="79" customFormat="1" ht="15" customHeight="1" x14ac:dyDescent="0.25"/>
    <row r="1249" s="79" customFormat="1" ht="15" customHeight="1" x14ac:dyDescent="0.25"/>
    <row r="1250" s="79" customFormat="1" ht="15" customHeight="1" x14ac:dyDescent="0.25"/>
    <row r="1251" s="79" customFormat="1" ht="15" customHeight="1" x14ac:dyDescent="0.25"/>
    <row r="1252" s="79" customFormat="1" ht="15" customHeight="1" x14ac:dyDescent="0.25"/>
    <row r="1253" s="79" customFormat="1" ht="15" customHeight="1" x14ac:dyDescent="0.25"/>
    <row r="1254" s="79" customFormat="1" ht="15" customHeight="1" x14ac:dyDescent="0.25"/>
    <row r="1255" s="79" customFormat="1" ht="15" customHeight="1" x14ac:dyDescent="0.25"/>
    <row r="1256" s="79" customFormat="1" ht="15" customHeight="1" x14ac:dyDescent="0.25"/>
    <row r="1257" s="79" customFormat="1" ht="15" customHeight="1" x14ac:dyDescent="0.25"/>
    <row r="1258" s="79" customFormat="1" ht="15" customHeight="1" x14ac:dyDescent="0.25"/>
    <row r="1259" s="79" customFormat="1" ht="15" customHeight="1" x14ac:dyDescent="0.25"/>
    <row r="1260" s="79" customFormat="1" ht="15" customHeight="1" x14ac:dyDescent="0.25"/>
    <row r="1261" s="79" customFormat="1" ht="15" customHeight="1" x14ac:dyDescent="0.25"/>
    <row r="1262" s="79" customFormat="1" ht="15" customHeight="1" x14ac:dyDescent="0.25"/>
    <row r="1263" s="79" customFormat="1" ht="15" customHeight="1" x14ac:dyDescent="0.25"/>
    <row r="1264" s="79" customFormat="1" ht="15" customHeight="1" x14ac:dyDescent="0.25"/>
    <row r="1265" s="79" customFormat="1" ht="15" customHeight="1" x14ac:dyDescent="0.25"/>
    <row r="1266" s="79" customFormat="1" ht="15" customHeight="1" x14ac:dyDescent="0.25"/>
    <row r="1267" s="79" customFormat="1" ht="15" customHeight="1" x14ac:dyDescent="0.25"/>
    <row r="1268" s="79" customFormat="1" ht="15" customHeight="1" x14ac:dyDescent="0.25"/>
    <row r="1269" s="79" customFormat="1" ht="15" customHeight="1" x14ac:dyDescent="0.25"/>
    <row r="1270" s="79" customFormat="1" ht="15" customHeight="1" x14ac:dyDescent="0.25"/>
    <row r="1271" s="79" customFormat="1" ht="15" customHeight="1" x14ac:dyDescent="0.25"/>
    <row r="1272" s="79" customFormat="1" ht="15" customHeight="1" x14ac:dyDescent="0.25"/>
    <row r="1273" s="79" customFormat="1" ht="15" customHeight="1" x14ac:dyDescent="0.25"/>
    <row r="1274" s="79" customFormat="1" ht="15" customHeight="1" x14ac:dyDescent="0.25"/>
    <row r="1275" s="79" customFormat="1" ht="15" customHeight="1" x14ac:dyDescent="0.25"/>
    <row r="1276" s="79" customFormat="1" ht="15" customHeight="1" x14ac:dyDescent="0.25"/>
    <row r="1277" s="79" customFormat="1" ht="15" customHeight="1" x14ac:dyDescent="0.25"/>
    <row r="1278" s="79" customFormat="1" ht="15" customHeight="1" x14ac:dyDescent="0.25"/>
    <row r="1279" s="79" customFormat="1" ht="15" customHeight="1" x14ac:dyDescent="0.25"/>
    <row r="1280" s="79" customFormat="1" ht="15" customHeight="1" x14ac:dyDescent="0.25"/>
    <row r="1281" s="79" customFormat="1" ht="15" customHeight="1" x14ac:dyDescent="0.25"/>
    <row r="1282" s="79" customFormat="1" ht="15" customHeight="1" x14ac:dyDescent="0.25"/>
    <row r="1283" s="79" customFormat="1" ht="15" customHeight="1" x14ac:dyDescent="0.25"/>
    <row r="1284" s="79" customFormat="1" ht="15" customHeight="1" x14ac:dyDescent="0.25"/>
    <row r="1285" s="79" customFormat="1" ht="15" customHeight="1" x14ac:dyDescent="0.25"/>
    <row r="1286" s="79" customFormat="1" ht="15" customHeight="1" x14ac:dyDescent="0.25"/>
    <row r="1287" s="79" customFormat="1" ht="15" customHeight="1" x14ac:dyDescent="0.25"/>
    <row r="1288" s="79" customFormat="1" ht="15" customHeight="1" x14ac:dyDescent="0.25"/>
    <row r="1289" s="79" customFormat="1" ht="15" customHeight="1" x14ac:dyDescent="0.25"/>
    <row r="1290" s="79" customFormat="1" ht="15" customHeight="1" x14ac:dyDescent="0.25"/>
    <row r="1291" s="79" customFormat="1" ht="15" customHeight="1" x14ac:dyDescent="0.25"/>
    <row r="1292" s="79" customFormat="1" ht="15" customHeight="1" x14ac:dyDescent="0.25"/>
    <row r="1293" s="79" customFormat="1" ht="15" customHeight="1" x14ac:dyDescent="0.25"/>
    <row r="1294" s="79" customFormat="1" ht="15" customHeight="1" x14ac:dyDescent="0.25"/>
    <row r="1295" s="79" customFormat="1" ht="15" customHeight="1" x14ac:dyDescent="0.25"/>
    <row r="1296" s="79" customFormat="1" ht="15" customHeight="1" x14ac:dyDescent="0.25"/>
    <row r="1297" s="79" customFormat="1" ht="15" customHeight="1" x14ac:dyDescent="0.25"/>
    <row r="1298" s="79" customFormat="1" ht="15" customHeight="1" x14ac:dyDescent="0.25"/>
    <row r="1299" s="79" customFormat="1" ht="15" customHeight="1" x14ac:dyDescent="0.25"/>
    <row r="1300" s="79" customFormat="1" ht="15" customHeight="1" x14ac:dyDescent="0.25"/>
    <row r="1301" s="79" customFormat="1" ht="15" customHeight="1" x14ac:dyDescent="0.25"/>
    <row r="1302" s="79" customFormat="1" ht="15" customHeight="1" x14ac:dyDescent="0.25"/>
    <row r="1303" s="79" customFormat="1" ht="15" customHeight="1" x14ac:dyDescent="0.25"/>
    <row r="1304" s="79" customFormat="1" ht="15" customHeight="1" x14ac:dyDescent="0.25"/>
    <row r="1305" s="79" customFormat="1" ht="15" customHeight="1" x14ac:dyDescent="0.25"/>
    <row r="1306" s="79" customFormat="1" ht="15" customHeight="1" x14ac:dyDescent="0.25"/>
    <row r="1307" s="79" customFormat="1" ht="15" customHeight="1" x14ac:dyDescent="0.25"/>
    <row r="1308" s="79" customFormat="1" ht="15" customHeight="1" x14ac:dyDescent="0.25"/>
    <row r="1309" s="79" customFormat="1" ht="15" customHeight="1" x14ac:dyDescent="0.25"/>
    <row r="1310" s="79" customFormat="1" ht="15" customHeight="1" x14ac:dyDescent="0.25"/>
    <row r="1311" s="79" customFormat="1" ht="15" customHeight="1" x14ac:dyDescent="0.25"/>
    <row r="1312" s="79" customFormat="1" ht="15" customHeight="1" x14ac:dyDescent="0.25"/>
    <row r="1313" s="79" customFormat="1" ht="15" customHeight="1" x14ac:dyDescent="0.25"/>
    <row r="1314" s="79" customFormat="1" ht="15" customHeight="1" x14ac:dyDescent="0.25"/>
    <row r="1315" s="79" customFormat="1" ht="15" customHeight="1" x14ac:dyDescent="0.25"/>
    <row r="1316" s="79" customFormat="1" ht="15" customHeight="1" x14ac:dyDescent="0.25"/>
    <row r="1317" s="79" customFormat="1" ht="15" customHeight="1" x14ac:dyDescent="0.25"/>
    <row r="1318" s="79" customFormat="1" ht="15" customHeight="1" x14ac:dyDescent="0.25"/>
    <row r="1319" s="79" customFormat="1" ht="15" customHeight="1" x14ac:dyDescent="0.25"/>
    <row r="1320" s="79" customFormat="1" ht="15" customHeight="1" x14ac:dyDescent="0.25"/>
    <row r="1321" s="79" customFormat="1" ht="15" customHeight="1" x14ac:dyDescent="0.25"/>
    <row r="1322" s="79" customFormat="1" ht="15" customHeight="1" x14ac:dyDescent="0.25"/>
    <row r="1323" s="79" customFormat="1" ht="15" customHeight="1" x14ac:dyDescent="0.25"/>
    <row r="1324" s="79" customFormat="1" ht="15" customHeight="1" x14ac:dyDescent="0.25"/>
    <row r="1325" s="79" customFormat="1" ht="15" customHeight="1" x14ac:dyDescent="0.25"/>
    <row r="1326" s="79" customFormat="1" ht="15" customHeight="1" x14ac:dyDescent="0.25"/>
    <row r="1327" s="79" customFormat="1" ht="15" customHeight="1" x14ac:dyDescent="0.25"/>
    <row r="1328" s="79" customFormat="1" ht="15" customHeight="1" x14ac:dyDescent="0.25"/>
    <row r="1329" s="79" customFormat="1" ht="15" customHeight="1" x14ac:dyDescent="0.25"/>
    <row r="1330" s="79" customFormat="1" ht="15" customHeight="1" x14ac:dyDescent="0.25"/>
    <row r="1331" s="79" customFormat="1" ht="15" customHeight="1" x14ac:dyDescent="0.25"/>
    <row r="1332" s="79" customFormat="1" ht="15" customHeight="1" x14ac:dyDescent="0.25"/>
    <row r="1333" s="79" customFormat="1" ht="15" customHeight="1" x14ac:dyDescent="0.25"/>
    <row r="1334" s="79" customFormat="1" ht="15" customHeight="1" x14ac:dyDescent="0.25"/>
    <row r="1335" s="79" customFormat="1" ht="15" customHeight="1" x14ac:dyDescent="0.25"/>
    <row r="1336" s="79" customFormat="1" ht="15" customHeight="1" x14ac:dyDescent="0.25"/>
    <row r="1337" s="79" customFormat="1" ht="15" customHeight="1" x14ac:dyDescent="0.25"/>
    <row r="1338" s="79" customFormat="1" ht="15" customHeight="1" x14ac:dyDescent="0.25"/>
    <row r="1339" s="79" customFormat="1" ht="15" customHeight="1" x14ac:dyDescent="0.25"/>
    <row r="1340" s="79" customFormat="1" ht="15" customHeight="1" x14ac:dyDescent="0.25"/>
    <row r="1341" s="79" customFormat="1" ht="15" customHeight="1" x14ac:dyDescent="0.25"/>
    <row r="1342" s="79" customFormat="1" ht="15" customHeight="1" x14ac:dyDescent="0.25"/>
    <row r="1343" s="79" customFormat="1" ht="15" customHeight="1" x14ac:dyDescent="0.25"/>
    <row r="1344" s="79" customFormat="1" ht="15" customHeight="1" x14ac:dyDescent="0.25"/>
    <row r="1345" s="79" customFormat="1" ht="15" customHeight="1" x14ac:dyDescent="0.25"/>
    <row r="1346" s="79" customFormat="1" ht="15" customHeight="1" x14ac:dyDescent="0.25"/>
    <row r="1347" s="79" customFormat="1" ht="15" customHeight="1" x14ac:dyDescent="0.25"/>
    <row r="1348" s="79" customFormat="1" ht="15" customHeight="1" x14ac:dyDescent="0.25"/>
    <row r="1349" s="79" customFormat="1" ht="15" customHeight="1" x14ac:dyDescent="0.25"/>
    <row r="1350" s="79" customFormat="1" ht="15" customHeight="1" x14ac:dyDescent="0.25"/>
    <row r="1351" s="79" customFormat="1" ht="15" customHeight="1" x14ac:dyDescent="0.25"/>
    <row r="1352" s="79" customFormat="1" ht="15" customHeight="1" x14ac:dyDescent="0.25"/>
    <row r="1353" s="79" customFormat="1" ht="15" customHeight="1" x14ac:dyDescent="0.25"/>
    <row r="1354" s="79" customFormat="1" ht="15" customHeight="1" x14ac:dyDescent="0.25"/>
    <row r="1355" s="79" customFormat="1" ht="15" customHeight="1" x14ac:dyDescent="0.25"/>
    <row r="1356" s="79" customFormat="1" ht="15" customHeight="1" x14ac:dyDescent="0.25"/>
    <row r="1357" s="79" customFormat="1" ht="15" customHeight="1" x14ac:dyDescent="0.25"/>
    <row r="1358" s="79" customFormat="1" ht="15" customHeight="1" x14ac:dyDescent="0.25"/>
    <row r="1359" s="79" customFormat="1" ht="15" customHeight="1" x14ac:dyDescent="0.25"/>
    <row r="1360" s="79" customFormat="1" ht="15" customHeight="1" x14ac:dyDescent="0.25"/>
    <row r="1361" s="79" customFormat="1" ht="15" customHeight="1" x14ac:dyDescent="0.25"/>
    <row r="1362" s="79" customFormat="1" ht="15" customHeight="1" x14ac:dyDescent="0.25"/>
    <row r="1363" s="79" customFormat="1" ht="15" customHeight="1" x14ac:dyDescent="0.25"/>
    <row r="1364" s="79" customFormat="1" ht="15" customHeight="1" x14ac:dyDescent="0.25"/>
    <row r="1365" s="79" customFormat="1" ht="15" customHeight="1" x14ac:dyDescent="0.25"/>
    <row r="1366" s="79" customFormat="1" ht="15" customHeight="1" x14ac:dyDescent="0.25"/>
    <row r="1367" s="79" customFormat="1" ht="15" customHeight="1" x14ac:dyDescent="0.25"/>
    <row r="1368" s="79" customFormat="1" ht="15" customHeight="1" x14ac:dyDescent="0.25"/>
    <row r="1369" s="79" customFormat="1" ht="15" customHeight="1" x14ac:dyDescent="0.25"/>
    <row r="1370" s="79" customFormat="1" ht="15" customHeight="1" x14ac:dyDescent="0.25"/>
    <row r="1371" s="79" customFormat="1" ht="15" customHeight="1" x14ac:dyDescent="0.25"/>
    <row r="1372" s="79" customFormat="1" ht="15" customHeight="1" x14ac:dyDescent="0.25"/>
    <row r="1373" s="79" customFormat="1" ht="15" customHeight="1" x14ac:dyDescent="0.25"/>
    <row r="1374" s="79" customFormat="1" ht="15" customHeight="1" x14ac:dyDescent="0.25"/>
    <row r="1375" s="79" customFormat="1" ht="15" customHeight="1" x14ac:dyDescent="0.25"/>
    <row r="1376" s="79" customFormat="1" ht="15" customHeight="1" x14ac:dyDescent="0.25"/>
    <row r="1377" s="79" customFormat="1" ht="15" customHeight="1" x14ac:dyDescent="0.25"/>
    <row r="1378" s="79" customFormat="1" ht="15" customHeight="1" x14ac:dyDescent="0.25"/>
    <row r="1379" s="79" customFormat="1" ht="15" customHeight="1" x14ac:dyDescent="0.25"/>
    <row r="1380" s="79" customFormat="1" ht="15" customHeight="1" x14ac:dyDescent="0.25"/>
    <row r="1381" s="79" customFormat="1" ht="15" customHeight="1" x14ac:dyDescent="0.25"/>
    <row r="1382" s="79" customFormat="1" ht="15" customHeight="1" x14ac:dyDescent="0.25"/>
    <row r="1383" s="79" customFormat="1" ht="15" customHeight="1" x14ac:dyDescent="0.25"/>
    <row r="1384" s="79" customFormat="1" ht="15" customHeight="1" x14ac:dyDescent="0.25"/>
    <row r="1385" s="79" customFormat="1" ht="15" customHeight="1" x14ac:dyDescent="0.25"/>
    <row r="1386" s="79" customFormat="1" ht="15" customHeight="1" x14ac:dyDescent="0.25"/>
    <row r="1387" s="79" customFormat="1" ht="15" customHeight="1" x14ac:dyDescent="0.25"/>
    <row r="1388" s="79" customFormat="1" ht="15" customHeight="1" x14ac:dyDescent="0.25"/>
    <row r="1389" s="79" customFormat="1" ht="15" customHeight="1" x14ac:dyDescent="0.25"/>
    <row r="1390" s="79" customFormat="1" ht="15" customHeight="1" x14ac:dyDescent="0.25"/>
    <row r="1391" s="79" customFormat="1" ht="15" customHeight="1" x14ac:dyDescent="0.25"/>
    <row r="1392" s="79" customFormat="1" ht="15" customHeight="1" x14ac:dyDescent="0.25"/>
    <row r="1393" s="79" customFormat="1" ht="15" customHeight="1" x14ac:dyDescent="0.25"/>
    <row r="1394" s="79" customFormat="1" ht="15" customHeight="1" x14ac:dyDescent="0.25"/>
    <row r="1395" s="79" customFormat="1" ht="15" customHeight="1" x14ac:dyDescent="0.25"/>
    <row r="1396" s="79" customFormat="1" ht="15" customHeight="1" x14ac:dyDescent="0.25"/>
    <row r="1397" s="79" customFormat="1" ht="15" customHeight="1" x14ac:dyDescent="0.25"/>
    <row r="1398" s="79" customFormat="1" ht="15" customHeight="1" x14ac:dyDescent="0.25"/>
    <row r="1399" s="79" customFormat="1" ht="15" customHeight="1" x14ac:dyDescent="0.25"/>
    <row r="1400" s="79" customFormat="1" ht="15" customHeight="1" x14ac:dyDescent="0.25"/>
    <row r="1401" s="79" customFormat="1" ht="15" customHeight="1" x14ac:dyDescent="0.25"/>
    <row r="1402" s="79" customFormat="1" ht="15" customHeight="1" x14ac:dyDescent="0.25"/>
    <row r="1403" s="79" customFormat="1" ht="15" customHeight="1" x14ac:dyDescent="0.25"/>
    <row r="1404" s="79" customFormat="1" ht="15" customHeight="1" x14ac:dyDescent="0.25"/>
    <row r="1405" s="79" customFormat="1" ht="15" customHeight="1" x14ac:dyDescent="0.25"/>
    <row r="1406" s="79" customFormat="1" ht="15" customHeight="1" x14ac:dyDescent="0.25"/>
    <row r="1407" s="79" customFormat="1" ht="15" customHeight="1" x14ac:dyDescent="0.25"/>
    <row r="1408" s="79" customFormat="1" ht="15" customHeight="1" x14ac:dyDescent="0.25"/>
    <row r="1409" s="79" customFormat="1" ht="15" customHeight="1" x14ac:dyDescent="0.25"/>
    <row r="1410" s="79" customFormat="1" ht="15" customHeight="1" x14ac:dyDescent="0.25"/>
    <row r="1411" s="79" customFormat="1" ht="15" customHeight="1" x14ac:dyDescent="0.25"/>
    <row r="1412" s="79" customFormat="1" ht="15" customHeight="1" x14ac:dyDescent="0.25"/>
    <row r="1413" s="79" customFormat="1" ht="15" customHeight="1" x14ac:dyDescent="0.25"/>
    <row r="1414" s="79" customFormat="1" ht="15" customHeight="1" x14ac:dyDescent="0.25"/>
    <row r="1415" s="79" customFormat="1" ht="15" customHeight="1" x14ac:dyDescent="0.25"/>
    <row r="1416" s="79" customFormat="1" ht="15" customHeight="1" x14ac:dyDescent="0.25"/>
    <row r="1417" s="79" customFormat="1" ht="15" customHeight="1" x14ac:dyDescent="0.25"/>
    <row r="1418" s="79" customFormat="1" ht="15" customHeight="1" x14ac:dyDescent="0.25"/>
    <row r="1419" s="79" customFormat="1" ht="15" customHeight="1" x14ac:dyDescent="0.25"/>
    <row r="1420" s="79" customFormat="1" ht="15" customHeight="1" x14ac:dyDescent="0.25"/>
    <row r="1421" s="79" customFormat="1" ht="15" customHeight="1" x14ac:dyDescent="0.25"/>
    <row r="1422" s="79" customFormat="1" ht="15" customHeight="1" x14ac:dyDescent="0.25"/>
    <row r="1423" s="79" customFormat="1" ht="15" customHeight="1" x14ac:dyDescent="0.25"/>
    <row r="1424" s="79" customFormat="1" ht="15" customHeight="1" x14ac:dyDescent="0.25"/>
    <row r="1425" s="79" customFormat="1" ht="15" customHeight="1" x14ac:dyDescent="0.25"/>
    <row r="1426" s="79" customFormat="1" ht="15" customHeight="1" x14ac:dyDescent="0.25"/>
    <row r="1427" s="79" customFormat="1" ht="15" customHeight="1" x14ac:dyDescent="0.25"/>
    <row r="1428" s="79" customFormat="1" ht="15" customHeight="1" x14ac:dyDescent="0.25"/>
    <row r="1429" s="79" customFormat="1" ht="15" customHeight="1" x14ac:dyDescent="0.25"/>
    <row r="1430" s="79" customFormat="1" ht="15" customHeight="1" x14ac:dyDescent="0.25"/>
    <row r="1431" s="79" customFormat="1" ht="15" customHeight="1" x14ac:dyDescent="0.25"/>
    <row r="1432" s="79" customFormat="1" ht="15" customHeight="1" x14ac:dyDescent="0.25"/>
    <row r="1433" s="79" customFormat="1" ht="15" customHeight="1" x14ac:dyDescent="0.25"/>
    <row r="1434" s="79" customFormat="1" ht="15" customHeight="1" x14ac:dyDescent="0.25"/>
    <row r="1435" s="79" customFormat="1" ht="15" customHeight="1" x14ac:dyDescent="0.25"/>
    <row r="1436" s="79" customFormat="1" ht="15" customHeight="1" x14ac:dyDescent="0.25"/>
    <row r="1437" s="79" customFormat="1" ht="15" customHeight="1" x14ac:dyDescent="0.25"/>
    <row r="1438" s="79" customFormat="1" ht="15" customHeight="1" x14ac:dyDescent="0.25"/>
    <row r="1439" s="79" customFormat="1" ht="15" customHeight="1" x14ac:dyDescent="0.25"/>
    <row r="1440" s="79" customFormat="1" ht="15" customHeight="1" x14ac:dyDescent="0.25"/>
    <row r="1441" s="79" customFormat="1" ht="15" customHeight="1" x14ac:dyDescent="0.25"/>
    <row r="1442" s="79" customFormat="1" ht="15" customHeight="1" x14ac:dyDescent="0.25"/>
    <row r="1443" s="79" customFormat="1" ht="15" customHeight="1" x14ac:dyDescent="0.25"/>
    <row r="1444" s="79" customFormat="1" ht="15" customHeight="1" x14ac:dyDescent="0.25"/>
    <row r="1445" s="79" customFormat="1" ht="15" customHeight="1" x14ac:dyDescent="0.25"/>
    <row r="1446" s="79" customFormat="1" ht="15" customHeight="1" x14ac:dyDescent="0.25"/>
    <row r="1447" s="79" customFormat="1" ht="15" customHeight="1" x14ac:dyDescent="0.25"/>
    <row r="1448" s="79" customFormat="1" ht="15" customHeight="1" x14ac:dyDescent="0.25"/>
    <row r="1449" s="79" customFormat="1" ht="15" customHeight="1" x14ac:dyDescent="0.25"/>
    <row r="1450" s="79" customFormat="1" ht="15" customHeight="1" x14ac:dyDescent="0.25"/>
    <row r="1451" s="79" customFormat="1" ht="15" customHeight="1" x14ac:dyDescent="0.25"/>
    <row r="1452" s="79" customFormat="1" ht="15" customHeight="1" x14ac:dyDescent="0.25"/>
    <row r="1453" s="79" customFormat="1" ht="15" customHeight="1" x14ac:dyDescent="0.25"/>
    <row r="1454" s="79" customFormat="1" ht="15" customHeight="1" x14ac:dyDescent="0.25"/>
    <row r="1455" s="79" customFormat="1" ht="15" customHeight="1" x14ac:dyDescent="0.25"/>
    <row r="1456" s="79" customFormat="1" ht="15" customHeight="1" x14ac:dyDescent="0.25"/>
    <row r="1457" s="79" customFormat="1" ht="15" customHeight="1" x14ac:dyDescent="0.25"/>
    <row r="1458" s="79" customFormat="1" ht="15" customHeight="1" x14ac:dyDescent="0.25"/>
    <row r="1459" s="79" customFormat="1" ht="15" customHeight="1" x14ac:dyDescent="0.25"/>
    <row r="1460" s="79" customFormat="1" ht="15" customHeight="1" x14ac:dyDescent="0.25"/>
    <row r="1461" s="79" customFormat="1" ht="15" customHeight="1" x14ac:dyDescent="0.25"/>
    <row r="1462" s="79" customFormat="1" ht="15" customHeight="1" x14ac:dyDescent="0.25"/>
    <row r="1463" s="79" customFormat="1" ht="15" customHeight="1" x14ac:dyDescent="0.25"/>
    <row r="1464" s="79" customFormat="1" ht="15" customHeight="1" x14ac:dyDescent="0.25"/>
    <row r="1465" s="79" customFormat="1" ht="15" customHeight="1" x14ac:dyDescent="0.25"/>
    <row r="1466" s="79" customFormat="1" ht="15" customHeight="1" x14ac:dyDescent="0.25"/>
    <row r="1467" s="79" customFormat="1" ht="15" customHeight="1" x14ac:dyDescent="0.25"/>
    <row r="1468" s="79" customFormat="1" ht="15" customHeight="1" x14ac:dyDescent="0.25"/>
    <row r="1469" s="79" customFormat="1" ht="15" customHeight="1" x14ac:dyDescent="0.25"/>
    <row r="1470" s="79" customFormat="1" ht="15" customHeight="1" x14ac:dyDescent="0.25"/>
    <row r="1471" s="79" customFormat="1" ht="15" customHeight="1" x14ac:dyDescent="0.25"/>
    <row r="1472" s="79" customFormat="1" ht="15" customHeight="1" x14ac:dyDescent="0.25"/>
    <row r="1473" s="79" customFormat="1" ht="15" customHeight="1" x14ac:dyDescent="0.25"/>
    <row r="1474" s="79" customFormat="1" ht="15" customHeight="1" x14ac:dyDescent="0.25"/>
    <row r="1475" s="79" customFormat="1" ht="15" customHeight="1" x14ac:dyDescent="0.25"/>
    <row r="1476" s="79" customFormat="1" ht="15" customHeight="1" x14ac:dyDescent="0.25"/>
    <row r="1477" s="79" customFormat="1" ht="15" customHeight="1" x14ac:dyDescent="0.25"/>
    <row r="1478" s="79" customFormat="1" ht="15" customHeight="1" x14ac:dyDescent="0.25"/>
    <row r="1479" s="79" customFormat="1" ht="15" customHeight="1" x14ac:dyDescent="0.25"/>
    <row r="1480" s="79" customFormat="1" ht="15" customHeight="1" x14ac:dyDescent="0.25"/>
    <row r="1481" s="79" customFormat="1" ht="15" customHeight="1" x14ac:dyDescent="0.25"/>
    <row r="1482" s="79" customFormat="1" ht="15" customHeight="1" x14ac:dyDescent="0.25"/>
    <row r="1483" s="79" customFormat="1" ht="15" customHeight="1" x14ac:dyDescent="0.25"/>
    <row r="1484" s="79" customFormat="1" ht="15" customHeight="1" x14ac:dyDescent="0.25"/>
    <row r="1485" s="79" customFormat="1" ht="15" customHeight="1" x14ac:dyDescent="0.25"/>
    <row r="1486" s="79" customFormat="1" ht="15" customHeight="1" x14ac:dyDescent="0.25"/>
    <row r="1487" s="79" customFormat="1" ht="15" customHeight="1" x14ac:dyDescent="0.25"/>
    <row r="1488" s="79" customFormat="1" ht="15" customHeight="1" x14ac:dyDescent="0.25"/>
    <row r="1489" s="79" customFormat="1" ht="15" customHeight="1" x14ac:dyDescent="0.25"/>
    <row r="1490" s="79" customFormat="1" ht="15" customHeight="1" x14ac:dyDescent="0.25"/>
    <row r="1491" s="79" customFormat="1" ht="15" customHeight="1" x14ac:dyDescent="0.25"/>
    <row r="1492" s="79" customFormat="1" ht="15" customHeight="1" x14ac:dyDescent="0.25"/>
    <row r="1493" s="79" customFormat="1" ht="15" customHeight="1" x14ac:dyDescent="0.25"/>
    <row r="1494" s="79" customFormat="1" ht="15" customHeight="1" x14ac:dyDescent="0.25"/>
    <row r="1495" s="79" customFormat="1" ht="15" customHeight="1" x14ac:dyDescent="0.25"/>
    <row r="1496" s="79" customFormat="1" ht="15" customHeight="1" x14ac:dyDescent="0.25"/>
    <row r="1497" s="79" customFormat="1" ht="15" customHeight="1" x14ac:dyDescent="0.25"/>
    <row r="1498" s="79" customFormat="1" ht="15" customHeight="1" x14ac:dyDescent="0.25"/>
    <row r="1499" s="79" customFormat="1" ht="15" customHeight="1" x14ac:dyDescent="0.25"/>
    <row r="1500" s="79" customFormat="1" ht="15" customHeight="1" x14ac:dyDescent="0.25"/>
    <row r="1501" s="79" customFormat="1" ht="15" customHeight="1" x14ac:dyDescent="0.25"/>
    <row r="1502" s="79" customFormat="1" ht="15" customHeight="1" x14ac:dyDescent="0.25"/>
    <row r="1503" s="79" customFormat="1" ht="15" customHeight="1" x14ac:dyDescent="0.25"/>
    <row r="1504" s="79" customFormat="1" ht="15" customHeight="1" x14ac:dyDescent="0.25"/>
    <row r="1505" s="79" customFormat="1" ht="15" customHeight="1" x14ac:dyDescent="0.25"/>
    <row r="1506" s="79" customFormat="1" ht="15" customHeight="1" x14ac:dyDescent="0.25"/>
    <row r="1507" s="79" customFormat="1" ht="15" customHeight="1" x14ac:dyDescent="0.25"/>
    <row r="1508" s="79" customFormat="1" ht="15" customHeight="1" x14ac:dyDescent="0.25"/>
    <row r="1509" s="79" customFormat="1" ht="15" customHeight="1" x14ac:dyDescent="0.25"/>
    <row r="1510" s="79" customFormat="1" ht="15" customHeight="1" x14ac:dyDescent="0.25"/>
    <row r="1511" s="79" customFormat="1" ht="15" customHeight="1" x14ac:dyDescent="0.25"/>
    <row r="1512" s="79" customFormat="1" ht="15" customHeight="1" x14ac:dyDescent="0.25"/>
    <row r="1513" s="79" customFormat="1" ht="15" customHeight="1" x14ac:dyDescent="0.25"/>
    <row r="1514" s="79" customFormat="1" ht="15" customHeight="1" x14ac:dyDescent="0.25"/>
  </sheetData>
  <sheetProtection selectLockedCells="1"/>
  <mergeCells count="6">
    <mergeCell ref="A2:B2"/>
    <mergeCell ref="C2:AG2"/>
    <mergeCell ref="AH2:AH3"/>
    <mergeCell ref="AI2:AL3"/>
    <mergeCell ref="AM2:AP3"/>
    <mergeCell ref="AQ2:AR3"/>
  </mergeCells>
  <conditionalFormatting sqref="C17:C18 C9:AG11 C5:AG7">
    <cfRule type="expression" priority="2064" stopIfTrue="1">
      <formula>C5=""</formula>
    </cfRule>
    <cfRule type="expression" dxfId="7799" priority="2065" stopIfTrue="1">
      <formula>C5=CléPersonnalisée2</formula>
    </cfRule>
    <cfRule type="expression" dxfId="7798" priority="2066" stopIfTrue="1">
      <formula>C5=CléPersonnalisée1</formula>
    </cfRule>
    <cfRule type="expression" dxfId="7797" priority="2067" stopIfTrue="1">
      <formula>C5=CléMaladie</formula>
    </cfRule>
    <cfRule type="expression" dxfId="7796" priority="2068" stopIfTrue="1">
      <formula>C5=CléPersonnelle</formula>
    </cfRule>
    <cfRule type="expression" dxfId="7795" priority="2069" stopIfTrue="1">
      <formula>C5=CléCongés</formula>
    </cfRule>
  </conditionalFormatting>
  <conditionalFormatting sqref="AH5:AH6 AH9:AH11">
    <cfRule type="dataBar" priority="2070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{15E7C62B-D906-4461-93C7-86706CEFD6E8}</x14:id>
        </ext>
      </extLst>
    </cfRule>
  </conditionalFormatting>
  <conditionalFormatting sqref="AI5:AL6 AI9:AL11">
    <cfRule type="expression" priority="2058" stopIfTrue="1">
      <formula>AI5=""</formula>
    </cfRule>
    <cfRule type="expression" dxfId="7794" priority="2059" stopIfTrue="1">
      <formula>AI5=CléPersonnalisée2</formula>
    </cfRule>
    <cfRule type="expression" dxfId="7793" priority="2060" stopIfTrue="1">
      <formula>AI5=CléPersonnalisée1</formula>
    </cfRule>
    <cfRule type="expression" dxfId="7792" priority="2061" stopIfTrue="1">
      <formula>AI5=CléMaladie</formula>
    </cfRule>
    <cfRule type="expression" dxfId="7791" priority="2062" stopIfTrue="1">
      <formula>AI5=CléPersonnelle</formula>
    </cfRule>
    <cfRule type="expression" dxfId="7790" priority="2063" stopIfTrue="1">
      <formula>AI5=CléCongés</formula>
    </cfRule>
  </conditionalFormatting>
  <conditionalFormatting sqref="AM5:AP6 AM9:AP10">
    <cfRule type="expression" priority="2052" stopIfTrue="1">
      <formula>AM5=""</formula>
    </cfRule>
    <cfRule type="expression" dxfId="7789" priority="2053" stopIfTrue="1">
      <formula>AM5=CléPersonnalisée2</formula>
    </cfRule>
    <cfRule type="expression" dxfId="7788" priority="2054" stopIfTrue="1">
      <formula>AM5=CléPersonnalisée1</formula>
    </cfRule>
    <cfRule type="expression" dxfId="7787" priority="2055" stopIfTrue="1">
      <formula>AM5=CléMaladie</formula>
    </cfRule>
    <cfRule type="expression" dxfId="7786" priority="2056" stopIfTrue="1">
      <formula>AM5=CléPersonnelle</formula>
    </cfRule>
    <cfRule type="expression" dxfId="7785" priority="2057" stopIfTrue="1">
      <formula>AM5=CléCongés</formula>
    </cfRule>
  </conditionalFormatting>
  <conditionalFormatting sqref="AQ5:AR6 AQ9:AR10 AQ32:AR32 AQ44:AR44">
    <cfRule type="expression" priority="2046" stopIfTrue="1">
      <formula>AQ5=""</formula>
    </cfRule>
    <cfRule type="expression" dxfId="7784" priority="2047" stopIfTrue="1">
      <formula>AQ5=CléPersonnalisée2</formula>
    </cfRule>
    <cfRule type="expression" dxfId="7783" priority="2048" stopIfTrue="1">
      <formula>AQ5=CléPersonnalisée1</formula>
    </cfRule>
    <cfRule type="expression" dxfId="7782" priority="2049" stopIfTrue="1">
      <formula>AQ5=CléMaladie</formula>
    </cfRule>
    <cfRule type="expression" dxfId="7781" priority="2050" stopIfTrue="1">
      <formula>AQ5=CléPersonnelle</formula>
    </cfRule>
    <cfRule type="expression" dxfId="7780" priority="2051" stopIfTrue="1">
      <formula>AQ5=CléCongés</formula>
    </cfRule>
  </conditionalFormatting>
  <conditionalFormatting sqref="AP8">
    <cfRule type="expression" priority="2040" stopIfTrue="1">
      <formula>AP8=""</formula>
    </cfRule>
    <cfRule type="expression" dxfId="7779" priority="2041" stopIfTrue="1">
      <formula>AP8=CléPersonnalisée2</formula>
    </cfRule>
    <cfRule type="expression" dxfId="7778" priority="2042" stopIfTrue="1">
      <formula>AP8=CléPersonnalisée1</formula>
    </cfRule>
    <cfRule type="expression" dxfId="7777" priority="2043" stopIfTrue="1">
      <formula>AP8=CléMaladie</formula>
    </cfRule>
    <cfRule type="expression" dxfId="7776" priority="2044" stopIfTrue="1">
      <formula>AP8=CléPersonnelle</formula>
    </cfRule>
    <cfRule type="expression" dxfId="7775" priority="2045" stopIfTrue="1">
      <formula>AP8=CléCongés</formula>
    </cfRule>
  </conditionalFormatting>
  <conditionalFormatting sqref="AQ8:AR8 AR7">
    <cfRule type="expression" priority="2034" stopIfTrue="1">
      <formula>AQ7=""</formula>
    </cfRule>
    <cfRule type="expression" dxfId="7774" priority="2035" stopIfTrue="1">
      <formula>AQ7=CléPersonnalisée2</formula>
    </cfRule>
    <cfRule type="expression" dxfId="7773" priority="2036" stopIfTrue="1">
      <formula>AQ7=CléPersonnalisée1</formula>
    </cfRule>
    <cfRule type="expression" dxfId="7772" priority="2037" stopIfTrue="1">
      <formula>AQ7=CléMaladie</formula>
    </cfRule>
    <cfRule type="expression" dxfId="7771" priority="2038" stopIfTrue="1">
      <formula>AQ7=CléPersonnelle</formula>
    </cfRule>
    <cfRule type="expression" dxfId="7770" priority="2039" stopIfTrue="1">
      <formula>AQ7=CléCongés</formula>
    </cfRule>
  </conditionalFormatting>
  <conditionalFormatting sqref="AM11">
    <cfRule type="expression" priority="2028" stopIfTrue="1">
      <formula>AM11=""</formula>
    </cfRule>
    <cfRule type="expression" dxfId="7769" priority="2029" stopIfTrue="1">
      <formula>AM11=CléPersonnalisée2</formula>
    </cfRule>
    <cfRule type="expression" dxfId="7768" priority="2030" stopIfTrue="1">
      <formula>AM11=CléPersonnalisée1</formula>
    </cfRule>
    <cfRule type="expression" dxfId="7767" priority="2031" stopIfTrue="1">
      <formula>AM11=CléMaladie</formula>
    </cfRule>
    <cfRule type="expression" dxfId="7766" priority="2032" stopIfTrue="1">
      <formula>AM11=CléPersonnelle</formula>
    </cfRule>
    <cfRule type="expression" dxfId="7765" priority="2033" stopIfTrue="1">
      <formula>AM11=CléCongés</formula>
    </cfRule>
  </conditionalFormatting>
  <conditionalFormatting sqref="AQ48:AR48">
    <cfRule type="expression" priority="2022" stopIfTrue="1">
      <formula>AQ48=""</formula>
    </cfRule>
    <cfRule type="expression" dxfId="7764" priority="2023" stopIfTrue="1">
      <formula>AQ48=CléPersonnalisée2</formula>
    </cfRule>
    <cfRule type="expression" dxfId="7763" priority="2024" stopIfTrue="1">
      <formula>AQ48=CléPersonnalisée1</formula>
    </cfRule>
    <cfRule type="expression" dxfId="7762" priority="2025" stopIfTrue="1">
      <formula>AQ48=CléMaladie</formula>
    </cfRule>
    <cfRule type="expression" dxfId="7761" priority="2026" stopIfTrue="1">
      <formula>AQ48=CléPersonnelle</formula>
    </cfRule>
    <cfRule type="expression" dxfId="7760" priority="2027" stopIfTrue="1">
      <formula>AQ48=CléCongés</formula>
    </cfRule>
  </conditionalFormatting>
  <conditionalFormatting sqref="AQ52:AR52">
    <cfRule type="expression" priority="2016" stopIfTrue="1">
      <formula>AQ52=""</formula>
    </cfRule>
    <cfRule type="expression" dxfId="7759" priority="2017" stopIfTrue="1">
      <formula>AQ52=CléPersonnalisée2</formula>
    </cfRule>
    <cfRule type="expression" dxfId="7758" priority="2018" stopIfTrue="1">
      <formula>AQ52=CléPersonnalisée1</formula>
    </cfRule>
    <cfRule type="expression" dxfId="7757" priority="2019" stopIfTrue="1">
      <formula>AQ52=CléMaladie</formula>
    </cfRule>
    <cfRule type="expression" dxfId="7756" priority="2020" stopIfTrue="1">
      <formula>AQ52=CléPersonnelle</formula>
    </cfRule>
    <cfRule type="expression" dxfId="7755" priority="2021" stopIfTrue="1">
      <formula>AQ52=CléCongés</formula>
    </cfRule>
  </conditionalFormatting>
  <conditionalFormatting sqref="AQ56:AR56 AQ60:AR60">
    <cfRule type="expression" priority="2010" stopIfTrue="1">
      <formula>AQ56=""</formula>
    </cfRule>
    <cfRule type="expression" dxfId="7754" priority="2011" stopIfTrue="1">
      <formula>AQ56=CléPersonnalisée2</formula>
    </cfRule>
    <cfRule type="expression" dxfId="7753" priority="2012" stopIfTrue="1">
      <formula>AQ56=CléPersonnalisée1</formula>
    </cfRule>
    <cfRule type="expression" dxfId="7752" priority="2013" stopIfTrue="1">
      <formula>AQ56=CléMaladie</formula>
    </cfRule>
    <cfRule type="expression" dxfId="7751" priority="2014" stopIfTrue="1">
      <formula>AQ56=CléPersonnelle</formula>
    </cfRule>
    <cfRule type="expression" dxfId="7750" priority="2015" stopIfTrue="1">
      <formula>AQ56=CléCongés</formula>
    </cfRule>
  </conditionalFormatting>
  <conditionalFormatting sqref="AQ64:AR64 AQ68:AR68">
    <cfRule type="expression" priority="2004" stopIfTrue="1">
      <formula>AQ64=""</formula>
    </cfRule>
    <cfRule type="expression" dxfId="7749" priority="2005" stopIfTrue="1">
      <formula>AQ64=CléPersonnalisée2</formula>
    </cfRule>
    <cfRule type="expression" dxfId="7748" priority="2006" stopIfTrue="1">
      <formula>AQ64=CléPersonnalisée1</formula>
    </cfRule>
    <cfRule type="expression" dxfId="7747" priority="2007" stopIfTrue="1">
      <formula>AQ64=CléMaladie</formula>
    </cfRule>
    <cfRule type="expression" dxfId="7746" priority="2008" stopIfTrue="1">
      <formula>AQ64=CléPersonnelle</formula>
    </cfRule>
    <cfRule type="expression" dxfId="7745" priority="2009" stopIfTrue="1">
      <formula>AQ64=CléCongés</formula>
    </cfRule>
  </conditionalFormatting>
  <conditionalFormatting sqref="AQ72:AR72 AQ76:AR76 AQ84:AR84 AQ88:AR88 AQ92:AR92 AQ80:AR80">
    <cfRule type="expression" priority="1998" stopIfTrue="1">
      <formula>AQ72=""</formula>
    </cfRule>
    <cfRule type="expression" dxfId="7744" priority="1999" stopIfTrue="1">
      <formula>AQ72=CléPersonnalisée2</formula>
    </cfRule>
    <cfRule type="expression" dxfId="7743" priority="2000" stopIfTrue="1">
      <formula>AQ72=CléPersonnalisée1</formula>
    </cfRule>
    <cfRule type="expression" dxfId="7742" priority="2001" stopIfTrue="1">
      <formula>AQ72=CléMaladie</formula>
    </cfRule>
    <cfRule type="expression" dxfId="7741" priority="2002" stopIfTrue="1">
      <formula>AQ72=CléPersonnelle</formula>
    </cfRule>
    <cfRule type="expression" dxfId="7740" priority="2003" stopIfTrue="1">
      <formula>AQ72=CléCongés</formula>
    </cfRule>
  </conditionalFormatting>
  <conditionalFormatting sqref="D17:AG18 C19:AG19">
    <cfRule type="expression" priority="1992" stopIfTrue="1">
      <formula>C17=""</formula>
    </cfRule>
    <cfRule type="expression" dxfId="7739" priority="1993" stopIfTrue="1">
      <formula>C17=CléPersonnalisée2</formula>
    </cfRule>
    <cfRule type="expression" dxfId="7738" priority="1994" stopIfTrue="1">
      <formula>C17=CléPersonnalisée1</formula>
    </cfRule>
    <cfRule type="expression" dxfId="7737" priority="1995" stopIfTrue="1">
      <formula>C17=CléMaladie</formula>
    </cfRule>
    <cfRule type="expression" dxfId="7736" priority="1996" stopIfTrue="1">
      <formula>C17=CléPersonnelle</formula>
    </cfRule>
    <cfRule type="expression" dxfId="7735" priority="1997" stopIfTrue="1">
      <formula>C17=CléCongés</formula>
    </cfRule>
  </conditionalFormatting>
  <conditionalFormatting sqref="AJ17:AL19">
    <cfRule type="expression" priority="1986" stopIfTrue="1">
      <formula>AJ17=""</formula>
    </cfRule>
    <cfRule type="expression" dxfId="7734" priority="1987" stopIfTrue="1">
      <formula>AJ17=CléPersonnalisée2</formula>
    </cfRule>
    <cfRule type="expression" dxfId="7733" priority="1988" stopIfTrue="1">
      <formula>AJ17=CléPersonnalisée1</formula>
    </cfRule>
    <cfRule type="expression" dxfId="7732" priority="1989" stopIfTrue="1">
      <formula>AJ17=CléMaladie</formula>
    </cfRule>
    <cfRule type="expression" dxfId="7731" priority="1990" stopIfTrue="1">
      <formula>AJ17=CléPersonnelle</formula>
    </cfRule>
    <cfRule type="expression" dxfId="7730" priority="1991" stopIfTrue="1">
      <formula>AJ17=CléCongés</formula>
    </cfRule>
  </conditionalFormatting>
  <conditionalFormatting sqref="C21:AG23">
    <cfRule type="expression" priority="1980" stopIfTrue="1">
      <formula>C21=""</formula>
    </cfRule>
    <cfRule type="expression" dxfId="7729" priority="1981" stopIfTrue="1">
      <formula>C21=CléPersonnalisée2</formula>
    </cfRule>
    <cfRule type="expression" dxfId="7728" priority="1982" stopIfTrue="1">
      <formula>C21=CléPersonnalisée1</formula>
    </cfRule>
    <cfRule type="expression" dxfId="7727" priority="1983" stopIfTrue="1">
      <formula>C21=CléMaladie</formula>
    </cfRule>
    <cfRule type="expression" dxfId="7726" priority="1984" stopIfTrue="1">
      <formula>C21=CléPersonnelle</formula>
    </cfRule>
    <cfRule type="expression" dxfId="7725" priority="1985" stopIfTrue="1">
      <formula>C21=CléCongés</formula>
    </cfRule>
  </conditionalFormatting>
  <conditionalFormatting sqref="AJ21:AL23">
    <cfRule type="expression" priority="1974" stopIfTrue="1">
      <formula>AJ21=""</formula>
    </cfRule>
    <cfRule type="expression" dxfId="7724" priority="1975" stopIfTrue="1">
      <formula>AJ21=CléPersonnalisée2</formula>
    </cfRule>
    <cfRule type="expression" dxfId="7723" priority="1976" stopIfTrue="1">
      <formula>AJ21=CléPersonnalisée1</formula>
    </cfRule>
    <cfRule type="expression" dxfId="7722" priority="1977" stopIfTrue="1">
      <formula>AJ21=CléMaladie</formula>
    </cfRule>
    <cfRule type="expression" dxfId="7721" priority="1978" stopIfTrue="1">
      <formula>AJ21=CléPersonnelle</formula>
    </cfRule>
    <cfRule type="expression" dxfId="7720" priority="1979" stopIfTrue="1">
      <formula>AJ21=CléCongés</formula>
    </cfRule>
  </conditionalFormatting>
  <conditionalFormatting sqref="C25:AG27">
    <cfRule type="expression" priority="1967" stopIfTrue="1">
      <formula>C25=""</formula>
    </cfRule>
    <cfRule type="expression" dxfId="7719" priority="1968" stopIfTrue="1">
      <formula>C25=CléPersonnalisée2</formula>
    </cfRule>
    <cfRule type="expression" dxfId="7718" priority="1969" stopIfTrue="1">
      <formula>C25=CléPersonnalisée1</formula>
    </cfRule>
    <cfRule type="expression" dxfId="7717" priority="1970" stopIfTrue="1">
      <formula>C25=CléMaladie</formula>
    </cfRule>
    <cfRule type="expression" dxfId="7716" priority="1971" stopIfTrue="1">
      <formula>C25=CléPersonnelle</formula>
    </cfRule>
    <cfRule type="expression" dxfId="7715" priority="1972" stopIfTrue="1">
      <formula>C25=CléCongés</formula>
    </cfRule>
  </conditionalFormatting>
  <conditionalFormatting sqref="AH27">
    <cfRule type="dataBar" priority="1973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{16B63B3C-0F28-48FE-A102-7BA23C7134B7}</x14:id>
        </ext>
      </extLst>
    </cfRule>
  </conditionalFormatting>
  <conditionalFormatting sqref="AI27:AL27 AJ25:AL26">
    <cfRule type="expression" priority="1961" stopIfTrue="1">
      <formula>AI25=""</formula>
    </cfRule>
    <cfRule type="expression" dxfId="7714" priority="1962" stopIfTrue="1">
      <formula>AI25=CléPersonnalisée2</formula>
    </cfRule>
    <cfRule type="expression" dxfId="7713" priority="1963" stopIfTrue="1">
      <formula>AI25=CléPersonnalisée1</formula>
    </cfRule>
    <cfRule type="expression" dxfId="7712" priority="1964" stopIfTrue="1">
      <formula>AI25=CléMaladie</formula>
    </cfRule>
    <cfRule type="expression" dxfId="7711" priority="1965" stopIfTrue="1">
      <formula>AI25=CléPersonnelle</formula>
    </cfRule>
    <cfRule type="expression" dxfId="7710" priority="1966" stopIfTrue="1">
      <formula>AI25=CléCongés</formula>
    </cfRule>
  </conditionalFormatting>
  <conditionalFormatting sqref="AM25:AP26">
    <cfRule type="expression" priority="1955" stopIfTrue="1">
      <formula>AM25=""</formula>
    </cfRule>
    <cfRule type="expression" dxfId="7709" priority="1956" stopIfTrue="1">
      <formula>AM25=CléPersonnalisée2</formula>
    </cfRule>
    <cfRule type="expression" dxfId="7708" priority="1957" stopIfTrue="1">
      <formula>AM25=CléPersonnalisée1</formula>
    </cfRule>
    <cfRule type="expression" dxfId="7707" priority="1958" stopIfTrue="1">
      <formula>AM25=CléMaladie</formula>
    </cfRule>
    <cfRule type="expression" dxfId="7706" priority="1959" stopIfTrue="1">
      <formula>AM25=CléPersonnelle</formula>
    </cfRule>
    <cfRule type="expression" dxfId="7705" priority="1960" stopIfTrue="1">
      <formula>AM25=CléCongés</formula>
    </cfRule>
  </conditionalFormatting>
  <conditionalFormatting sqref="AQ25:AR26">
    <cfRule type="expression" priority="1949" stopIfTrue="1">
      <formula>AQ25=""</formula>
    </cfRule>
    <cfRule type="expression" dxfId="7704" priority="1950" stopIfTrue="1">
      <formula>AQ25=CléPersonnalisée2</formula>
    </cfRule>
    <cfRule type="expression" dxfId="7703" priority="1951" stopIfTrue="1">
      <formula>AQ25=CléPersonnalisée1</formula>
    </cfRule>
    <cfRule type="expression" dxfId="7702" priority="1952" stopIfTrue="1">
      <formula>AQ25=CléMaladie</formula>
    </cfRule>
    <cfRule type="expression" dxfId="7701" priority="1953" stopIfTrue="1">
      <formula>AQ25=CléPersonnelle</formula>
    </cfRule>
    <cfRule type="expression" dxfId="7700" priority="1954" stopIfTrue="1">
      <formula>AQ25=CléCongés</formula>
    </cfRule>
  </conditionalFormatting>
  <conditionalFormatting sqref="AM27">
    <cfRule type="expression" priority="1943" stopIfTrue="1">
      <formula>AM27=""</formula>
    </cfRule>
    <cfRule type="expression" dxfId="7699" priority="1944" stopIfTrue="1">
      <formula>AM27=CléPersonnalisée2</formula>
    </cfRule>
    <cfRule type="expression" dxfId="7698" priority="1945" stopIfTrue="1">
      <formula>AM27=CléPersonnalisée1</formula>
    </cfRule>
    <cfRule type="expression" dxfId="7697" priority="1946" stopIfTrue="1">
      <formula>AM27=CléMaladie</formula>
    </cfRule>
    <cfRule type="expression" dxfId="7696" priority="1947" stopIfTrue="1">
      <formula>AM27=CléPersonnelle</formula>
    </cfRule>
    <cfRule type="expression" dxfId="7695" priority="1948" stopIfTrue="1">
      <formula>AM27=CléCongés</formula>
    </cfRule>
  </conditionalFormatting>
  <conditionalFormatting sqref="C29:AG31">
    <cfRule type="expression" priority="1936" stopIfTrue="1">
      <formula>C29=""</formula>
    </cfRule>
    <cfRule type="expression" dxfId="7694" priority="1937" stopIfTrue="1">
      <formula>C29=CléPersonnalisée2</formula>
    </cfRule>
    <cfRule type="expression" dxfId="7693" priority="1938" stopIfTrue="1">
      <formula>C29=CléPersonnalisée1</formula>
    </cfRule>
    <cfRule type="expression" dxfId="7692" priority="1939" stopIfTrue="1">
      <formula>C29=CléMaladie</formula>
    </cfRule>
    <cfRule type="expression" dxfId="7691" priority="1940" stopIfTrue="1">
      <formula>C29=CléPersonnelle</formula>
    </cfRule>
    <cfRule type="expression" dxfId="7690" priority="1941" stopIfTrue="1">
      <formula>C29=CléCongés</formula>
    </cfRule>
  </conditionalFormatting>
  <conditionalFormatting sqref="AH31">
    <cfRule type="dataBar" priority="1942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{87CCCF6C-7470-4580-8CA4-FD5BC60E6357}</x14:id>
        </ext>
      </extLst>
    </cfRule>
  </conditionalFormatting>
  <conditionalFormatting sqref="AI31:AL31 AJ29:AL30">
    <cfRule type="expression" priority="1930" stopIfTrue="1">
      <formula>AI29=""</formula>
    </cfRule>
    <cfRule type="expression" dxfId="7689" priority="1931" stopIfTrue="1">
      <formula>AI29=CléPersonnalisée2</formula>
    </cfRule>
    <cfRule type="expression" dxfId="7688" priority="1932" stopIfTrue="1">
      <formula>AI29=CléPersonnalisée1</formula>
    </cfRule>
    <cfRule type="expression" dxfId="7687" priority="1933" stopIfTrue="1">
      <formula>AI29=CléMaladie</formula>
    </cfRule>
    <cfRule type="expression" dxfId="7686" priority="1934" stopIfTrue="1">
      <formula>AI29=CléPersonnelle</formula>
    </cfRule>
    <cfRule type="expression" dxfId="7685" priority="1935" stopIfTrue="1">
      <formula>AI29=CléCongés</formula>
    </cfRule>
  </conditionalFormatting>
  <conditionalFormatting sqref="AM29:AP30">
    <cfRule type="expression" priority="1924" stopIfTrue="1">
      <formula>AM29=""</formula>
    </cfRule>
    <cfRule type="expression" dxfId="7684" priority="1925" stopIfTrue="1">
      <formula>AM29=CléPersonnalisée2</formula>
    </cfRule>
    <cfRule type="expression" dxfId="7683" priority="1926" stopIfTrue="1">
      <formula>AM29=CléPersonnalisée1</formula>
    </cfRule>
    <cfRule type="expression" dxfId="7682" priority="1927" stopIfTrue="1">
      <formula>AM29=CléMaladie</formula>
    </cfRule>
    <cfRule type="expression" dxfId="7681" priority="1928" stopIfTrue="1">
      <formula>AM29=CléPersonnelle</formula>
    </cfRule>
    <cfRule type="expression" dxfId="7680" priority="1929" stopIfTrue="1">
      <formula>AM29=CléCongés</formula>
    </cfRule>
  </conditionalFormatting>
  <conditionalFormatting sqref="AQ29:AR30">
    <cfRule type="expression" priority="1918" stopIfTrue="1">
      <formula>AQ29=""</formula>
    </cfRule>
    <cfRule type="expression" dxfId="7679" priority="1919" stopIfTrue="1">
      <formula>AQ29=CléPersonnalisée2</formula>
    </cfRule>
    <cfRule type="expression" dxfId="7678" priority="1920" stopIfTrue="1">
      <formula>AQ29=CléPersonnalisée1</formula>
    </cfRule>
    <cfRule type="expression" dxfId="7677" priority="1921" stopIfTrue="1">
      <formula>AQ29=CléMaladie</formula>
    </cfRule>
    <cfRule type="expression" dxfId="7676" priority="1922" stopIfTrue="1">
      <formula>AQ29=CléPersonnelle</formula>
    </cfRule>
    <cfRule type="expression" dxfId="7675" priority="1923" stopIfTrue="1">
      <formula>AQ29=CléCongés</formula>
    </cfRule>
  </conditionalFormatting>
  <conditionalFormatting sqref="AM31">
    <cfRule type="expression" priority="1912" stopIfTrue="1">
      <formula>AM31=""</formula>
    </cfRule>
    <cfRule type="expression" dxfId="7674" priority="1913" stopIfTrue="1">
      <formula>AM31=CléPersonnalisée2</formula>
    </cfRule>
    <cfRule type="expression" dxfId="7673" priority="1914" stopIfTrue="1">
      <formula>AM31=CléPersonnalisée1</formula>
    </cfRule>
    <cfRule type="expression" dxfId="7672" priority="1915" stopIfTrue="1">
      <formula>AM31=CléMaladie</formula>
    </cfRule>
    <cfRule type="expression" dxfId="7671" priority="1916" stopIfTrue="1">
      <formula>AM31=CléPersonnelle</formula>
    </cfRule>
    <cfRule type="expression" dxfId="7670" priority="1917" stopIfTrue="1">
      <formula>AM31=CléCongés</formula>
    </cfRule>
  </conditionalFormatting>
  <conditionalFormatting sqref="C33:AG35">
    <cfRule type="expression" priority="1905" stopIfTrue="1">
      <formula>C33=""</formula>
    </cfRule>
    <cfRule type="expression" dxfId="7669" priority="1906" stopIfTrue="1">
      <formula>C33=CléPersonnalisée2</formula>
    </cfRule>
    <cfRule type="expression" dxfId="7668" priority="1907" stopIfTrue="1">
      <formula>C33=CléPersonnalisée1</formula>
    </cfRule>
    <cfRule type="expression" dxfId="7667" priority="1908" stopIfTrue="1">
      <formula>C33=CléMaladie</formula>
    </cfRule>
    <cfRule type="expression" dxfId="7666" priority="1909" stopIfTrue="1">
      <formula>C33=CléPersonnelle</formula>
    </cfRule>
    <cfRule type="expression" dxfId="7665" priority="1910" stopIfTrue="1">
      <formula>C33=CléCongés</formula>
    </cfRule>
  </conditionalFormatting>
  <conditionalFormatting sqref="AH35">
    <cfRule type="dataBar" priority="1911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{BAA31412-DE19-48ED-8D52-C33A23C88D64}</x14:id>
        </ext>
      </extLst>
    </cfRule>
  </conditionalFormatting>
  <conditionalFormatting sqref="AI35:AL35 AJ33:AL34">
    <cfRule type="expression" priority="1899" stopIfTrue="1">
      <formula>AI33=""</formula>
    </cfRule>
    <cfRule type="expression" dxfId="7664" priority="1900" stopIfTrue="1">
      <formula>AI33=CléPersonnalisée2</formula>
    </cfRule>
    <cfRule type="expression" dxfId="7663" priority="1901" stopIfTrue="1">
      <formula>AI33=CléPersonnalisée1</formula>
    </cfRule>
    <cfRule type="expression" dxfId="7662" priority="1902" stopIfTrue="1">
      <formula>AI33=CléMaladie</formula>
    </cfRule>
    <cfRule type="expression" dxfId="7661" priority="1903" stopIfTrue="1">
      <formula>AI33=CléPersonnelle</formula>
    </cfRule>
    <cfRule type="expression" dxfId="7660" priority="1904" stopIfTrue="1">
      <formula>AI33=CléCongés</formula>
    </cfRule>
  </conditionalFormatting>
  <conditionalFormatting sqref="AM33:AP34">
    <cfRule type="expression" priority="1893" stopIfTrue="1">
      <formula>AM33=""</formula>
    </cfRule>
    <cfRule type="expression" dxfId="7659" priority="1894" stopIfTrue="1">
      <formula>AM33=CléPersonnalisée2</formula>
    </cfRule>
    <cfRule type="expression" dxfId="7658" priority="1895" stopIfTrue="1">
      <formula>AM33=CléPersonnalisée1</formula>
    </cfRule>
    <cfRule type="expression" dxfId="7657" priority="1896" stopIfTrue="1">
      <formula>AM33=CléMaladie</formula>
    </cfRule>
    <cfRule type="expression" dxfId="7656" priority="1897" stopIfTrue="1">
      <formula>AM33=CléPersonnelle</formula>
    </cfRule>
    <cfRule type="expression" dxfId="7655" priority="1898" stopIfTrue="1">
      <formula>AM33=CléCongés</formula>
    </cfRule>
  </conditionalFormatting>
  <conditionalFormatting sqref="AQ33:AR34">
    <cfRule type="expression" priority="1887" stopIfTrue="1">
      <formula>AQ33=""</formula>
    </cfRule>
    <cfRule type="expression" dxfId="7654" priority="1888" stopIfTrue="1">
      <formula>AQ33=CléPersonnalisée2</formula>
    </cfRule>
    <cfRule type="expression" dxfId="7653" priority="1889" stopIfTrue="1">
      <formula>AQ33=CléPersonnalisée1</formula>
    </cfRule>
    <cfRule type="expression" dxfId="7652" priority="1890" stopIfTrue="1">
      <formula>AQ33=CléMaladie</formula>
    </cfRule>
    <cfRule type="expression" dxfId="7651" priority="1891" stopIfTrue="1">
      <formula>AQ33=CléPersonnelle</formula>
    </cfRule>
    <cfRule type="expression" dxfId="7650" priority="1892" stopIfTrue="1">
      <formula>AQ33=CléCongés</formula>
    </cfRule>
  </conditionalFormatting>
  <conditionalFormatting sqref="AM35">
    <cfRule type="expression" priority="1881" stopIfTrue="1">
      <formula>AM35=""</formula>
    </cfRule>
    <cfRule type="expression" dxfId="7649" priority="1882" stopIfTrue="1">
      <formula>AM35=CléPersonnalisée2</formula>
    </cfRule>
    <cfRule type="expression" dxfId="7648" priority="1883" stopIfTrue="1">
      <formula>AM35=CléPersonnalisée1</formula>
    </cfRule>
    <cfRule type="expression" dxfId="7647" priority="1884" stopIfTrue="1">
      <formula>AM35=CléMaladie</formula>
    </cfRule>
    <cfRule type="expression" dxfId="7646" priority="1885" stopIfTrue="1">
      <formula>AM35=CléPersonnelle</formula>
    </cfRule>
    <cfRule type="expression" dxfId="7645" priority="1886" stopIfTrue="1">
      <formula>AM35=CléCongés</formula>
    </cfRule>
  </conditionalFormatting>
  <conditionalFormatting sqref="C37:AG39">
    <cfRule type="expression" priority="1874" stopIfTrue="1">
      <formula>C37=""</formula>
    </cfRule>
    <cfRule type="expression" dxfId="7644" priority="1875" stopIfTrue="1">
      <formula>C37=CléPersonnalisée2</formula>
    </cfRule>
    <cfRule type="expression" dxfId="7643" priority="1876" stopIfTrue="1">
      <formula>C37=CléPersonnalisée1</formula>
    </cfRule>
    <cfRule type="expression" dxfId="7642" priority="1877" stopIfTrue="1">
      <formula>C37=CléMaladie</formula>
    </cfRule>
    <cfRule type="expression" dxfId="7641" priority="1878" stopIfTrue="1">
      <formula>C37=CléPersonnelle</formula>
    </cfRule>
    <cfRule type="expression" dxfId="7640" priority="1879" stopIfTrue="1">
      <formula>C37=CléCongés</formula>
    </cfRule>
  </conditionalFormatting>
  <conditionalFormatting sqref="AH39">
    <cfRule type="dataBar" priority="1880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{6D167B45-7E46-49F2-93AE-094DC3C76064}</x14:id>
        </ext>
      </extLst>
    </cfRule>
  </conditionalFormatting>
  <conditionalFormatting sqref="AI39:AL39 AJ37:AL38">
    <cfRule type="expression" priority="1868" stopIfTrue="1">
      <formula>AI37=""</formula>
    </cfRule>
    <cfRule type="expression" dxfId="7639" priority="1869" stopIfTrue="1">
      <formula>AI37=CléPersonnalisée2</formula>
    </cfRule>
    <cfRule type="expression" dxfId="7638" priority="1870" stopIfTrue="1">
      <formula>AI37=CléPersonnalisée1</formula>
    </cfRule>
    <cfRule type="expression" dxfId="7637" priority="1871" stopIfTrue="1">
      <formula>AI37=CléMaladie</formula>
    </cfRule>
    <cfRule type="expression" dxfId="7636" priority="1872" stopIfTrue="1">
      <formula>AI37=CléPersonnelle</formula>
    </cfRule>
    <cfRule type="expression" dxfId="7635" priority="1873" stopIfTrue="1">
      <formula>AI37=CléCongés</formula>
    </cfRule>
  </conditionalFormatting>
  <conditionalFormatting sqref="AM37:AP38">
    <cfRule type="expression" priority="1862" stopIfTrue="1">
      <formula>AM37=""</formula>
    </cfRule>
    <cfRule type="expression" dxfId="7634" priority="1863" stopIfTrue="1">
      <formula>AM37=CléPersonnalisée2</formula>
    </cfRule>
    <cfRule type="expression" dxfId="7633" priority="1864" stopIfTrue="1">
      <formula>AM37=CléPersonnalisée1</formula>
    </cfRule>
    <cfRule type="expression" dxfId="7632" priority="1865" stopIfTrue="1">
      <formula>AM37=CléMaladie</formula>
    </cfRule>
    <cfRule type="expression" dxfId="7631" priority="1866" stopIfTrue="1">
      <formula>AM37=CléPersonnelle</formula>
    </cfRule>
    <cfRule type="expression" dxfId="7630" priority="1867" stopIfTrue="1">
      <formula>AM37=CléCongés</formula>
    </cfRule>
  </conditionalFormatting>
  <conditionalFormatting sqref="AQ37:AR38">
    <cfRule type="expression" priority="1856" stopIfTrue="1">
      <formula>AQ37=""</formula>
    </cfRule>
    <cfRule type="expression" dxfId="7629" priority="1857" stopIfTrue="1">
      <formula>AQ37=CléPersonnalisée2</formula>
    </cfRule>
    <cfRule type="expression" dxfId="7628" priority="1858" stopIfTrue="1">
      <formula>AQ37=CléPersonnalisée1</formula>
    </cfRule>
    <cfRule type="expression" dxfId="7627" priority="1859" stopIfTrue="1">
      <formula>AQ37=CléMaladie</formula>
    </cfRule>
    <cfRule type="expression" dxfId="7626" priority="1860" stopIfTrue="1">
      <formula>AQ37=CléPersonnelle</formula>
    </cfRule>
    <cfRule type="expression" dxfId="7625" priority="1861" stopIfTrue="1">
      <formula>AQ37=CléCongés</formula>
    </cfRule>
  </conditionalFormatting>
  <conditionalFormatting sqref="AM39">
    <cfRule type="expression" priority="1850" stopIfTrue="1">
      <formula>AM39=""</formula>
    </cfRule>
    <cfRule type="expression" dxfId="7624" priority="1851" stopIfTrue="1">
      <formula>AM39=CléPersonnalisée2</formula>
    </cfRule>
    <cfRule type="expression" dxfId="7623" priority="1852" stopIfTrue="1">
      <formula>AM39=CléPersonnalisée1</formula>
    </cfRule>
    <cfRule type="expression" dxfId="7622" priority="1853" stopIfTrue="1">
      <formula>AM39=CléMaladie</formula>
    </cfRule>
    <cfRule type="expression" dxfId="7621" priority="1854" stopIfTrue="1">
      <formula>AM39=CléPersonnelle</formula>
    </cfRule>
    <cfRule type="expression" dxfId="7620" priority="1855" stopIfTrue="1">
      <formula>AM39=CléCongés</formula>
    </cfRule>
  </conditionalFormatting>
  <conditionalFormatting sqref="C41:AG43">
    <cfRule type="expression" priority="1843" stopIfTrue="1">
      <formula>C41=""</formula>
    </cfRule>
    <cfRule type="expression" dxfId="7619" priority="1844" stopIfTrue="1">
      <formula>C41=CléPersonnalisée2</formula>
    </cfRule>
    <cfRule type="expression" dxfId="7618" priority="1845" stopIfTrue="1">
      <formula>C41=CléPersonnalisée1</formula>
    </cfRule>
    <cfRule type="expression" dxfId="7617" priority="1846" stopIfTrue="1">
      <formula>C41=CléMaladie</formula>
    </cfRule>
    <cfRule type="expression" dxfId="7616" priority="1847" stopIfTrue="1">
      <formula>C41=CléPersonnelle</formula>
    </cfRule>
    <cfRule type="expression" dxfId="7615" priority="1848" stopIfTrue="1">
      <formula>C41=CléCongés</formula>
    </cfRule>
  </conditionalFormatting>
  <conditionalFormatting sqref="AH43">
    <cfRule type="dataBar" priority="1849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{002E87B2-56C4-4E64-96A4-46E4D496E49E}</x14:id>
        </ext>
      </extLst>
    </cfRule>
  </conditionalFormatting>
  <conditionalFormatting sqref="AI43:AL43 AJ41:AL42">
    <cfRule type="expression" priority="1837" stopIfTrue="1">
      <formula>AI41=""</formula>
    </cfRule>
    <cfRule type="expression" dxfId="7614" priority="1838" stopIfTrue="1">
      <formula>AI41=CléPersonnalisée2</formula>
    </cfRule>
    <cfRule type="expression" dxfId="7613" priority="1839" stopIfTrue="1">
      <formula>AI41=CléPersonnalisée1</formula>
    </cfRule>
    <cfRule type="expression" dxfId="7612" priority="1840" stopIfTrue="1">
      <formula>AI41=CléMaladie</formula>
    </cfRule>
    <cfRule type="expression" dxfId="7611" priority="1841" stopIfTrue="1">
      <formula>AI41=CléPersonnelle</formula>
    </cfRule>
    <cfRule type="expression" dxfId="7610" priority="1842" stopIfTrue="1">
      <formula>AI41=CléCongés</formula>
    </cfRule>
  </conditionalFormatting>
  <conditionalFormatting sqref="AM41:AP42">
    <cfRule type="expression" priority="1831" stopIfTrue="1">
      <formula>AM41=""</formula>
    </cfRule>
    <cfRule type="expression" dxfId="7609" priority="1832" stopIfTrue="1">
      <formula>AM41=CléPersonnalisée2</formula>
    </cfRule>
    <cfRule type="expression" dxfId="7608" priority="1833" stopIfTrue="1">
      <formula>AM41=CléPersonnalisée1</formula>
    </cfRule>
    <cfRule type="expression" dxfId="7607" priority="1834" stopIfTrue="1">
      <formula>AM41=CléMaladie</formula>
    </cfRule>
    <cfRule type="expression" dxfId="7606" priority="1835" stopIfTrue="1">
      <formula>AM41=CléPersonnelle</formula>
    </cfRule>
    <cfRule type="expression" dxfId="7605" priority="1836" stopIfTrue="1">
      <formula>AM41=CléCongés</formula>
    </cfRule>
  </conditionalFormatting>
  <conditionalFormatting sqref="AQ41:AR42">
    <cfRule type="expression" priority="1825" stopIfTrue="1">
      <formula>AQ41=""</formula>
    </cfRule>
    <cfRule type="expression" dxfId="7604" priority="1826" stopIfTrue="1">
      <formula>AQ41=CléPersonnalisée2</formula>
    </cfRule>
    <cfRule type="expression" dxfId="7603" priority="1827" stopIfTrue="1">
      <formula>AQ41=CléPersonnalisée1</formula>
    </cfRule>
    <cfRule type="expression" dxfId="7602" priority="1828" stopIfTrue="1">
      <formula>AQ41=CléMaladie</formula>
    </cfRule>
    <cfRule type="expression" dxfId="7601" priority="1829" stopIfTrue="1">
      <formula>AQ41=CléPersonnelle</formula>
    </cfRule>
    <cfRule type="expression" dxfId="7600" priority="1830" stopIfTrue="1">
      <formula>AQ41=CléCongés</formula>
    </cfRule>
  </conditionalFormatting>
  <conditionalFormatting sqref="AM43">
    <cfRule type="expression" priority="1819" stopIfTrue="1">
      <formula>AM43=""</formula>
    </cfRule>
    <cfRule type="expression" dxfId="7599" priority="1820" stopIfTrue="1">
      <formula>AM43=CléPersonnalisée2</formula>
    </cfRule>
    <cfRule type="expression" dxfId="7598" priority="1821" stopIfTrue="1">
      <formula>AM43=CléPersonnalisée1</formula>
    </cfRule>
    <cfRule type="expression" dxfId="7597" priority="1822" stopIfTrue="1">
      <formula>AM43=CléMaladie</formula>
    </cfRule>
    <cfRule type="expression" dxfId="7596" priority="1823" stopIfTrue="1">
      <formula>AM43=CléPersonnelle</formula>
    </cfRule>
    <cfRule type="expression" dxfId="7595" priority="1824" stopIfTrue="1">
      <formula>AM43=CléCongés</formula>
    </cfRule>
  </conditionalFormatting>
  <conditionalFormatting sqref="C45:G47 J45:AG47">
    <cfRule type="expression" priority="1812" stopIfTrue="1">
      <formula>C45=""</formula>
    </cfRule>
    <cfRule type="expression" dxfId="7594" priority="1813" stopIfTrue="1">
      <formula>C45=CléPersonnalisée2</formula>
    </cfRule>
    <cfRule type="expression" dxfId="7593" priority="1814" stopIfTrue="1">
      <formula>C45=CléPersonnalisée1</formula>
    </cfRule>
    <cfRule type="expression" dxfId="7592" priority="1815" stopIfTrue="1">
      <formula>C45=CléMaladie</formula>
    </cfRule>
    <cfRule type="expression" dxfId="7591" priority="1816" stopIfTrue="1">
      <formula>C45=CléPersonnelle</formula>
    </cfRule>
    <cfRule type="expression" dxfId="7590" priority="1817" stopIfTrue="1">
      <formula>C45=CléCongés</formula>
    </cfRule>
  </conditionalFormatting>
  <conditionalFormatting sqref="AH47">
    <cfRule type="dataBar" priority="1818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{5F5C8B4E-9C8B-4DA9-8B07-3565CE7D6A97}</x14:id>
        </ext>
      </extLst>
    </cfRule>
  </conditionalFormatting>
  <conditionalFormatting sqref="AI47:AL47 AJ45:AL46">
    <cfRule type="expression" priority="1806" stopIfTrue="1">
      <formula>AI45=""</formula>
    </cfRule>
    <cfRule type="expression" dxfId="7589" priority="1807" stopIfTrue="1">
      <formula>AI45=CléPersonnalisée2</formula>
    </cfRule>
    <cfRule type="expression" dxfId="7588" priority="1808" stopIfTrue="1">
      <formula>AI45=CléPersonnalisée1</formula>
    </cfRule>
    <cfRule type="expression" dxfId="7587" priority="1809" stopIfTrue="1">
      <formula>AI45=CléMaladie</formula>
    </cfRule>
    <cfRule type="expression" dxfId="7586" priority="1810" stopIfTrue="1">
      <formula>AI45=CléPersonnelle</formula>
    </cfRule>
    <cfRule type="expression" dxfId="7585" priority="1811" stopIfTrue="1">
      <formula>AI45=CléCongés</formula>
    </cfRule>
  </conditionalFormatting>
  <conditionalFormatting sqref="AM45:AP46">
    <cfRule type="expression" priority="1800" stopIfTrue="1">
      <formula>AM45=""</formula>
    </cfRule>
    <cfRule type="expression" dxfId="7584" priority="1801" stopIfTrue="1">
      <formula>AM45=CléPersonnalisée2</formula>
    </cfRule>
    <cfRule type="expression" dxfId="7583" priority="1802" stopIfTrue="1">
      <formula>AM45=CléPersonnalisée1</formula>
    </cfRule>
    <cfRule type="expression" dxfId="7582" priority="1803" stopIfTrue="1">
      <formula>AM45=CléMaladie</formula>
    </cfRule>
    <cfRule type="expression" dxfId="7581" priority="1804" stopIfTrue="1">
      <formula>AM45=CléPersonnelle</formula>
    </cfRule>
    <cfRule type="expression" dxfId="7580" priority="1805" stopIfTrue="1">
      <formula>AM45=CléCongés</formula>
    </cfRule>
  </conditionalFormatting>
  <conditionalFormatting sqref="AQ45:AR46">
    <cfRule type="expression" priority="1794" stopIfTrue="1">
      <formula>AQ45=""</formula>
    </cfRule>
    <cfRule type="expression" dxfId="7579" priority="1795" stopIfTrue="1">
      <formula>AQ45=CléPersonnalisée2</formula>
    </cfRule>
    <cfRule type="expression" dxfId="7578" priority="1796" stopIfTrue="1">
      <formula>AQ45=CléPersonnalisée1</formula>
    </cfRule>
    <cfRule type="expression" dxfId="7577" priority="1797" stopIfTrue="1">
      <formula>AQ45=CléMaladie</formula>
    </cfRule>
    <cfRule type="expression" dxfId="7576" priority="1798" stopIfTrue="1">
      <formula>AQ45=CléPersonnelle</formula>
    </cfRule>
    <cfRule type="expression" dxfId="7575" priority="1799" stopIfTrue="1">
      <formula>AQ45=CléCongés</formula>
    </cfRule>
  </conditionalFormatting>
  <conditionalFormatting sqref="AM47">
    <cfRule type="expression" priority="1788" stopIfTrue="1">
      <formula>AM47=""</formula>
    </cfRule>
    <cfRule type="expression" dxfId="7574" priority="1789" stopIfTrue="1">
      <formula>AM47=CléPersonnalisée2</formula>
    </cfRule>
    <cfRule type="expression" dxfId="7573" priority="1790" stopIfTrue="1">
      <formula>AM47=CléPersonnalisée1</formula>
    </cfRule>
    <cfRule type="expression" dxfId="7572" priority="1791" stopIfTrue="1">
      <formula>AM47=CléMaladie</formula>
    </cfRule>
    <cfRule type="expression" dxfId="7571" priority="1792" stopIfTrue="1">
      <formula>AM47=CléPersonnelle</formula>
    </cfRule>
    <cfRule type="expression" dxfId="7570" priority="1793" stopIfTrue="1">
      <formula>AM47=CléCongés</formula>
    </cfRule>
  </conditionalFormatting>
  <conditionalFormatting sqref="C49:AG51">
    <cfRule type="expression" priority="1781" stopIfTrue="1">
      <formula>C49=""</formula>
    </cfRule>
    <cfRule type="expression" dxfId="7569" priority="1782" stopIfTrue="1">
      <formula>C49=CléPersonnalisée2</formula>
    </cfRule>
    <cfRule type="expression" dxfId="7568" priority="1783" stopIfTrue="1">
      <formula>C49=CléPersonnalisée1</formula>
    </cfRule>
    <cfRule type="expression" dxfId="7567" priority="1784" stopIfTrue="1">
      <formula>C49=CléMaladie</formula>
    </cfRule>
    <cfRule type="expression" dxfId="7566" priority="1785" stopIfTrue="1">
      <formula>C49=CléPersonnelle</formula>
    </cfRule>
    <cfRule type="expression" dxfId="7565" priority="1786" stopIfTrue="1">
      <formula>C49=CléCongés</formula>
    </cfRule>
  </conditionalFormatting>
  <conditionalFormatting sqref="AH51">
    <cfRule type="dataBar" priority="1787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{FF1DB262-446C-44CF-807B-BB3053F2F3FD}</x14:id>
        </ext>
      </extLst>
    </cfRule>
  </conditionalFormatting>
  <conditionalFormatting sqref="AI51:AL51 AJ49:AL50">
    <cfRule type="expression" priority="1775" stopIfTrue="1">
      <formula>AI49=""</formula>
    </cfRule>
    <cfRule type="expression" dxfId="7564" priority="1776" stopIfTrue="1">
      <formula>AI49=CléPersonnalisée2</formula>
    </cfRule>
    <cfRule type="expression" dxfId="7563" priority="1777" stopIfTrue="1">
      <formula>AI49=CléPersonnalisée1</formula>
    </cfRule>
    <cfRule type="expression" dxfId="7562" priority="1778" stopIfTrue="1">
      <formula>AI49=CléMaladie</formula>
    </cfRule>
    <cfRule type="expression" dxfId="7561" priority="1779" stopIfTrue="1">
      <formula>AI49=CléPersonnelle</formula>
    </cfRule>
    <cfRule type="expression" dxfId="7560" priority="1780" stopIfTrue="1">
      <formula>AI49=CléCongés</formula>
    </cfRule>
  </conditionalFormatting>
  <conditionalFormatting sqref="AM49:AP50">
    <cfRule type="expression" priority="1769" stopIfTrue="1">
      <formula>AM49=""</formula>
    </cfRule>
    <cfRule type="expression" dxfId="7559" priority="1770" stopIfTrue="1">
      <formula>AM49=CléPersonnalisée2</formula>
    </cfRule>
    <cfRule type="expression" dxfId="7558" priority="1771" stopIfTrue="1">
      <formula>AM49=CléPersonnalisée1</formula>
    </cfRule>
    <cfRule type="expression" dxfId="7557" priority="1772" stopIfTrue="1">
      <formula>AM49=CléMaladie</formula>
    </cfRule>
    <cfRule type="expression" dxfId="7556" priority="1773" stopIfTrue="1">
      <formula>AM49=CléPersonnelle</formula>
    </cfRule>
    <cfRule type="expression" dxfId="7555" priority="1774" stopIfTrue="1">
      <formula>AM49=CléCongés</formula>
    </cfRule>
  </conditionalFormatting>
  <conditionalFormatting sqref="AQ49:AR50">
    <cfRule type="expression" priority="1763" stopIfTrue="1">
      <formula>AQ49=""</formula>
    </cfRule>
    <cfRule type="expression" dxfId="7554" priority="1764" stopIfTrue="1">
      <formula>AQ49=CléPersonnalisée2</formula>
    </cfRule>
    <cfRule type="expression" dxfId="7553" priority="1765" stopIfTrue="1">
      <formula>AQ49=CléPersonnalisée1</formula>
    </cfRule>
    <cfRule type="expression" dxfId="7552" priority="1766" stopIfTrue="1">
      <formula>AQ49=CléMaladie</formula>
    </cfRule>
    <cfRule type="expression" dxfId="7551" priority="1767" stopIfTrue="1">
      <formula>AQ49=CléPersonnelle</formula>
    </cfRule>
    <cfRule type="expression" dxfId="7550" priority="1768" stopIfTrue="1">
      <formula>AQ49=CléCongés</formula>
    </cfRule>
  </conditionalFormatting>
  <conditionalFormatting sqref="AM51">
    <cfRule type="expression" priority="1757" stopIfTrue="1">
      <formula>AM51=""</formula>
    </cfRule>
    <cfRule type="expression" dxfId="7549" priority="1758" stopIfTrue="1">
      <formula>AM51=CléPersonnalisée2</formula>
    </cfRule>
    <cfRule type="expression" dxfId="7548" priority="1759" stopIfTrue="1">
      <formula>AM51=CléPersonnalisée1</formula>
    </cfRule>
    <cfRule type="expression" dxfId="7547" priority="1760" stopIfTrue="1">
      <formula>AM51=CléMaladie</formula>
    </cfRule>
    <cfRule type="expression" dxfId="7546" priority="1761" stopIfTrue="1">
      <formula>AM51=CléPersonnelle</formula>
    </cfRule>
    <cfRule type="expression" dxfId="7545" priority="1762" stopIfTrue="1">
      <formula>AM51=CléCongés</formula>
    </cfRule>
  </conditionalFormatting>
  <conditionalFormatting sqref="C53:AG55">
    <cfRule type="expression" priority="1750" stopIfTrue="1">
      <formula>C53=""</formula>
    </cfRule>
    <cfRule type="expression" dxfId="7544" priority="1751" stopIfTrue="1">
      <formula>C53=CléPersonnalisée2</formula>
    </cfRule>
    <cfRule type="expression" dxfId="7543" priority="1752" stopIfTrue="1">
      <formula>C53=CléPersonnalisée1</formula>
    </cfRule>
    <cfRule type="expression" dxfId="7542" priority="1753" stopIfTrue="1">
      <formula>C53=CléMaladie</formula>
    </cfRule>
    <cfRule type="expression" dxfId="7541" priority="1754" stopIfTrue="1">
      <formula>C53=CléPersonnelle</formula>
    </cfRule>
    <cfRule type="expression" dxfId="7540" priority="1755" stopIfTrue="1">
      <formula>C53=CléCongés</formula>
    </cfRule>
  </conditionalFormatting>
  <conditionalFormatting sqref="AH55">
    <cfRule type="dataBar" priority="1756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{F9E10466-C923-42ED-814B-3D0394E4DABF}</x14:id>
        </ext>
      </extLst>
    </cfRule>
  </conditionalFormatting>
  <conditionalFormatting sqref="AI55:AL55 AJ53:AL54">
    <cfRule type="expression" priority="1744" stopIfTrue="1">
      <formula>AI53=""</formula>
    </cfRule>
    <cfRule type="expression" dxfId="7539" priority="1745" stopIfTrue="1">
      <formula>AI53=CléPersonnalisée2</formula>
    </cfRule>
    <cfRule type="expression" dxfId="7538" priority="1746" stopIfTrue="1">
      <formula>AI53=CléPersonnalisée1</formula>
    </cfRule>
    <cfRule type="expression" dxfId="7537" priority="1747" stopIfTrue="1">
      <formula>AI53=CléMaladie</formula>
    </cfRule>
    <cfRule type="expression" dxfId="7536" priority="1748" stopIfTrue="1">
      <formula>AI53=CléPersonnelle</formula>
    </cfRule>
    <cfRule type="expression" dxfId="7535" priority="1749" stopIfTrue="1">
      <formula>AI53=CléCongés</formula>
    </cfRule>
  </conditionalFormatting>
  <conditionalFormatting sqref="AM53:AP54">
    <cfRule type="expression" priority="1738" stopIfTrue="1">
      <formula>AM53=""</formula>
    </cfRule>
    <cfRule type="expression" dxfId="7534" priority="1739" stopIfTrue="1">
      <formula>AM53=CléPersonnalisée2</formula>
    </cfRule>
    <cfRule type="expression" dxfId="7533" priority="1740" stopIfTrue="1">
      <formula>AM53=CléPersonnalisée1</formula>
    </cfRule>
    <cfRule type="expression" dxfId="7532" priority="1741" stopIfTrue="1">
      <formula>AM53=CléMaladie</formula>
    </cfRule>
    <cfRule type="expression" dxfId="7531" priority="1742" stopIfTrue="1">
      <formula>AM53=CléPersonnelle</formula>
    </cfRule>
    <cfRule type="expression" dxfId="7530" priority="1743" stopIfTrue="1">
      <formula>AM53=CléCongés</formula>
    </cfRule>
  </conditionalFormatting>
  <conditionalFormatting sqref="AQ53:AR54">
    <cfRule type="expression" priority="1732" stopIfTrue="1">
      <formula>AQ53=""</formula>
    </cfRule>
    <cfRule type="expression" dxfId="7529" priority="1733" stopIfTrue="1">
      <formula>AQ53=CléPersonnalisée2</formula>
    </cfRule>
    <cfRule type="expression" dxfId="7528" priority="1734" stopIfTrue="1">
      <formula>AQ53=CléPersonnalisée1</formula>
    </cfRule>
    <cfRule type="expression" dxfId="7527" priority="1735" stopIfTrue="1">
      <formula>AQ53=CléMaladie</formula>
    </cfRule>
    <cfRule type="expression" dxfId="7526" priority="1736" stopIfTrue="1">
      <formula>AQ53=CléPersonnelle</formula>
    </cfRule>
    <cfRule type="expression" dxfId="7525" priority="1737" stopIfTrue="1">
      <formula>AQ53=CléCongés</formula>
    </cfRule>
  </conditionalFormatting>
  <conditionalFormatting sqref="AM55">
    <cfRule type="expression" priority="1726" stopIfTrue="1">
      <formula>AM55=""</formula>
    </cfRule>
    <cfRule type="expression" dxfId="7524" priority="1727" stopIfTrue="1">
      <formula>AM55=CléPersonnalisée2</formula>
    </cfRule>
    <cfRule type="expression" dxfId="7523" priority="1728" stopIfTrue="1">
      <formula>AM55=CléPersonnalisée1</formula>
    </cfRule>
    <cfRule type="expression" dxfId="7522" priority="1729" stopIfTrue="1">
      <formula>AM55=CléMaladie</formula>
    </cfRule>
    <cfRule type="expression" dxfId="7521" priority="1730" stopIfTrue="1">
      <formula>AM55=CléPersonnelle</formula>
    </cfRule>
    <cfRule type="expression" dxfId="7520" priority="1731" stopIfTrue="1">
      <formula>AM55=CléCongés</formula>
    </cfRule>
  </conditionalFormatting>
  <conditionalFormatting sqref="C61:AG63">
    <cfRule type="expression" priority="1719" stopIfTrue="1">
      <formula>C61=""</formula>
    </cfRule>
    <cfRule type="expression" dxfId="7519" priority="1720" stopIfTrue="1">
      <formula>C61=CléPersonnalisée2</formula>
    </cfRule>
    <cfRule type="expression" dxfId="7518" priority="1721" stopIfTrue="1">
      <formula>C61=CléPersonnalisée1</formula>
    </cfRule>
    <cfRule type="expression" dxfId="7517" priority="1722" stopIfTrue="1">
      <formula>C61=CléMaladie</formula>
    </cfRule>
    <cfRule type="expression" dxfId="7516" priority="1723" stopIfTrue="1">
      <formula>C61=CléPersonnelle</formula>
    </cfRule>
    <cfRule type="expression" dxfId="7515" priority="1724" stopIfTrue="1">
      <formula>C61=CléCongés</formula>
    </cfRule>
  </conditionalFormatting>
  <conditionalFormatting sqref="AH63">
    <cfRule type="dataBar" priority="1725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{DFDC488D-5E68-4C8D-8D1C-03A7A6DE75E5}</x14:id>
        </ext>
      </extLst>
    </cfRule>
  </conditionalFormatting>
  <conditionalFormatting sqref="AI63:AL63 AJ61:AL62">
    <cfRule type="expression" priority="1713" stopIfTrue="1">
      <formula>AI61=""</formula>
    </cfRule>
    <cfRule type="expression" dxfId="7514" priority="1714" stopIfTrue="1">
      <formula>AI61=CléPersonnalisée2</formula>
    </cfRule>
    <cfRule type="expression" dxfId="7513" priority="1715" stopIfTrue="1">
      <formula>AI61=CléPersonnalisée1</formula>
    </cfRule>
    <cfRule type="expression" dxfId="7512" priority="1716" stopIfTrue="1">
      <formula>AI61=CléMaladie</formula>
    </cfRule>
    <cfRule type="expression" dxfId="7511" priority="1717" stopIfTrue="1">
      <formula>AI61=CléPersonnelle</formula>
    </cfRule>
    <cfRule type="expression" dxfId="7510" priority="1718" stopIfTrue="1">
      <formula>AI61=CléCongés</formula>
    </cfRule>
  </conditionalFormatting>
  <conditionalFormatting sqref="AM61:AP62">
    <cfRule type="expression" priority="1707" stopIfTrue="1">
      <formula>AM61=""</formula>
    </cfRule>
    <cfRule type="expression" dxfId="7509" priority="1708" stopIfTrue="1">
      <formula>AM61=CléPersonnalisée2</formula>
    </cfRule>
    <cfRule type="expression" dxfId="7508" priority="1709" stopIfTrue="1">
      <formula>AM61=CléPersonnalisée1</formula>
    </cfRule>
    <cfRule type="expression" dxfId="7507" priority="1710" stopIfTrue="1">
      <formula>AM61=CléMaladie</formula>
    </cfRule>
    <cfRule type="expression" dxfId="7506" priority="1711" stopIfTrue="1">
      <formula>AM61=CléPersonnelle</formula>
    </cfRule>
    <cfRule type="expression" dxfId="7505" priority="1712" stopIfTrue="1">
      <formula>AM61=CléCongés</formula>
    </cfRule>
  </conditionalFormatting>
  <conditionalFormatting sqref="AQ61:AR62">
    <cfRule type="expression" priority="1701" stopIfTrue="1">
      <formula>AQ61=""</formula>
    </cfRule>
    <cfRule type="expression" dxfId="7504" priority="1702" stopIfTrue="1">
      <formula>AQ61=CléPersonnalisée2</formula>
    </cfRule>
    <cfRule type="expression" dxfId="7503" priority="1703" stopIfTrue="1">
      <formula>AQ61=CléPersonnalisée1</formula>
    </cfRule>
    <cfRule type="expression" dxfId="7502" priority="1704" stopIfTrue="1">
      <formula>AQ61=CléMaladie</formula>
    </cfRule>
    <cfRule type="expression" dxfId="7501" priority="1705" stopIfTrue="1">
      <formula>AQ61=CléPersonnelle</formula>
    </cfRule>
    <cfRule type="expression" dxfId="7500" priority="1706" stopIfTrue="1">
      <formula>AQ61=CléCongés</formula>
    </cfRule>
  </conditionalFormatting>
  <conditionalFormatting sqref="AM63">
    <cfRule type="expression" priority="1695" stopIfTrue="1">
      <formula>AM63=""</formula>
    </cfRule>
    <cfRule type="expression" dxfId="7499" priority="1696" stopIfTrue="1">
      <formula>AM63=CléPersonnalisée2</formula>
    </cfRule>
    <cfRule type="expression" dxfId="7498" priority="1697" stopIfTrue="1">
      <formula>AM63=CléPersonnalisée1</formula>
    </cfRule>
    <cfRule type="expression" dxfId="7497" priority="1698" stopIfTrue="1">
      <formula>AM63=CléMaladie</formula>
    </cfRule>
    <cfRule type="expression" dxfId="7496" priority="1699" stopIfTrue="1">
      <formula>AM63=CléPersonnelle</formula>
    </cfRule>
    <cfRule type="expression" dxfId="7495" priority="1700" stopIfTrue="1">
      <formula>AM63=CléCongés</formula>
    </cfRule>
  </conditionalFormatting>
  <conditionalFormatting sqref="AO39">
    <cfRule type="expression" priority="1560" stopIfTrue="1">
      <formula>AO39=""</formula>
    </cfRule>
    <cfRule type="expression" dxfId="7494" priority="1561" stopIfTrue="1">
      <formula>AO39=CléPersonnalisée2</formula>
    </cfRule>
    <cfRule type="expression" dxfId="7493" priority="1562" stopIfTrue="1">
      <formula>AO39=CléPersonnalisée1</formula>
    </cfRule>
    <cfRule type="expression" dxfId="7492" priority="1563" stopIfTrue="1">
      <formula>AO39=CléMaladie</formula>
    </cfRule>
    <cfRule type="expression" dxfId="7491" priority="1564" stopIfTrue="1">
      <formula>AO39=CléPersonnelle</formula>
    </cfRule>
    <cfRule type="expression" dxfId="7490" priority="1565" stopIfTrue="1">
      <formula>AO39=CléCongés</formula>
    </cfRule>
  </conditionalFormatting>
  <conditionalFormatting sqref="C69:AG71">
    <cfRule type="expression" priority="1688" stopIfTrue="1">
      <formula>C69=""</formula>
    </cfRule>
    <cfRule type="expression" dxfId="7489" priority="1689" stopIfTrue="1">
      <formula>C69=CléPersonnalisée2</formula>
    </cfRule>
    <cfRule type="expression" dxfId="7488" priority="1690" stopIfTrue="1">
      <formula>C69=CléPersonnalisée1</formula>
    </cfRule>
    <cfRule type="expression" dxfId="7487" priority="1691" stopIfTrue="1">
      <formula>C69=CléMaladie</formula>
    </cfRule>
    <cfRule type="expression" dxfId="7486" priority="1692" stopIfTrue="1">
      <formula>C69=CléPersonnelle</formula>
    </cfRule>
    <cfRule type="expression" dxfId="7485" priority="1693" stopIfTrue="1">
      <formula>C69=CléCongés</formula>
    </cfRule>
  </conditionalFormatting>
  <conditionalFormatting sqref="AH71">
    <cfRule type="dataBar" priority="1694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{886A26FB-C4D1-4CD4-B5A9-3C4DA7096270}</x14:id>
        </ext>
      </extLst>
    </cfRule>
  </conditionalFormatting>
  <conditionalFormatting sqref="AI71:AL71 AJ69:AL70">
    <cfRule type="expression" priority="1682" stopIfTrue="1">
      <formula>AI69=""</formula>
    </cfRule>
    <cfRule type="expression" dxfId="7484" priority="1683" stopIfTrue="1">
      <formula>AI69=CléPersonnalisée2</formula>
    </cfRule>
    <cfRule type="expression" dxfId="7483" priority="1684" stopIfTrue="1">
      <formula>AI69=CléPersonnalisée1</formula>
    </cfRule>
    <cfRule type="expression" dxfId="7482" priority="1685" stopIfTrue="1">
      <formula>AI69=CléMaladie</formula>
    </cfRule>
    <cfRule type="expression" dxfId="7481" priority="1686" stopIfTrue="1">
      <formula>AI69=CléPersonnelle</formula>
    </cfRule>
    <cfRule type="expression" dxfId="7480" priority="1687" stopIfTrue="1">
      <formula>AI69=CléCongés</formula>
    </cfRule>
  </conditionalFormatting>
  <conditionalFormatting sqref="AM69:AP70">
    <cfRule type="expression" priority="1676" stopIfTrue="1">
      <formula>AM69=""</formula>
    </cfRule>
    <cfRule type="expression" dxfId="7479" priority="1677" stopIfTrue="1">
      <formula>AM69=CléPersonnalisée2</formula>
    </cfRule>
    <cfRule type="expression" dxfId="7478" priority="1678" stopIfTrue="1">
      <formula>AM69=CléPersonnalisée1</formula>
    </cfRule>
    <cfRule type="expression" dxfId="7477" priority="1679" stopIfTrue="1">
      <formula>AM69=CléMaladie</formula>
    </cfRule>
    <cfRule type="expression" dxfId="7476" priority="1680" stopIfTrue="1">
      <formula>AM69=CléPersonnelle</formula>
    </cfRule>
    <cfRule type="expression" dxfId="7475" priority="1681" stopIfTrue="1">
      <formula>AM69=CléCongés</formula>
    </cfRule>
  </conditionalFormatting>
  <conditionalFormatting sqref="AQ69:AR70">
    <cfRule type="expression" priority="1670" stopIfTrue="1">
      <formula>AQ69=""</formula>
    </cfRule>
    <cfRule type="expression" dxfId="7474" priority="1671" stopIfTrue="1">
      <formula>AQ69=CléPersonnalisée2</formula>
    </cfRule>
    <cfRule type="expression" dxfId="7473" priority="1672" stopIfTrue="1">
      <formula>AQ69=CléPersonnalisée1</formula>
    </cfRule>
    <cfRule type="expression" dxfId="7472" priority="1673" stopIfTrue="1">
      <formula>AQ69=CléMaladie</formula>
    </cfRule>
    <cfRule type="expression" dxfId="7471" priority="1674" stopIfTrue="1">
      <formula>AQ69=CléPersonnelle</formula>
    </cfRule>
    <cfRule type="expression" dxfId="7470" priority="1675" stopIfTrue="1">
      <formula>AQ69=CléCongés</formula>
    </cfRule>
  </conditionalFormatting>
  <conditionalFormatting sqref="AM71">
    <cfRule type="expression" priority="1664" stopIfTrue="1">
      <formula>AM71=""</formula>
    </cfRule>
    <cfRule type="expression" dxfId="7469" priority="1665" stopIfTrue="1">
      <formula>AM71=CléPersonnalisée2</formula>
    </cfRule>
    <cfRule type="expression" dxfId="7468" priority="1666" stopIfTrue="1">
      <formula>AM71=CléPersonnalisée1</formula>
    </cfRule>
    <cfRule type="expression" dxfId="7467" priority="1667" stopIfTrue="1">
      <formula>AM71=CléMaladie</formula>
    </cfRule>
    <cfRule type="expression" dxfId="7466" priority="1668" stopIfTrue="1">
      <formula>AM71=CléPersonnelle</formula>
    </cfRule>
    <cfRule type="expression" dxfId="7465" priority="1669" stopIfTrue="1">
      <formula>AM71=CléCongés</formula>
    </cfRule>
  </conditionalFormatting>
  <conditionalFormatting sqref="AI23">
    <cfRule type="expression" priority="1652" stopIfTrue="1">
      <formula>AI23=""</formula>
    </cfRule>
    <cfRule type="expression" dxfId="7464" priority="1653" stopIfTrue="1">
      <formula>AI23=CléPersonnalisée2</formula>
    </cfRule>
    <cfRule type="expression" dxfId="7463" priority="1654" stopIfTrue="1">
      <formula>AI23=CléPersonnalisée1</formula>
    </cfRule>
    <cfRule type="expression" dxfId="7462" priority="1655" stopIfTrue="1">
      <formula>AI23=CléMaladie</formula>
    </cfRule>
    <cfRule type="expression" dxfId="7461" priority="1656" stopIfTrue="1">
      <formula>AI23=CléPersonnelle</formula>
    </cfRule>
    <cfRule type="expression" dxfId="7460" priority="1657" stopIfTrue="1">
      <formula>AI23=CléCongés</formula>
    </cfRule>
  </conditionalFormatting>
  <conditionalFormatting sqref="AI19">
    <cfRule type="expression" priority="1658" stopIfTrue="1">
      <formula>AI19=""</formula>
    </cfRule>
    <cfRule type="expression" dxfId="7459" priority="1659" stopIfTrue="1">
      <formula>AI19=CléPersonnalisée2</formula>
    </cfRule>
    <cfRule type="expression" dxfId="7458" priority="1660" stopIfTrue="1">
      <formula>AI19=CléPersonnalisée1</formula>
    </cfRule>
    <cfRule type="expression" dxfId="7457" priority="1661" stopIfTrue="1">
      <formula>AI19=CléMaladie</formula>
    </cfRule>
    <cfRule type="expression" dxfId="7456" priority="1662" stopIfTrue="1">
      <formula>AI19=CléPersonnelle</formula>
    </cfRule>
    <cfRule type="expression" dxfId="7455" priority="1663" stopIfTrue="1">
      <formula>AI19=CléCongés</formula>
    </cfRule>
  </conditionalFormatting>
  <conditionalFormatting sqref="AI25:AI26">
    <cfRule type="expression" priority="1506" stopIfTrue="1">
      <formula>AI25=""</formula>
    </cfRule>
    <cfRule type="expression" dxfId="7454" priority="1507" stopIfTrue="1">
      <formula>AI25=CléPersonnalisée2</formula>
    </cfRule>
    <cfRule type="expression" dxfId="7453" priority="1508" stopIfTrue="1">
      <formula>AI25=CléPersonnalisée1</formula>
    </cfRule>
    <cfRule type="expression" dxfId="7452" priority="1509" stopIfTrue="1">
      <formula>AI25=CléMaladie</formula>
    </cfRule>
    <cfRule type="expression" dxfId="7451" priority="1510" stopIfTrue="1">
      <formula>AI25=CléPersonnelle</formula>
    </cfRule>
    <cfRule type="expression" dxfId="7450" priority="1511" stopIfTrue="1">
      <formula>AI25=CléCongés</formula>
    </cfRule>
  </conditionalFormatting>
  <conditionalFormatting sqref="AH19">
    <cfRule type="dataBar" priority="1651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{9F0D57BB-740A-4BCF-9CB5-48002BAB46D6}</x14:id>
        </ext>
      </extLst>
    </cfRule>
  </conditionalFormatting>
  <conditionalFormatting sqref="AH23">
    <cfRule type="dataBar" priority="1650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{F31657EE-CCD9-489C-ACC1-4562415C4334}</x14:id>
        </ext>
      </extLst>
    </cfRule>
  </conditionalFormatting>
  <conditionalFormatting sqref="AM17:AP18">
    <cfRule type="expression" priority="1644" stopIfTrue="1">
      <formula>AM17=""</formula>
    </cfRule>
    <cfRule type="expression" dxfId="7449" priority="1645" stopIfTrue="1">
      <formula>AM17=CléPersonnalisée2</formula>
    </cfRule>
    <cfRule type="expression" dxfId="7448" priority="1646" stopIfTrue="1">
      <formula>AM17=CléPersonnalisée1</formula>
    </cfRule>
    <cfRule type="expression" dxfId="7447" priority="1647" stopIfTrue="1">
      <formula>AM17=CléMaladie</formula>
    </cfRule>
    <cfRule type="expression" dxfId="7446" priority="1648" stopIfTrue="1">
      <formula>AM17=CléPersonnelle</formula>
    </cfRule>
    <cfRule type="expression" dxfId="7445" priority="1649" stopIfTrue="1">
      <formula>AM17=CléCongés</formula>
    </cfRule>
  </conditionalFormatting>
  <conditionalFormatting sqref="AQ17:AR18">
    <cfRule type="expression" priority="1638" stopIfTrue="1">
      <formula>AQ17=""</formula>
    </cfRule>
    <cfRule type="expression" dxfId="7444" priority="1639" stopIfTrue="1">
      <formula>AQ17=CléPersonnalisée2</formula>
    </cfRule>
    <cfRule type="expression" dxfId="7443" priority="1640" stopIfTrue="1">
      <formula>AQ17=CléPersonnalisée1</formula>
    </cfRule>
    <cfRule type="expression" dxfId="7442" priority="1641" stopIfTrue="1">
      <formula>AQ17=CléMaladie</formula>
    </cfRule>
    <cfRule type="expression" dxfId="7441" priority="1642" stopIfTrue="1">
      <formula>AQ17=CléPersonnelle</formula>
    </cfRule>
    <cfRule type="expression" dxfId="7440" priority="1643" stopIfTrue="1">
      <formula>AQ17=CléCongés</formula>
    </cfRule>
  </conditionalFormatting>
  <conditionalFormatting sqref="AM19">
    <cfRule type="expression" priority="1632" stopIfTrue="1">
      <formula>AM19=""</formula>
    </cfRule>
    <cfRule type="expression" dxfId="7439" priority="1633" stopIfTrue="1">
      <formula>AM19=CléPersonnalisée2</formula>
    </cfRule>
    <cfRule type="expression" dxfId="7438" priority="1634" stopIfTrue="1">
      <formula>AM19=CléPersonnalisée1</formula>
    </cfRule>
    <cfRule type="expression" dxfId="7437" priority="1635" stopIfTrue="1">
      <formula>AM19=CléMaladie</formula>
    </cfRule>
    <cfRule type="expression" dxfId="7436" priority="1636" stopIfTrue="1">
      <formula>AM19=CléPersonnelle</formula>
    </cfRule>
    <cfRule type="expression" dxfId="7435" priority="1637" stopIfTrue="1">
      <formula>AM19=CléCongés</formula>
    </cfRule>
  </conditionalFormatting>
  <conditionalFormatting sqref="AO31">
    <cfRule type="expression" priority="1572" stopIfTrue="1">
      <formula>AO31=""</formula>
    </cfRule>
    <cfRule type="expression" dxfId="7434" priority="1573" stopIfTrue="1">
      <formula>AO31=CléPersonnalisée2</formula>
    </cfRule>
    <cfRule type="expression" dxfId="7433" priority="1574" stopIfTrue="1">
      <formula>AO31=CléPersonnalisée1</formula>
    </cfRule>
    <cfRule type="expression" dxfId="7432" priority="1575" stopIfTrue="1">
      <formula>AO31=CléMaladie</formula>
    </cfRule>
    <cfRule type="expression" dxfId="7431" priority="1576" stopIfTrue="1">
      <formula>AO31=CléPersonnelle</formula>
    </cfRule>
    <cfRule type="expression" dxfId="7430" priority="1577" stopIfTrue="1">
      <formula>AO31=CléCongés</formula>
    </cfRule>
  </conditionalFormatting>
  <conditionalFormatting sqref="AM21:AP22">
    <cfRule type="expression" priority="1626" stopIfTrue="1">
      <formula>AM21=""</formula>
    </cfRule>
    <cfRule type="expression" dxfId="7429" priority="1627" stopIfTrue="1">
      <formula>AM21=CléPersonnalisée2</formula>
    </cfRule>
    <cfRule type="expression" dxfId="7428" priority="1628" stopIfTrue="1">
      <formula>AM21=CléPersonnalisée1</formula>
    </cfRule>
    <cfRule type="expression" dxfId="7427" priority="1629" stopIfTrue="1">
      <formula>AM21=CléMaladie</formula>
    </cfRule>
    <cfRule type="expression" dxfId="7426" priority="1630" stopIfTrue="1">
      <formula>AM21=CléPersonnelle</formula>
    </cfRule>
    <cfRule type="expression" dxfId="7425" priority="1631" stopIfTrue="1">
      <formula>AM21=CléCongés</formula>
    </cfRule>
  </conditionalFormatting>
  <conditionalFormatting sqref="AQ21:AR22">
    <cfRule type="expression" priority="1620" stopIfTrue="1">
      <formula>AQ21=""</formula>
    </cfRule>
    <cfRule type="expression" dxfId="7424" priority="1621" stopIfTrue="1">
      <formula>AQ21=CléPersonnalisée2</formula>
    </cfRule>
    <cfRule type="expression" dxfId="7423" priority="1622" stopIfTrue="1">
      <formula>AQ21=CléPersonnalisée1</formula>
    </cfRule>
    <cfRule type="expression" dxfId="7422" priority="1623" stopIfTrue="1">
      <formula>AQ21=CléMaladie</formula>
    </cfRule>
    <cfRule type="expression" dxfId="7421" priority="1624" stopIfTrue="1">
      <formula>AQ21=CléPersonnelle</formula>
    </cfRule>
    <cfRule type="expression" dxfId="7420" priority="1625" stopIfTrue="1">
      <formula>AQ21=CléCongés</formula>
    </cfRule>
  </conditionalFormatting>
  <conditionalFormatting sqref="AM23">
    <cfRule type="expression" priority="1614" stopIfTrue="1">
      <formula>AM23=""</formula>
    </cfRule>
    <cfRule type="expression" dxfId="7419" priority="1615" stopIfTrue="1">
      <formula>AM23=CléPersonnalisée2</formula>
    </cfRule>
    <cfRule type="expression" dxfId="7418" priority="1616" stopIfTrue="1">
      <formula>AM23=CléPersonnalisée1</formula>
    </cfRule>
    <cfRule type="expression" dxfId="7417" priority="1617" stopIfTrue="1">
      <formula>AM23=CléMaladie</formula>
    </cfRule>
    <cfRule type="expression" dxfId="7416" priority="1618" stopIfTrue="1">
      <formula>AM23=CléPersonnelle</formula>
    </cfRule>
    <cfRule type="expression" dxfId="7415" priority="1619" stopIfTrue="1">
      <formula>AM23=CléCongés</formula>
    </cfRule>
  </conditionalFormatting>
  <conditionalFormatting sqref="AH17:AH18">
    <cfRule type="dataBar" priority="1613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{C3E8B6DB-DE4C-449A-93CD-83F2512812CD}</x14:id>
        </ext>
      </extLst>
    </cfRule>
  </conditionalFormatting>
  <conditionalFormatting sqref="AH21:AH22">
    <cfRule type="dataBar" priority="1612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{1B2FEE41-491E-4D57-A469-C3B843C4735A}</x14:id>
        </ext>
      </extLst>
    </cfRule>
  </conditionalFormatting>
  <conditionalFormatting sqref="AH25:AH26">
    <cfRule type="dataBar" priority="1611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{E0D8E229-8FFC-4749-B525-B31DFC82AF36}</x14:id>
        </ext>
      </extLst>
    </cfRule>
  </conditionalFormatting>
  <conditionalFormatting sqref="AH29:AH30">
    <cfRule type="dataBar" priority="1610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{182C2BAE-D0D4-4992-8F7B-47983439E57A}</x14:id>
        </ext>
      </extLst>
    </cfRule>
  </conditionalFormatting>
  <conditionalFormatting sqref="AH33:AH34">
    <cfRule type="dataBar" priority="1609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{A1B02F61-26D1-4815-B92B-C25472F5A460}</x14:id>
        </ext>
      </extLst>
    </cfRule>
  </conditionalFormatting>
  <conditionalFormatting sqref="AH37:AH38">
    <cfRule type="dataBar" priority="1608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{2C0A5640-DE57-48D2-8C07-56CBA06A9387}</x14:id>
        </ext>
      </extLst>
    </cfRule>
  </conditionalFormatting>
  <conditionalFormatting sqref="AH41:AH42">
    <cfRule type="dataBar" priority="1607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{E455E273-C605-48E7-9D71-3A8CD1FB721E}</x14:id>
        </ext>
      </extLst>
    </cfRule>
  </conditionalFormatting>
  <conditionalFormatting sqref="AH45:AH46">
    <cfRule type="dataBar" priority="1606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{B8D1295E-628F-49E4-ACE9-5A3CD52F6FB1}</x14:id>
        </ext>
      </extLst>
    </cfRule>
  </conditionalFormatting>
  <conditionalFormatting sqref="AH49:AH50">
    <cfRule type="dataBar" priority="1605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{B0E7E143-A443-4754-B775-9737862377CF}</x14:id>
        </ext>
      </extLst>
    </cfRule>
  </conditionalFormatting>
  <conditionalFormatting sqref="AH53:AH54">
    <cfRule type="dataBar" priority="1604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{8D08DC84-E2A9-4F53-AA3B-CE2C85D04C42}</x14:id>
        </ext>
      </extLst>
    </cfRule>
  </conditionalFormatting>
  <conditionalFormatting sqref="AH61:AH62">
    <cfRule type="dataBar" priority="1603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{7C1141D0-6AC1-4A72-BBD4-AFD905CDEE07}</x14:id>
        </ext>
      </extLst>
    </cfRule>
  </conditionalFormatting>
  <conditionalFormatting sqref="AH69:AH70">
    <cfRule type="dataBar" priority="1602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{1565EDF3-63BE-433A-A125-A1CDD1357345}</x14:id>
        </ext>
      </extLst>
    </cfRule>
  </conditionalFormatting>
  <conditionalFormatting sqref="AO11">
    <cfRule type="expression" priority="1596" stopIfTrue="1">
      <formula>AO11=""</formula>
    </cfRule>
    <cfRule type="expression" dxfId="7414" priority="1597" stopIfTrue="1">
      <formula>AO11=CléPersonnalisée2</formula>
    </cfRule>
    <cfRule type="expression" dxfId="7413" priority="1598" stopIfTrue="1">
      <formula>AO11=CléPersonnalisée1</formula>
    </cfRule>
    <cfRule type="expression" dxfId="7412" priority="1599" stopIfTrue="1">
      <formula>AO11=CléMaladie</formula>
    </cfRule>
    <cfRule type="expression" dxfId="7411" priority="1600" stopIfTrue="1">
      <formula>AO11=CléPersonnelle</formula>
    </cfRule>
    <cfRule type="expression" dxfId="7410" priority="1601" stopIfTrue="1">
      <formula>AO11=CléCongés</formula>
    </cfRule>
  </conditionalFormatting>
  <conditionalFormatting sqref="AO19">
    <cfRule type="expression" priority="1590" stopIfTrue="1">
      <formula>AO19=""</formula>
    </cfRule>
    <cfRule type="expression" dxfId="7409" priority="1591" stopIfTrue="1">
      <formula>AO19=CléPersonnalisée2</formula>
    </cfRule>
    <cfRule type="expression" dxfId="7408" priority="1592" stopIfTrue="1">
      <formula>AO19=CléPersonnalisée1</formula>
    </cfRule>
    <cfRule type="expression" dxfId="7407" priority="1593" stopIfTrue="1">
      <formula>AO19=CléMaladie</formula>
    </cfRule>
    <cfRule type="expression" dxfId="7406" priority="1594" stopIfTrue="1">
      <formula>AO19=CléPersonnelle</formula>
    </cfRule>
    <cfRule type="expression" dxfId="7405" priority="1595" stopIfTrue="1">
      <formula>AO19=CléCongés</formula>
    </cfRule>
  </conditionalFormatting>
  <conditionalFormatting sqref="AO23">
    <cfRule type="expression" priority="1584" stopIfTrue="1">
      <formula>AO23=""</formula>
    </cfRule>
    <cfRule type="expression" dxfId="7404" priority="1585" stopIfTrue="1">
      <formula>AO23=CléPersonnalisée2</formula>
    </cfRule>
    <cfRule type="expression" dxfId="7403" priority="1586" stopIfTrue="1">
      <formula>AO23=CléPersonnalisée1</formula>
    </cfRule>
    <cfRule type="expression" dxfId="7402" priority="1587" stopIfTrue="1">
      <formula>AO23=CléMaladie</formula>
    </cfRule>
    <cfRule type="expression" dxfId="7401" priority="1588" stopIfTrue="1">
      <formula>AO23=CléPersonnelle</formula>
    </cfRule>
    <cfRule type="expression" dxfId="7400" priority="1589" stopIfTrue="1">
      <formula>AO23=CléCongés</formula>
    </cfRule>
  </conditionalFormatting>
  <conditionalFormatting sqref="AO27">
    <cfRule type="expression" priority="1578" stopIfTrue="1">
      <formula>AO27=""</formula>
    </cfRule>
    <cfRule type="expression" dxfId="7399" priority="1579" stopIfTrue="1">
      <formula>AO27=CléPersonnalisée2</formula>
    </cfRule>
    <cfRule type="expression" dxfId="7398" priority="1580" stopIfTrue="1">
      <formula>AO27=CléPersonnalisée1</formula>
    </cfRule>
    <cfRule type="expression" dxfId="7397" priority="1581" stopIfTrue="1">
      <formula>AO27=CléMaladie</formula>
    </cfRule>
    <cfRule type="expression" dxfId="7396" priority="1582" stopIfTrue="1">
      <formula>AO27=CléPersonnelle</formula>
    </cfRule>
    <cfRule type="expression" dxfId="7395" priority="1583" stopIfTrue="1">
      <formula>AO27=CléCongés</formula>
    </cfRule>
  </conditionalFormatting>
  <conditionalFormatting sqref="AM65:AP66">
    <cfRule type="expression" priority="1324" stopIfTrue="1">
      <formula>AM65=""</formula>
    </cfRule>
    <cfRule type="expression" dxfId="7394" priority="1325" stopIfTrue="1">
      <formula>AM65=CléPersonnalisée2</formula>
    </cfRule>
    <cfRule type="expression" dxfId="7393" priority="1326" stopIfTrue="1">
      <formula>AM65=CléPersonnalisée1</formula>
    </cfRule>
    <cfRule type="expression" dxfId="7392" priority="1327" stopIfTrue="1">
      <formula>AM65=CléMaladie</formula>
    </cfRule>
    <cfRule type="expression" dxfId="7391" priority="1328" stopIfTrue="1">
      <formula>AM65=CléPersonnelle</formula>
    </cfRule>
    <cfRule type="expression" dxfId="7390" priority="1329" stopIfTrue="1">
      <formula>AM65=CléCongés</formula>
    </cfRule>
  </conditionalFormatting>
  <conditionalFormatting sqref="AO35">
    <cfRule type="expression" priority="1566" stopIfTrue="1">
      <formula>AO35=""</formula>
    </cfRule>
    <cfRule type="expression" dxfId="7389" priority="1567" stopIfTrue="1">
      <formula>AO35=CléPersonnalisée2</formula>
    </cfRule>
    <cfRule type="expression" dxfId="7388" priority="1568" stopIfTrue="1">
      <formula>AO35=CléPersonnalisée1</formula>
    </cfRule>
    <cfRule type="expression" dxfId="7387" priority="1569" stopIfTrue="1">
      <formula>AO35=CléMaladie</formula>
    </cfRule>
    <cfRule type="expression" dxfId="7386" priority="1570" stopIfTrue="1">
      <formula>AO35=CléPersonnelle</formula>
    </cfRule>
    <cfRule type="expression" dxfId="7385" priority="1571" stopIfTrue="1">
      <formula>AO35=CléCongés</formula>
    </cfRule>
  </conditionalFormatting>
  <conditionalFormatting sqref="AM67">
    <cfRule type="expression" priority="1312" stopIfTrue="1">
      <formula>AM67=""</formula>
    </cfRule>
    <cfRule type="expression" dxfId="7384" priority="1313" stopIfTrue="1">
      <formula>AM67=CléPersonnalisée2</formula>
    </cfRule>
    <cfRule type="expression" dxfId="7383" priority="1314" stopIfTrue="1">
      <formula>AM67=CléPersonnalisée1</formula>
    </cfRule>
    <cfRule type="expression" dxfId="7382" priority="1315" stopIfTrue="1">
      <formula>AM67=CléMaladie</formula>
    </cfRule>
    <cfRule type="expression" dxfId="7381" priority="1316" stopIfTrue="1">
      <formula>AM67=CléPersonnelle</formula>
    </cfRule>
    <cfRule type="expression" dxfId="7380" priority="1317" stopIfTrue="1">
      <formula>AM67=CléCongés</formula>
    </cfRule>
  </conditionalFormatting>
  <conditionalFormatting sqref="AO43">
    <cfRule type="expression" priority="1554" stopIfTrue="1">
      <formula>AO43=""</formula>
    </cfRule>
    <cfRule type="expression" dxfId="7379" priority="1555" stopIfTrue="1">
      <formula>AO43=CléPersonnalisée2</formula>
    </cfRule>
    <cfRule type="expression" dxfId="7378" priority="1556" stopIfTrue="1">
      <formula>AO43=CléPersonnalisée1</formula>
    </cfRule>
    <cfRule type="expression" dxfId="7377" priority="1557" stopIfTrue="1">
      <formula>AO43=CléMaladie</formula>
    </cfRule>
    <cfRule type="expression" dxfId="7376" priority="1558" stopIfTrue="1">
      <formula>AO43=CléPersonnelle</formula>
    </cfRule>
    <cfRule type="expression" dxfId="7375" priority="1559" stopIfTrue="1">
      <formula>AO43=CléCongés</formula>
    </cfRule>
  </conditionalFormatting>
  <conditionalFormatting sqref="AO47">
    <cfRule type="expression" priority="1548" stopIfTrue="1">
      <formula>AO47=""</formula>
    </cfRule>
    <cfRule type="expression" dxfId="7374" priority="1549" stopIfTrue="1">
      <formula>AO47=CléPersonnalisée2</formula>
    </cfRule>
    <cfRule type="expression" dxfId="7373" priority="1550" stopIfTrue="1">
      <formula>AO47=CléPersonnalisée1</formula>
    </cfRule>
    <cfRule type="expression" dxfId="7372" priority="1551" stopIfTrue="1">
      <formula>AO47=CléMaladie</formula>
    </cfRule>
    <cfRule type="expression" dxfId="7371" priority="1552" stopIfTrue="1">
      <formula>AO47=CléPersonnelle</formula>
    </cfRule>
    <cfRule type="expression" dxfId="7370" priority="1553" stopIfTrue="1">
      <formula>AO47=CléCongés</formula>
    </cfRule>
  </conditionalFormatting>
  <conditionalFormatting sqref="AO51">
    <cfRule type="expression" priority="1542" stopIfTrue="1">
      <formula>AO51=""</formula>
    </cfRule>
    <cfRule type="expression" dxfId="7369" priority="1543" stopIfTrue="1">
      <formula>AO51=CléPersonnalisée2</formula>
    </cfRule>
    <cfRule type="expression" dxfId="7368" priority="1544" stopIfTrue="1">
      <formula>AO51=CléPersonnalisée1</formula>
    </cfRule>
    <cfRule type="expression" dxfId="7367" priority="1545" stopIfTrue="1">
      <formula>AO51=CléMaladie</formula>
    </cfRule>
    <cfRule type="expression" dxfId="7366" priority="1546" stopIfTrue="1">
      <formula>AO51=CléPersonnelle</formula>
    </cfRule>
    <cfRule type="expression" dxfId="7365" priority="1547" stopIfTrue="1">
      <formula>AO51=CléCongés</formula>
    </cfRule>
  </conditionalFormatting>
  <conditionalFormatting sqref="AO55">
    <cfRule type="expression" priority="1536" stopIfTrue="1">
      <formula>AO55=""</formula>
    </cfRule>
    <cfRule type="expression" dxfId="7364" priority="1537" stopIfTrue="1">
      <formula>AO55=CléPersonnalisée2</formula>
    </cfRule>
    <cfRule type="expression" dxfId="7363" priority="1538" stopIfTrue="1">
      <formula>AO55=CléPersonnalisée1</formula>
    </cfRule>
    <cfRule type="expression" dxfId="7362" priority="1539" stopIfTrue="1">
      <formula>AO55=CléMaladie</formula>
    </cfRule>
    <cfRule type="expression" dxfId="7361" priority="1540" stopIfTrue="1">
      <formula>AO55=CléPersonnelle</formula>
    </cfRule>
    <cfRule type="expression" dxfId="7360" priority="1541" stopIfTrue="1">
      <formula>AO55=CléCongés</formula>
    </cfRule>
  </conditionalFormatting>
  <conditionalFormatting sqref="AO63">
    <cfRule type="expression" priority="1530" stopIfTrue="1">
      <formula>AO63=""</formula>
    </cfRule>
    <cfRule type="expression" dxfId="7359" priority="1531" stopIfTrue="1">
      <formula>AO63=CléPersonnalisée2</formula>
    </cfRule>
    <cfRule type="expression" dxfId="7358" priority="1532" stopIfTrue="1">
      <formula>AO63=CléPersonnalisée1</formula>
    </cfRule>
    <cfRule type="expression" dxfId="7357" priority="1533" stopIfTrue="1">
      <formula>AO63=CléMaladie</formula>
    </cfRule>
    <cfRule type="expression" dxfId="7356" priority="1534" stopIfTrue="1">
      <formula>AO63=CléPersonnelle</formula>
    </cfRule>
    <cfRule type="expression" dxfId="7355" priority="1535" stopIfTrue="1">
      <formula>AO63=CléCongés</formula>
    </cfRule>
  </conditionalFormatting>
  <conditionalFormatting sqref="AO71">
    <cfRule type="expression" priority="1524" stopIfTrue="1">
      <formula>AO71=""</formula>
    </cfRule>
    <cfRule type="expression" dxfId="7354" priority="1525" stopIfTrue="1">
      <formula>AO71=CléPersonnalisée2</formula>
    </cfRule>
    <cfRule type="expression" dxfId="7353" priority="1526" stopIfTrue="1">
      <formula>AO71=CléPersonnalisée1</formula>
    </cfRule>
    <cfRule type="expression" dxfId="7352" priority="1527" stopIfTrue="1">
      <formula>AO71=CléMaladie</formula>
    </cfRule>
    <cfRule type="expression" dxfId="7351" priority="1528" stopIfTrue="1">
      <formula>AO71=CléPersonnelle</formula>
    </cfRule>
    <cfRule type="expression" dxfId="7350" priority="1529" stopIfTrue="1">
      <formula>AO71=CléCongés</formula>
    </cfRule>
  </conditionalFormatting>
  <conditionalFormatting sqref="AI17:AI18">
    <cfRule type="expression" priority="1518" stopIfTrue="1">
      <formula>AI17=""</formula>
    </cfRule>
    <cfRule type="expression" dxfId="7349" priority="1519" stopIfTrue="1">
      <formula>AI17=CléPersonnalisée2</formula>
    </cfRule>
    <cfRule type="expression" dxfId="7348" priority="1520" stopIfTrue="1">
      <formula>AI17=CléPersonnalisée1</formula>
    </cfRule>
    <cfRule type="expression" dxfId="7347" priority="1521" stopIfTrue="1">
      <formula>AI17=CléMaladie</formula>
    </cfRule>
    <cfRule type="expression" dxfId="7346" priority="1522" stopIfTrue="1">
      <formula>AI17=CléPersonnelle</formula>
    </cfRule>
    <cfRule type="expression" dxfId="7345" priority="1523" stopIfTrue="1">
      <formula>AI17=CléCongés</formula>
    </cfRule>
  </conditionalFormatting>
  <conditionalFormatting sqref="AI21:AI22">
    <cfRule type="expression" priority="1512" stopIfTrue="1">
      <formula>AI21=""</formula>
    </cfRule>
    <cfRule type="expression" dxfId="7344" priority="1513" stopIfTrue="1">
      <formula>AI21=CléPersonnalisée2</formula>
    </cfRule>
    <cfRule type="expression" dxfId="7343" priority="1514" stopIfTrue="1">
      <formula>AI21=CléPersonnalisée1</formula>
    </cfRule>
    <cfRule type="expression" dxfId="7342" priority="1515" stopIfTrue="1">
      <formula>AI21=CléMaladie</formula>
    </cfRule>
    <cfRule type="expression" dxfId="7341" priority="1516" stopIfTrue="1">
      <formula>AI21=CléPersonnelle</formula>
    </cfRule>
    <cfRule type="expression" dxfId="7340" priority="1517" stopIfTrue="1">
      <formula>AI21=CléCongés</formula>
    </cfRule>
  </conditionalFormatting>
  <conditionalFormatting sqref="AI29:AI30">
    <cfRule type="expression" priority="1500" stopIfTrue="1">
      <formula>AI29=""</formula>
    </cfRule>
    <cfRule type="expression" dxfId="7339" priority="1501" stopIfTrue="1">
      <formula>AI29=CléPersonnalisée2</formula>
    </cfRule>
    <cfRule type="expression" dxfId="7338" priority="1502" stopIfTrue="1">
      <formula>AI29=CléPersonnalisée1</formula>
    </cfRule>
    <cfRule type="expression" dxfId="7337" priority="1503" stopIfTrue="1">
      <formula>AI29=CléMaladie</formula>
    </cfRule>
    <cfRule type="expression" dxfId="7336" priority="1504" stopIfTrue="1">
      <formula>AI29=CléPersonnelle</formula>
    </cfRule>
    <cfRule type="expression" dxfId="7335" priority="1505" stopIfTrue="1">
      <formula>AI29=CléCongés</formula>
    </cfRule>
  </conditionalFormatting>
  <conditionalFormatting sqref="AI33:AI34">
    <cfRule type="expression" priority="1494" stopIfTrue="1">
      <formula>AI33=""</formula>
    </cfRule>
    <cfRule type="expression" dxfId="7334" priority="1495" stopIfTrue="1">
      <formula>AI33=CléPersonnalisée2</formula>
    </cfRule>
    <cfRule type="expression" dxfId="7333" priority="1496" stopIfTrue="1">
      <formula>AI33=CléPersonnalisée1</formula>
    </cfRule>
    <cfRule type="expression" dxfId="7332" priority="1497" stopIfTrue="1">
      <formula>AI33=CléMaladie</formula>
    </cfRule>
    <cfRule type="expression" dxfId="7331" priority="1498" stopIfTrue="1">
      <formula>AI33=CléPersonnelle</formula>
    </cfRule>
    <cfRule type="expression" dxfId="7330" priority="1499" stopIfTrue="1">
      <formula>AI33=CléCongés</formula>
    </cfRule>
  </conditionalFormatting>
  <conditionalFormatting sqref="AI37:AI38">
    <cfRule type="expression" priority="1488" stopIfTrue="1">
      <formula>AI37=""</formula>
    </cfRule>
    <cfRule type="expression" dxfId="7329" priority="1489" stopIfTrue="1">
      <formula>AI37=CléPersonnalisée2</formula>
    </cfRule>
    <cfRule type="expression" dxfId="7328" priority="1490" stopIfTrue="1">
      <formula>AI37=CléPersonnalisée1</formula>
    </cfRule>
    <cfRule type="expression" dxfId="7327" priority="1491" stopIfTrue="1">
      <formula>AI37=CléMaladie</formula>
    </cfRule>
    <cfRule type="expression" dxfId="7326" priority="1492" stopIfTrue="1">
      <formula>AI37=CléPersonnelle</formula>
    </cfRule>
    <cfRule type="expression" dxfId="7325" priority="1493" stopIfTrue="1">
      <formula>AI37=CléCongés</formula>
    </cfRule>
  </conditionalFormatting>
  <conditionalFormatting sqref="AI41:AI42">
    <cfRule type="expression" priority="1482" stopIfTrue="1">
      <formula>AI41=""</formula>
    </cfRule>
    <cfRule type="expression" dxfId="7324" priority="1483" stopIfTrue="1">
      <formula>AI41=CléPersonnalisée2</formula>
    </cfRule>
    <cfRule type="expression" dxfId="7323" priority="1484" stopIfTrue="1">
      <formula>AI41=CléPersonnalisée1</formula>
    </cfRule>
    <cfRule type="expression" dxfId="7322" priority="1485" stopIfTrue="1">
      <formula>AI41=CléMaladie</formula>
    </cfRule>
    <cfRule type="expression" dxfId="7321" priority="1486" stopIfTrue="1">
      <formula>AI41=CléPersonnelle</formula>
    </cfRule>
    <cfRule type="expression" dxfId="7320" priority="1487" stopIfTrue="1">
      <formula>AI41=CléCongés</formula>
    </cfRule>
  </conditionalFormatting>
  <conditionalFormatting sqref="AI45:AI46">
    <cfRule type="expression" priority="1476" stopIfTrue="1">
      <formula>AI45=""</formula>
    </cfRule>
    <cfRule type="expression" dxfId="7319" priority="1477" stopIfTrue="1">
      <formula>AI45=CléPersonnalisée2</formula>
    </cfRule>
    <cfRule type="expression" dxfId="7318" priority="1478" stopIfTrue="1">
      <formula>AI45=CléPersonnalisée1</formula>
    </cfRule>
    <cfRule type="expression" dxfId="7317" priority="1479" stopIfTrue="1">
      <formula>AI45=CléMaladie</formula>
    </cfRule>
    <cfRule type="expression" dxfId="7316" priority="1480" stopIfTrue="1">
      <formula>AI45=CléPersonnelle</formula>
    </cfRule>
    <cfRule type="expression" dxfId="7315" priority="1481" stopIfTrue="1">
      <formula>AI45=CléCongés</formula>
    </cfRule>
  </conditionalFormatting>
  <conditionalFormatting sqref="AI49:AI50">
    <cfRule type="expression" priority="1470" stopIfTrue="1">
      <formula>AI49=""</formula>
    </cfRule>
    <cfRule type="expression" dxfId="7314" priority="1471" stopIfTrue="1">
      <formula>AI49=CléPersonnalisée2</formula>
    </cfRule>
    <cfRule type="expression" dxfId="7313" priority="1472" stopIfTrue="1">
      <formula>AI49=CléPersonnalisée1</formula>
    </cfRule>
    <cfRule type="expression" dxfId="7312" priority="1473" stopIfTrue="1">
      <formula>AI49=CléMaladie</formula>
    </cfRule>
    <cfRule type="expression" dxfId="7311" priority="1474" stopIfTrue="1">
      <formula>AI49=CléPersonnelle</formula>
    </cfRule>
    <cfRule type="expression" dxfId="7310" priority="1475" stopIfTrue="1">
      <formula>AI49=CléCongés</formula>
    </cfRule>
  </conditionalFormatting>
  <conditionalFormatting sqref="AI53:AI54">
    <cfRule type="expression" priority="1464" stopIfTrue="1">
      <formula>AI53=""</formula>
    </cfRule>
    <cfRule type="expression" dxfId="7309" priority="1465" stopIfTrue="1">
      <formula>AI53=CléPersonnalisée2</formula>
    </cfRule>
    <cfRule type="expression" dxfId="7308" priority="1466" stopIfTrue="1">
      <formula>AI53=CléPersonnalisée1</formula>
    </cfRule>
    <cfRule type="expression" dxfId="7307" priority="1467" stopIfTrue="1">
      <formula>AI53=CléMaladie</formula>
    </cfRule>
    <cfRule type="expression" dxfId="7306" priority="1468" stopIfTrue="1">
      <formula>AI53=CléPersonnelle</formula>
    </cfRule>
    <cfRule type="expression" dxfId="7305" priority="1469" stopIfTrue="1">
      <formula>AI53=CléCongés</formula>
    </cfRule>
  </conditionalFormatting>
  <conditionalFormatting sqref="AI61:AI62">
    <cfRule type="expression" priority="1458" stopIfTrue="1">
      <formula>AI61=""</formula>
    </cfRule>
    <cfRule type="expression" dxfId="7304" priority="1459" stopIfTrue="1">
      <formula>AI61=CléPersonnalisée2</formula>
    </cfRule>
    <cfRule type="expression" dxfId="7303" priority="1460" stopIfTrue="1">
      <formula>AI61=CléPersonnalisée1</formula>
    </cfRule>
    <cfRule type="expression" dxfId="7302" priority="1461" stopIfTrue="1">
      <formula>AI61=CléMaladie</formula>
    </cfRule>
    <cfRule type="expression" dxfId="7301" priority="1462" stopIfTrue="1">
      <formula>AI61=CléPersonnelle</formula>
    </cfRule>
    <cfRule type="expression" dxfId="7300" priority="1463" stopIfTrue="1">
      <formula>AI61=CléCongés</formula>
    </cfRule>
  </conditionalFormatting>
  <conditionalFormatting sqref="AI69:AI70">
    <cfRule type="expression" priority="1452" stopIfTrue="1">
      <formula>AI69=""</formula>
    </cfRule>
    <cfRule type="expression" dxfId="7299" priority="1453" stopIfTrue="1">
      <formula>AI69=CléPersonnalisée2</formula>
    </cfRule>
    <cfRule type="expression" dxfId="7298" priority="1454" stopIfTrue="1">
      <formula>AI69=CléPersonnalisée1</formula>
    </cfRule>
    <cfRule type="expression" dxfId="7297" priority="1455" stopIfTrue="1">
      <formula>AI69=CléMaladie</formula>
    </cfRule>
    <cfRule type="expression" dxfId="7296" priority="1456" stopIfTrue="1">
      <formula>AI69=CléPersonnelle</formula>
    </cfRule>
    <cfRule type="expression" dxfId="7295" priority="1457" stopIfTrue="1">
      <formula>AI69=CléCongés</formula>
    </cfRule>
  </conditionalFormatting>
  <conditionalFormatting sqref="AN11">
    <cfRule type="expression" priority="1446" stopIfTrue="1">
      <formula>AN11=""</formula>
    </cfRule>
    <cfRule type="expression" dxfId="7294" priority="1447" stopIfTrue="1">
      <formula>AN11=CléPersonnalisée2</formula>
    </cfRule>
    <cfRule type="expression" dxfId="7293" priority="1448" stopIfTrue="1">
      <formula>AN11=CléPersonnalisée1</formula>
    </cfRule>
    <cfRule type="expression" dxfId="7292" priority="1449" stopIfTrue="1">
      <formula>AN11=CléMaladie</formula>
    </cfRule>
    <cfRule type="expression" dxfId="7291" priority="1450" stopIfTrue="1">
      <formula>AN11=CléPersonnelle</formula>
    </cfRule>
    <cfRule type="expression" dxfId="7290" priority="1451" stopIfTrue="1">
      <formula>AN11=CléCongés</formula>
    </cfRule>
  </conditionalFormatting>
  <conditionalFormatting sqref="AN19">
    <cfRule type="expression" priority="1440" stopIfTrue="1">
      <formula>AN19=""</formula>
    </cfRule>
    <cfRule type="expression" dxfId="7289" priority="1441" stopIfTrue="1">
      <formula>AN19=CléPersonnalisée2</formula>
    </cfRule>
    <cfRule type="expression" dxfId="7288" priority="1442" stopIfTrue="1">
      <formula>AN19=CléPersonnalisée1</formula>
    </cfRule>
    <cfRule type="expression" dxfId="7287" priority="1443" stopIfTrue="1">
      <formula>AN19=CléMaladie</formula>
    </cfRule>
    <cfRule type="expression" dxfId="7286" priority="1444" stopIfTrue="1">
      <formula>AN19=CléPersonnelle</formula>
    </cfRule>
    <cfRule type="expression" dxfId="7285" priority="1445" stopIfTrue="1">
      <formula>AN19=CléCongés</formula>
    </cfRule>
  </conditionalFormatting>
  <conditionalFormatting sqref="AN23">
    <cfRule type="expression" priority="1434" stopIfTrue="1">
      <formula>AN23=""</formula>
    </cfRule>
    <cfRule type="expression" dxfId="7284" priority="1435" stopIfTrue="1">
      <formula>AN23=CléPersonnalisée2</formula>
    </cfRule>
    <cfRule type="expression" dxfId="7283" priority="1436" stopIfTrue="1">
      <formula>AN23=CléPersonnalisée1</formula>
    </cfRule>
    <cfRule type="expression" dxfId="7282" priority="1437" stopIfTrue="1">
      <formula>AN23=CléMaladie</formula>
    </cfRule>
    <cfRule type="expression" dxfId="7281" priority="1438" stopIfTrue="1">
      <formula>AN23=CléPersonnelle</formula>
    </cfRule>
    <cfRule type="expression" dxfId="7280" priority="1439" stopIfTrue="1">
      <formula>AN23=CléCongés</formula>
    </cfRule>
  </conditionalFormatting>
  <conditionalFormatting sqref="AN27">
    <cfRule type="expression" priority="1428" stopIfTrue="1">
      <formula>AN27=""</formula>
    </cfRule>
    <cfRule type="expression" dxfId="7279" priority="1429" stopIfTrue="1">
      <formula>AN27=CléPersonnalisée2</formula>
    </cfRule>
    <cfRule type="expression" dxfId="7278" priority="1430" stopIfTrue="1">
      <formula>AN27=CléPersonnalisée1</formula>
    </cfRule>
    <cfRule type="expression" dxfId="7277" priority="1431" stopIfTrue="1">
      <formula>AN27=CléMaladie</formula>
    </cfRule>
    <cfRule type="expression" dxfId="7276" priority="1432" stopIfTrue="1">
      <formula>AN27=CléPersonnelle</formula>
    </cfRule>
    <cfRule type="expression" dxfId="7275" priority="1433" stopIfTrue="1">
      <formula>AN27=CléCongés</formula>
    </cfRule>
  </conditionalFormatting>
  <conditionalFormatting sqref="AN31">
    <cfRule type="expression" priority="1422" stopIfTrue="1">
      <formula>AN31=""</formula>
    </cfRule>
    <cfRule type="expression" dxfId="7274" priority="1423" stopIfTrue="1">
      <formula>AN31=CléPersonnalisée2</formula>
    </cfRule>
    <cfRule type="expression" dxfId="7273" priority="1424" stopIfTrue="1">
      <formula>AN31=CléPersonnalisée1</formula>
    </cfRule>
    <cfRule type="expression" dxfId="7272" priority="1425" stopIfTrue="1">
      <formula>AN31=CléMaladie</formula>
    </cfRule>
    <cfRule type="expression" dxfId="7271" priority="1426" stopIfTrue="1">
      <formula>AN31=CléPersonnelle</formula>
    </cfRule>
    <cfRule type="expression" dxfId="7270" priority="1427" stopIfTrue="1">
      <formula>AN31=CléCongés</formula>
    </cfRule>
  </conditionalFormatting>
  <conditionalFormatting sqref="AN35">
    <cfRule type="expression" priority="1416" stopIfTrue="1">
      <formula>AN35=""</formula>
    </cfRule>
    <cfRule type="expression" dxfId="7269" priority="1417" stopIfTrue="1">
      <formula>AN35=CléPersonnalisée2</formula>
    </cfRule>
    <cfRule type="expression" dxfId="7268" priority="1418" stopIfTrue="1">
      <formula>AN35=CléPersonnalisée1</formula>
    </cfRule>
    <cfRule type="expression" dxfId="7267" priority="1419" stopIfTrue="1">
      <formula>AN35=CléMaladie</formula>
    </cfRule>
    <cfRule type="expression" dxfId="7266" priority="1420" stopIfTrue="1">
      <formula>AN35=CléPersonnelle</formula>
    </cfRule>
    <cfRule type="expression" dxfId="7265" priority="1421" stopIfTrue="1">
      <formula>AN35=CléCongés</formula>
    </cfRule>
  </conditionalFormatting>
  <conditionalFormatting sqref="AN39">
    <cfRule type="expression" priority="1410" stopIfTrue="1">
      <formula>AN39=""</formula>
    </cfRule>
    <cfRule type="expression" dxfId="7264" priority="1411" stopIfTrue="1">
      <formula>AN39=CléPersonnalisée2</formula>
    </cfRule>
    <cfRule type="expression" dxfId="7263" priority="1412" stopIfTrue="1">
      <formula>AN39=CléPersonnalisée1</formula>
    </cfRule>
    <cfRule type="expression" dxfId="7262" priority="1413" stopIfTrue="1">
      <formula>AN39=CléMaladie</formula>
    </cfRule>
    <cfRule type="expression" dxfId="7261" priority="1414" stopIfTrue="1">
      <formula>AN39=CléPersonnelle</formula>
    </cfRule>
    <cfRule type="expression" dxfId="7260" priority="1415" stopIfTrue="1">
      <formula>AN39=CléCongés</formula>
    </cfRule>
  </conditionalFormatting>
  <conditionalFormatting sqref="AN43">
    <cfRule type="expression" priority="1404" stopIfTrue="1">
      <formula>AN43=""</formula>
    </cfRule>
    <cfRule type="expression" dxfId="7259" priority="1405" stopIfTrue="1">
      <formula>AN43=CléPersonnalisée2</formula>
    </cfRule>
    <cfRule type="expression" dxfId="7258" priority="1406" stopIfTrue="1">
      <formula>AN43=CléPersonnalisée1</formula>
    </cfRule>
    <cfRule type="expression" dxfId="7257" priority="1407" stopIfTrue="1">
      <formula>AN43=CléMaladie</formula>
    </cfRule>
    <cfRule type="expression" dxfId="7256" priority="1408" stopIfTrue="1">
      <formula>AN43=CléPersonnelle</formula>
    </cfRule>
    <cfRule type="expression" dxfId="7255" priority="1409" stopIfTrue="1">
      <formula>AN43=CléCongés</formula>
    </cfRule>
  </conditionalFormatting>
  <conditionalFormatting sqref="AN47">
    <cfRule type="expression" priority="1398" stopIfTrue="1">
      <formula>AN47=""</formula>
    </cfRule>
    <cfRule type="expression" dxfId="7254" priority="1399" stopIfTrue="1">
      <formula>AN47=CléPersonnalisée2</formula>
    </cfRule>
    <cfRule type="expression" dxfId="7253" priority="1400" stopIfTrue="1">
      <formula>AN47=CléPersonnalisée1</formula>
    </cfRule>
    <cfRule type="expression" dxfId="7252" priority="1401" stopIfTrue="1">
      <formula>AN47=CléMaladie</formula>
    </cfRule>
    <cfRule type="expression" dxfId="7251" priority="1402" stopIfTrue="1">
      <formula>AN47=CléPersonnelle</formula>
    </cfRule>
    <cfRule type="expression" dxfId="7250" priority="1403" stopIfTrue="1">
      <formula>AN47=CléCongés</formula>
    </cfRule>
  </conditionalFormatting>
  <conditionalFormatting sqref="AN51">
    <cfRule type="expression" priority="1392" stopIfTrue="1">
      <formula>AN51=""</formula>
    </cfRule>
    <cfRule type="expression" dxfId="7249" priority="1393" stopIfTrue="1">
      <formula>AN51=CléPersonnalisée2</formula>
    </cfRule>
    <cfRule type="expression" dxfId="7248" priority="1394" stopIfTrue="1">
      <formula>AN51=CléPersonnalisée1</formula>
    </cfRule>
    <cfRule type="expression" dxfId="7247" priority="1395" stopIfTrue="1">
      <formula>AN51=CléMaladie</formula>
    </cfRule>
    <cfRule type="expression" dxfId="7246" priority="1396" stopIfTrue="1">
      <formula>AN51=CléPersonnelle</formula>
    </cfRule>
    <cfRule type="expression" dxfId="7245" priority="1397" stopIfTrue="1">
      <formula>AN51=CléCongés</formula>
    </cfRule>
  </conditionalFormatting>
  <conditionalFormatting sqref="AN55">
    <cfRule type="expression" priority="1386" stopIfTrue="1">
      <formula>AN55=""</formula>
    </cfRule>
    <cfRule type="expression" dxfId="7244" priority="1387" stopIfTrue="1">
      <formula>AN55=CléPersonnalisée2</formula>
    </cfRule>
    <cfRule type="expression" dxfId="7243" priority="1388" stopIfTrue="1">
      <formula>AN55=CléPersonnalisée1</formula>
    </cfRule>
    <cfRule type="expression" dxfId="7242" priority="1389" stopIfTrue="1">
      <formula>AN55=CléMaladie</formula>
    </cfRule>
    <cfRule type="expression" dxfId="7241" priority="1390" stopIfTrue="1">
      <formula>AN55=CléPersonnelle</formula>
    </cfRule>
    <cfRule type="expression" dxfId="7240" priority="1391" stopIfTrue="1">
      <formula>AN55=CléCongés</formula>
    </cfRule>
  </conditionalFormatting>
  <conditionalFormatting sqref="AN63">
    <cfRule type="expression" priority="1380" stopIfTrue="1">
      <formula>AN63=""</formula>
    </cfRule>
    <cfRule type="expression" dxfId="7239" priority="1381" stopIfTrue="1">
      <formula>AN63=CléPersonnalisée2</formula>
    </cfRule>
    <cfRule type="expression" dxfId="7238" priority="1382" stopIfTrue="1">
      <formula>AN63=CléPersonnalisée1</formula>
    </cfRule>
    <cfRule type="expression" dxfId="7237" priority="1383" stopIfTrue="1">
      <formula>AN63=CléMaladie</formula>
    </cfRule>
    <cfRule type="expression" dxfId="7236" priority="1384" stopIfTrue="1">
      <formula>AN63=CléPersonnelle</formula>
    </cfRule>
    <cfRule type="expression" dxfId="7235" priority="1385" stopIfTrue="1">
      <formula>AN63=CléCongés</formula>
    </cfRule>
  </conditionalFormatting>
  <conditionalFormatting sqref="AN71">
    <cfRule type="expression" priority="1374" stopIfTrue="1">
      <formula>AN71=""</formula>
    </cfRule>
    <cfRule type="expression" dxfId="7234" priority="1375" stopIfTrue="1">
      <formula>AN71=CléPersonnalisée2</formula>
    </cfRule>
    <cfRule type="expression" dxfId="7233" priority="1376" stopIfTrue="1">
      <formula>AN71=CléPersonnalisée1</formula>
    </cfRule>
    <cfRule type="expression" dxfId="7232" priority="1377" stopIfTrue="1">
      <formula>AN71=CléMaladie</formula>
    </cfRule>
    <cfRule type="expression" dxfId="7231" priority="1378" stopIfTrue="1">
      <formula>AN71=CléPersonnelle</formula>
    </cfRule>
    <cfRule type="expression" dxfId="7230" priority="1379" stopIfTrue="1">
      <formula>AN71=CléCongés</formula>
    </cfRule>
  </conditionalFormatting>
  <conditionalFormatting sqref="AH7">
    <cfRule type="dataBar" priority="1373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{7A597FDD-F7AC-4F6F-8D7A-63E0945A006C}</x14:id>
        </ext>
      </extLst>
    </cfRule>
  </conditionalFormatting>
  <conditionalFormatting sqref="AI7:AL7">
    <cfRule type="expression" priority="1367" stopIfTrue="1">
      <formula>AI7=""</formula>
    </cfRule>
    <cfRule type="expression" dxfId="7229" priority="1368" stopIfTrue="1">
      <formula>AI7=CléPersonnalisée2</formula>
    </cfRule>
    <cfRule type="expression" dxfId="7228" priority="1369" stopIfTrue="1">
      <formula>AI7=CléPersonnalisée1</formula>
    </cfRule>
    <cfRule type="expression" dxfId="7227" priority="1370" stopIfTrue="1">
      <formula>AI7=CléMaladie</formula>
    </cfRule>
    <cfRule type="expression" dxfId="7226" priority="1371" stopIfTrue="1">
      <formula>AI7=CléPersonnelle</formula>
    </cfRule>
    <cfRule type="expression" dxfId="7225" priority="1372" stopIfTrue="1">
      <formula>AI7=CléCongés</formula>
    </cfRule>
  </conditionalFormatting>
  <conditionalFormatting sqref="AM7">
    <cfRule type="expression" priority="1361" stopIfTrue="1">
      <formula>AM7=""</formula>
    </cfRule>
    <cfRule type="expression" dxfId="7224" priority="1362" stopIfTrue="1">
      <formula>AM7=CléPersonnalisée2</formula>
    </cfRule>
    <cfRule type="expression" dxfId="7223" priority="1363" stopIfTrue="1">
      <formula>AM7=CléPersonnalisée1</formula>
    </cfRule>
    <cfRule type="expression" dxfId="7222" priority="1364" stopIfTrue="1">
      <formula>AM7=CléMaladie</formula>
    </cfRule>
    <cfRule type="expression" dxfId="7221" priority="1365" stopIfTrue="1">
      <formula>AM7=CléPersonnelle</formula>
    </cfRule>
    <cfRule type="expression" dxfId="7220" priority="1366" stopIfTrue="1">
      <formula>AM7=CléCongés</formula>
    </cfRule>
  </conditionalFormatting>
  <conditionalFormatting sqref="AO7">
    <cfRule type="expression" priority="1355" stopIfTrue="1">
      <formula>AO7=""</formula>
    </cfRule>
    <cfRule type="expression" dxfId="7219" priority="1356" stopIfTrue="1">
      <formula>AO7=CléPersonnalisée2</formula>
    </cfRule>
    <cfRule type="expression" dxfId="7218" priority="1357" stopIfTrue="1">
      <formula>AO7=CléPersonnalisée1</formula>
    </cfRule>
    <cfRule type="expression" dxfId="7217" priority="1358" stopIfTrue="1">
      <formula>AO7=CléMaladie</formula>
    </cfRule>
    <cfRule type="expression" dxfId="7216" priority="1359" stopIfTrue="1">
      <formula>AO7=CléPersonnelle</formula>
    </cfRule>
    <cfRule type="expression" dxfId="7215" priority="1360" stopIfTrue="1">
      <formula>AO7=CléCongés</formula>
    </cfRule>
  </conditionalFormatting>
  <conditionalFormatting sqref="AN7">
    <cfRule type="expression" priority="1349" stopIfTrue="1">
      <formula>AN7=""</formula>
    </cfRule>
    <cfRule type="expression" dxfId="7214" priority="1350" stopIfTrue="1">
      <formula>AN7=CléPersonnalisée2</formula>
    </cfRule>
    <cfRule type="expression" dxfId="7213" priority="1351" stopIfTrue="1">
      <formula>AN7=CléPersonnalisée1</formula>
    </cfRule>
    <cfRule type="expression" dxfId="7212" priority="1352" stopIfTrue="1">
      <formula>AN7=CléMaladie</formula>
    </cfRule>
    <cfRule type="expression" dxfId="7211" priority="1353" stopIfTrue="1">
      <formula>AN7=CléPersonnelle</formula>
    </cfRule>
    <cfRule type="expression" dxfId="7210" priority="1354" stopIfTrue="1">
      <formula>AN7=CléCongés</formula>
    </cfRule>
  </conditionalFormatting>
  <conditionalFormatting sqref="AQ7">
    <cfRule type="expression" priority="1343" stopIfTrue="1">
      <formula>AQ7=""</formula>
    </cfRule>
    <cfRule type="expression" dxfId="7209" priority="1344" stopIfTrue="1">
      <formula>AQ7=CléPersonnalisée2</formula>
    </cfRule>
    <cfRule type="expression" dxfId="7208" priority="1345" stopIfTrue="1">
      <formula>AQ7=CléPersonnalisée1</formula>
    </cfRule>
    <cfRule type="expression" dxfId="7207" priority="1346" stopIfTrue="1">
      <formula>AQ7=CléMaladie</formula>
    </cfRule>
    <cfRule type="expression" dxfId="7206" priority="1347" stopIfTrue="1">
      <formula>AQ7=CléPersonnelle</formula>
    </cfRule>
    <cfRule type="expression" dxfId="7205" priority="1348" stopIfTrue="1">
      <formula>AQ7=CléCongés</formula>
    </cfRule>
  </conditionalFormatting>
  <conditionalFormatting sqref="AQ71">
    <cfRule type="expression" priority="1125" stopIfTrue="1">
      <formula>AQ71=""</formula>
    </cfRule>
    <cfRule type="expression" dxfId="7204" priority="1126" stopIfTrue="1">
      <formula>AQ71=CléPersonnalisée2</formula>
    </cfRule>
    <cfRule type="expression" dxfId="7203" priority="1127" stopIfTrue="1">
      <formula>AQ71=CléPersonnalisée1</formula>
    </cfRule>
    <cfRule type="expression" dxfId="7202" priority="1128" stopIfTrue="1">
      <formula>AQ71=CléMaladie</formula>
    </cfRule>
    <cfRule type="expression" dxfId="7201" priority="1129" stopIfTrue="1">
      <formula>AQ71=CléPersonnelle</formula>
    </cfRule>
    <cfRule type="expression" dxfId="7200" priority="1130" stopIfTrue="1">
      <formula>AQ71=CléCongés</formula>
    </cfRule>
  </conditionalFormatting>
  <conditionalFormatting sqref="AQ75">
    <cfRule type="expression" priority="1075" stopIfTrue="1">
      <formula>AQ75=""</formula>
    </cfRule>
    <cfRule type="expression" dxfId="7199" priority="1076" stopIfTrue="1">
      <formula>AQ75=CléPersonnalisée2</formula>
    </cfRule>
    <cfRule type="expression" dxfId="7198" priority="1077" stopIfTrue="1">
      <formula>AQ75=CléPersonnalisée1</formula>
    </cfRule>
    <cfRule type="expression" dxfId="7197" priority="1078" stopIfTrue="1">
      <formula>AQ75=CléMaladie</formula>
    </cfRule>
    <cfRule type="expression" dxfId="7196" priority="1079" stopIfTrue="1">
      <formula>AQ75=CléPersonnelle</formula>
    </cfRule>
    <cfRule type="expression" dxfId="7195" priority="1080" stopIfTrue="1">
      <formula>AQ75=CléCongés</formula>
    </cfRule>
  </conditionalFormatting>
  <conditionalFormatting sqref="AQ83">
    <cfRule type="expression" priority="1013" stopIfTrue="1">
      <formula>AQ83=""</formula>
    </cfRule>
    <cfRule type="expression" dxfId="7194" priority="1014" stopIfTrue="1">
      <formula>AQ83=CléPersonnalisée2</formula>
    </cfRule>
    <cfRule type="expression" dxfId="7193" priority="1015" stopIfTrue="1">
      <formula>AQ83=CléPersonnalisée1</formula>
    </cfRule>
    <cfRule type="expression" dxfId="7192" priority="1016" stopIfTrue="1">
      <formula>AQ83=CléMaladie</formula>
    </cfRule>
    <cfRule type="expression" dxfId="7191" priority="1017" stopIfTrue="1">
      <formula>AQ83=CléPersonnelle</formula>
    </cfRule>
    <cfRule type="expression" dxfId="7190" priority="1018" stopIfTrue="1">
      <formula>AQ83=CléCongés</formula>
    </cfRule>
  </conditionalFormatting>
  <conditionalFormatting sqref="AQ91">
    <cfRule type="expression" priority="889" stopIfTrue="1">
      <formula>AQ91=""</formula>
    </cfRule>
    <cfRule type="expression" dxfId="7189" priority="890" stopIfTrue="1">
      <formula>AQ91=CléPersonnalisée2</formula>
    </cfRule>
    <cfRule type="expression" dxfId="7188" priority="891" stopIfTrue="1">
      <formula>AQ91=CléPersonnalisée1</formula>
    </cfRule>
    <cfRule type="expression" dxfId="7187" priority="892" stopIfTrue="1">
      <formula>AQ91=CléMaladie</formula>
    </cfRule>
    <cfRule type="expression" dxfId="7186" priority="893" stopIfTrue="1">
      <formula>AQ91=CléPersonnelle</formula>
    </cfRule>
    <cfRule type="expression" dxfId="7185" priority="894" stopIfTrue="1">
      <formula>AQ91=CléCongés</formula>
    </cfRule>
  </conditionalFormatting>
  <conditionalFormatting sqref="C65:AG67">
    <cfRule type="expression" priority="1336" stopIfTrue="1">
      <formula>C65=""</formula>
    </cfRule>
    <cfRule type="expression" dxfId="7184" priority="1337" stopIfTrue="1">
      <formula>C65=CléPersonnalisée2</formula>
    </cfRule>
    <cfRule type="expression" dxfId="7183" priority="1338" stopIfTrue="1">
      <formula>C65=CléPersonnalisée1</formula>
    </cfRule>
    <cfRule type="expression" dxfId="7182" priority="1339" stopIfTrue="1">
      <formula>C65=CléMaladie</formula>
    </cfRule>
    <cfRule type="expression" dxfId="7181" priority="1340" stopIfTrue="1">
      <formula>C65=CléPersonnelle</formula>
    </cfRule>
    <cfRule type="expression" dxfId="7180" priority="1341" stopIfTrue="1">
      <formula>C65=CléCongés</formula>
    </cfRule>
  </conditionalFormatting>
  <conditionalFormatting sqref="AH67">
    <cfRule type="dataBar" priority="1342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{263E1B54-A1E6-428A-9B9B-A923AA2EDA4C}</x14:id>
        </ext>
      </extLst>
    </cfRule>
  </conditionalFormatting>
  <conditionalFormatting sqref="AI67:AL67 AJ65:AL66">
    <cfRule type="expression" priority="1330" stopIfTrue="1">
      <formula>AI65=""</formula>
    </cfRule>
    <cfRule type="expression" dxfId="7179" priority="1331" stopIfTrue="1">
      <formula>AI65=CléPersonnalisée2</formula>
    </cfRule>
    <cfRule type="expression" dxfId="7178" priority="1332" stopIfTrue="1">
      <formula>AI65=CléPersonnalisée1</formula>
    </cfRule>
    <cfRule type="expression" dxfId="7177" priority="1333" stopIfTrue="1">
      <formula>AI65=CléMaladie</formula>
    </cfRule>
    <cfRule type="expression" dxfId="7176" priority="1334" stopIfTrue="1">
      <formula>AI65=CléPersonnelle</formula>
    </cfRule>
    <cfRule type="expression" dxfId="7175" priority="1335" stopIfTrue="1">
      <formula>AI65=CléCongés</formula>
    </cfRule>
  </conditionalFormatting>
  <conditionalFormatting sqref="AQ65:AR66">
    <cfRule type="expression" priority="1318" stopIfTrue="1">
      <formula>AQ65=""</formula>
    </cfRule>
    <cfRule type="expression" dxfId="7174" priority="1319" stopIfTrue="1">
      <formula>AQ65=CléPersonnalisée2</formula>
    </cfRule>
    <cfRule type="expression" dxfId="7173" priority="1320" stopIfTrue="1">
      <formula>AQ65=CléPersonnalisée1</formula>
    </cfRule>
    <cfRule type="expression" dxfId="7172" priority="1321" stopIfTrue="1">
      <formula>AQ65=CléMaladie</formula>
    </cfRule>
    <cfRule type="expression" dxfId="7171" priority="1322" stopIfTrue="1">
      <formula>AQ65=CléPersonnelle</formula>
    </cfRule>
    <cfRule type="expression" dxfId="7170" priority="1323" stopIfTrue="1">
      <formula>AQ65=CléCongés</formula>
    </cfRule>
  </conditionalFormatting>
  <conditionalFormatting sqref="AH65:AH66">
    <cfRule type="dataBar" priority="1311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{4DF24890-215A-4AEE-9D5C-1018D93E785E}</x14:id>
        </ext>
      </extLst>
    </cfRule>
  </conditionalFormatting>
  <conditionalFormatting sqref="AO67">
    <cfRule type="expression" priority="1305" stopIfTrue="1">
      <formula>AO67=""</formula>
    </cfRule>
    <cfRule type="expression" dxfId="7169" priority="1306" stopIfTrue="1">
      <formula>AO67=CléPersonnalisée2</formula>
    </cfRule>
    <cfRule type="expression" dxfId="7168" priority="1307" stopIfTrue="1">
      <formula>AO67=CléPersonnalisée1</formula>
    </cfRule>
    <cfRule type="expression" dxfId="7167" priority="1308" stopIfTrue="1">
      <formula>AO67=CléMaladie</formula>
    </cfRule>
    <cfRule type="expression" dxfId="7166" priority="1309" stopIfTrue="1">
      <formula>AO67=CléPersonnelle</formula>
    </cfRule>
    <cfRule type="expression" dxfId="7165" priority="1310" stopIfTrue="1">
      <formula>AO67=CléCongés</formula>
    </cfRule>
  </conditionalFormatting>
  <conditionalFormatting sqref="AI65:AI66">
    <cfRule type="expression" priority="1299" stopIfTrue="1">
      <formula>AI65=""</formula>
    </cfRule>
    <cfRule type="expression" dxfId="7164" priority="1300" stopIfTrue="1">
      <formula>AI65=CléPersonnalisée2</formula>
    </cfRule>
    <cfRule type="expression" dxfId="7163" priority="1301" stopIfTrue="1">
      <formula>AI65=CléPersonnalisée1</formula>
    </cfRule>
    <cfRule type="expression" dxfId="7162" priority="1302" stopIfTrue="1">
      <formula>AI65=CléMaladie</formula>
    </cfRule>
    <cfRule type="expression" dxfId="7161" priority="1303" stopIfTrue="1">
      <formula>AI65=CléPersonnelle</formula>
    </cfRule>
    <cfRule type="expression" dxfId="7160" priority="1304" stopIfTrue="1">
      <formula>AI65=CléCongés</formula>
    </cfRule>
  </conditionalFormatting>
  <conditionalFormatting sqref="AN67">
    <cfRule type="expression" priority="1293" stopIfTrue="1">
      <formula>AN67=""</formula>
    </cfRule>
    <cfRule type="expression" dxfId="7159" priority="1294" stopIfTrue="1">
      <formula>AN67=CléPersonnalisée2</formula>
    </cfRule>
    <cfRule type="expression" dxfId="7158" priority="1295" stopIfTrue="1">
      <formula>AN67=CléPersonnalisée1</formula>
    </cfRule>
    <cfRule type="expression" dxfId="7157" priority="1296" stopIfTrue="1">
      <formula>AN67=CléMaladie</formula>
    </cfRule>
    <cfRule type="expression" dxfId="7156" priority="1297" stopIfTrue="1">
      <formula>AN67=CléPersonnelle</formula>
    </cfRule>
    <cfRule type="expression" dxfId="7155" priority="1298" stopIfTrue="1">
      <formula>AN67=CléCongés</formula>
    </cfRule>
  </conditionalFormatting>
  <conditionalFormatting sqref="AR11">
    <cfRule type="expression" priority="1287" stopIfTrue="1">
      <formula>AR11=""</formula>
    </cfRule>
    <cfRule type="expression" dxfId="7154" priority="1288" stopIfTrue="1">
      <formula>AR11=CléPersonnalisée2</formula>
    </cfRule>
    <cfRule type="expression" dxfId="7153" priority="1289" stopIfTrue="1">
      <formula>AR11=CléPersonnalisée1</formula>
    </cfRule>
    <cfRule type="expression" dxfId="7152" priority="1290" stopIfTrue="1">
      <formula>AR11=CléMaladie</formula>
    </cfRule>
    <cfRule type="expression" dxfId="7151" priority="1291" stopIfTrue="1">
      <formula>AR11=CléPersonnelle</formula>
    </cfRule>
    <cfRule type="expression" dxfId="7150" priority="1292" stopIfTrue="1">
      <formula>AR11=CléCongés</formula>
    </cfRule>
  </conditionalFormatting>
  <conditionalFormatting sqref="AQ11">
    <cfRule type="expression" priority="1281" stopIfTrue="1">
      <formula>AQ11=""</formula>
    </cfRule>
    <cfRule type="expression" dxfId="7149" priority="1282" stopIfTrue="1">
      <formula>AQ11=CléPersonnalisée2</formula>
    </cfRule>
    <cfRule type="expression" dxfId="7148" priority="1283" stopIfTrue="1">
      <formula>AQ11=CléPersonnalisée1</formula>
    </cfRule>
    <cfRule type="expression" dxfId="7147" priority="1284" stopIfTrue="1">
      <formula>AQ11=CléMaladie</formula>
    </cfRule>
    <cfRule type="expression" dxfId="7146" priority="1285" stopIfTrue="1">
      <formula>AQ11=CléPersonnelle</formula>
    </cfRule>
    <cfRule type="expression" dxfId="7145" priority="1286" stopIfTrue="1">
      <formula>AQ11=CléCongés</formula>
    </cfRule>
  </conditionalFormatting>
  <conditionalFormatting sqref="AR19">
    <cfRule type="expression" priority="1275" stopIfTrue="1">
      <formula>AR19=""</formula>
    </cfRule>
    <cfRule type="expression" dxfId="7144" priority="1276" stopIfTrue="1">
      <formula>AR19=CléPersonnalisée2</formula>
    </cfRule>
    <cfRule type="expression" dxfId="7143" priority="1277" stopIfTrue="1">
      <formula>AR19=CléPersonnalisée1</formula>
    </cfRule>
    <cfRule type="expression" dxfId="7142" priority="1278" stopIfTrue="1">
      <formula>AR19=CléMaladie</formula>
    </cfRule>
    <cfRule type="expression" dxfId="7141" priority="1279" stopIfTrue="1">
      <formula>AR19=CléPersonnelle</formula>
    </cfRule>
    <cfRule type="expression" dxfId="7140" priority="1280" stopIfTrue="1">
      <formula>AR19=CléCongés</formula>
    </cfRule>
  </conditionalFormatting>
  <conditionalFormatting sqref="AQ19">
    <cfRule type="expression" priority="1269" stopIfTrue="1">
      <formula>AQ19=""</formula>
    </cfRule>
    <cfRule type="expression" dxfId="7139" priority="1270" stopIfTrue="1">
      <formula>AQ19=CléPersonnalisée2</formula>
    </cfRule>
    <cfRule type="expression" dxfId="7138" priority="1271" stopIfTrue="1">
      <formula>AQ19=CléPersonnalisée1</formula>
    </cfRule>
    <cfRule type="expression" dxfId="7137" priority="1272" stopIfTrue="1">
      <formula>AQ19=CléMaladie</formula>
    </cfRule>
    <cfRule type="expression" dxfId="7136" priority="1273" stopIfTrue="1">
      <formula>AQ19=CléPersonnelle</formula>
    </cfRule>
    <cfRule type="expression" dxfId="7135" priority="1274" stopIfTrue="1">
      <formula>AQ19=CléCongés</formula>
    </cfRule>
  </conditionalFormatting>
  <conditionalFormatting sqref="AR23">
    <cfRule type="expression" priority="1263" stopIfTrue="1">
      <formula>AR23=""</formula>
    </cfRule>
    <cfRule type="expression" dxfId="7134" priority="1264" stopIfTrue="1">
      <formula>AR23=CléPersonnalisée2</formula>
    </cfRule>
    <cfRule type="expression" dxfId="7133" priority="1265" stopIfTrue="1">
      <formula>AR23=CléPersonnalisée1</formula>
    </cfRule>
    <cfRule type="expression" dxfId="7132" priority="1266" stopIfTrue="1">
      <formula>AR23=CléMaladie</formula>
    </cfRule>
    <cfRule type="expression" dxfId="7131" priority="1267" stopIfTrue="1">
      <formula>AR23=CléPersonnelle</formula>
    </cfRule>
    <cfRule type="expression" dxfId="7130" priority="1268" stopIfTrue="1">
      <formula>AR23=CléCongés</formula>
    </cfRule>
  </conditionalFormatting>
  <conditionalFormatting sqref="AQ23">
    <cfRule type="expression" priority="1257" stopIfTrue="1">
      <formula>AQ23=""</formula>
    </cfRule>
    <cfRule type="expression" dxfId="7129" priority="1258" stopIfTrue="1">
      <formula>AQ23=CléPersonnalisée2</formula>
    </cfRule>
    <cfRule type="expression" dxfId="7128" priority="1259" stopIfTrue="1">
      <formula>AQ23=CléPersonnalisée1</formula>
    </cfRule>
    <cfRule type="expression" dxfId="7127" priority="1260" stopIfTrue="1">
      <formula>AQ23=CléMaladie</formula>
    </cfRule>
    <cfRule type="expression" dxfId="7126" priority="1261" stopIfTrue="1">
      <formula>AQ23=CléPersonnelle</formula>
    </cfRule>
    <cfRule type="expression" dxfId="7125" priority="1262" stopIfTrue="1">
      <formula>AQ23=CléCongés</formula>
    </cfRule>
  </conditionalFormatting>
  <conditionalFormatting sqref="AR27">
    <cfRule type="expression" priority="1251" stopIfTrue="1">
      <formula>AR27=""</formula>
    </cfRule>
    <cfRule type="expression" dxfId="7124" priority="1252" stopIfTrue="1">
      <formula>AR27=CléPersonnalisée2</formula>
    </cfRule>
    <cfRule type="expression" dxfId="7123" priority="1253" stopIfTrue="1">
      <formula>AR27=CléPersonnalisée1</formula>
    </cfRule>
    <cfRule type="expression" dxfId="7122" priority="1254" stopIfTrue="1">
      <formula>AR27=CléMaladie</formula>
    </cfRule>
    <cfRule type="expression" dxfId="7121" priority="1255" stopIfTrue="1">
      <formula>AR27=CléPersonnelle</formula>
    </cfRule>
    <cfRule type="expression" dxfId="7120" priority="1256" stopIfTrue="1">
      <formula>AR27=CléCongés</formula>
    </cfRule>
  </conditionalFormatting>
  <conditionalFormatting sqref="AQ27">
    <cfRule type="expression" priority="1245" stopIfTrue="1">
      <formula>AQ27=""</formula>
    </cfRule>
    <cfRule type="expression" dxfId="7119" priority="1246" stopIfTrue="1">
      <formula>AQ27=CléPersonnalisée2</formula>
    </cfRule>
    <cfRule type="expression" dxfId="7118" priority="1247" stopIfTrue="1">
      <formula>AQ27=CléPersonnalisée1</formula>
    </cfRule>
    <cfRule type="expression" dxfId="7117" priority="1248" stopIfTrue="1">
      <formula>AQ27=CléMaladie</formula>
    </cfRule>
    <cfRule type="expression" dxfId="7116" priority="1249" stopIfTrue="1">
      <formula>AQ27=CléPersonnelle</formula>
    </cfRule>
    <cfRule type="expression" dxfId="7115" priority="1250" stopIfTrue="1">
      <formula>AQ27=CléCongés</formula>
    </cfRule>
  </conditionalFormatting>
  <conditionalFormatting sqref="AR31">
    <cfRule type="expression" priority="1239" stopIfTrue="1">
      <formula>AR31=""</formula>
    </cfRule>
    <cfRule type="expression" dxfId="7114" priority="1240" stopIfTrue="1">
      <formula>AR31=CléPersonnalisée2</formula>
    </cfRule>
    <cfRule type="expression" dxfId="7113" priority="1241" stopIfTrue="1">
      <formula>AR31=CléPersonnalisée1</formula>
    </cfRule>
    <cfRule type="expression" dxfId="7112" priority="1242" stopIfTrue="1">
      <formula>AR31=CléMaladie</formula>
    </cfRule>
    <cfRule type="expression" dxfId="7111" priority="1243" stopIfTrue="1">
      <formula>AR31=CléPersonnelle</formula>
    </cfRule>
    <cfRule type="expression" dxfId="7110" priority="1244" stopIfTrue="1">
      <formula>AR31=CléCongés</formula>
    </cfRule>
  </conditionalFormatting>
  <conditionalFormatting sqref="AQ31">
    <cfRule type="expression" priority="1233" stopIfTrue="1">
      <formula>AQ31=""</formula>
    </cfRule>
    <cfRule type="expression" dxfId="7109" priority="1234" stopIfTrue="1">
      <formula>AQ31=CléPersonnalisée2</formula>
    </cfRule>
    <cfRule type="expression" dxfId="7108" priority="1235" stopIfTrue="1">
      <formula>AQ31=CléPersonnalisée1</formula>
    </cfRule>
    <cfRule type="expression" dxfId="7107" priority="1236" stopIfTrue="1">
      <formula>AQ31=CléMaladie</formula>
    </cfRule>
    <cfRule type="expression" dxfId="7106" priority="1237" stopIfTrue="1">
      <formula>AQ31=CléPersonnelle</formula>
    </cfRule>
    <cfRule type="expression" dxfId="7105" priority="1238" stopIfTrue="1">
      <formula>AQ31=CléCongés</formula>
    </cfRule>
  </conditionalFormatting>
  <conditionalFormatting sqref="AR35">
    <cfRule type="expression" priority="1227" stopIfTrue="1">
      <formula>AR35=""</formula>
    </cfRule>
    <cfRule type="expression" dxfId="7104" priority="1228" stopIfTrue="1">
      <formula>AR35=CléPersonnalisée2</formula>
    </cfRule>
    <cfRule type="expression" dxfId="7103" priority="1229" stopIfTrue="1">
      <formula>AR35=CléPersonnalisée1</formula>
    </cfRule>
    <cfRule type="expression" dxfId="7102" priority="1230" stopIfTrue="1">
      <formula>AR35=CléMaladie</formula>
    </cfRule>
    <cfRule type="expression" dxfId="7101" priority="1231" stopIfTrue="1">
      <formula>AR35=CléPersonnelle</formula>
    </cfRule>
    <cfRule type="expression" dxfId="7100" priority="1232" stopIfTrue="1">
      <formula>AR35=CléCongés</formula>
    </cfRule>
  </conditionalFormatting>
  <conditionalFormatting sqref="AQ35">
    <cfRule type="expression" priority="1221" stopIfTrue="1">
      <formula>AQ35=""</formula>
    </cfRule>
    <cfRule type="expression" dxfId="7099" priority="1222" stopIfTrue="1">
      <formula>AQ35=CléPersonnalisée2</formula>
    </cfRule>
    <cfRule type="expression" dxfId="7098" priority="1223" stopIfTrue="1">
      <formula>AQ35=CléPersonnalisée1</formula>
    </cfRule>
    <cfRule type="expression" dxfId="7097" priority="1224" stopIfTrue="1">
      <formula>AQ35=CléMaladie</formula>
    </cfRule>
    <cfRule type="expression" dxfId="7096" priority="1225" stopIfTrue="1">
      <formula>AQ35=CléPersonnelle</formula>
    </cfRule>
    <cfRule type="expression" dxfId="7095" priority="1226" stopIfTrue="1">
      <formula>AQ35=CléCongés</formula>
    </cfRule>
  </conditionalFormatting>
  <conditionalFormatting sqref="AR39">
    <cfRule type="expression" priority="1215" stopIfTrue="1">
      <formula>AR39=""</formula>
    </cfRule>
    <cfRule type="expression" dxfId="7094" priority="1216" stopIfTrue="1">
      <formula>AR39=CléPersonnalisée2</formula>
    </cfRule>
    <cfRule type="expression" dxfId="7093" priority="1217" stopIfTrue="1">
      <formula>AR39=CléPersonnalisée1</formula>
    </cfRule>
    <cfRule type="expression" dxfId="7092" priority="1218" stopIfTrue="1">
      <formula>AR39=CléMaladie</formula>
    </cfRule>
    <cfRule type="expression" dxfId="7091" priority="1219" stopIfTrue="1">
      <formula>AR39=CléPersonnelle</formula>
    </cfRule>
    <cfRule type="expression" dxfId="7090" priority="1220" stopIfTrue="1">
      <formula>AR39=CléCongés</formula>
    </cfRule>
  </conditionalFormatting>
  <conditionalFormatting sqref="AQ39">
    <cfRule type="expression" priority="1209" stopIfTrue="1">
      <formula>AQ39=""</formula>
    </cfRule>
    <cfRule type="expression" dxfId="7089" priority="1210" stopIfTrue="1">
      <formula>AQ39=CléPersonnalisée2</formula>
    </cfRule>
    <cfRule type="expression" dxfId="7088" priority="1211" stopIfTrue="1">
      <formula>AQ39=CléPersonnalisée1</formula>
    </cfRule>
    <cfRule type="expression" dxfId="7087" priority="1212" stopIfTrue="1">
      <formula>AQ39=CléMaladie</formula>
    </cfRule>
    <cfRule type="expression" dxfId="7086" priority="1213" stopIfTrue="1">
      <formula>AQ39=CléPersonnelle</formula>
    </cfRule>
    <cfRule type="expression" dxfId="7085" priority="1214" stopIfTrue="1">
      <formula>AQ39=CléCongés</formula>
    </cfRule>
  </conditionalFormatting>
  <conditionalFormatting sqref="AR43">
    <cfRule type="expression" priority="1203" stopIfTrue="1">
      <formula>AR43=""</formula>
    </cfRule>
    <cfRule type="expression" dxfId="7084" priority="1204" stopIfTrue="1">
      <formula>AR43=CléPersonnalisée2</formula>
    </cfRule>
    <cfRule type="expression" dxfId="7083" priority="1205" stopIfTrue="1">
      <formula>AR43=CléPersonnalisée1</formula>
    </cfRule>
    <cfRule type="expression" dxfId="7082" priority="1206" stopIfTrue="1">
      <formula>AR43=CléMaladie</formula>
    </cfRule>
    <cfRule type="expression" dxfId="7081" priority="1207" stopIfTrue="1">
      <formula>AR43=CléPersonnelle</formula>
    </cfRule>
    <cfRule type="expression" dxfId="7080" priority="1208" stopIfTrue="1">
      <formula>AR43=CléCongés</formula>
    </cfRule>
  </conditionalFormatting>
  <conditionalFormatting sqref="AQ43">
    <cfRule type="expression" priority="1197" stopIfTrue="1">
      <formula>AQ43=""</formula>
    </cfRule>
    <cfRule type="expression" dxfId="7079" priority="1198" stopIfTrue="1">
      <formula>AQ43=CléPersonnalisée2</formula>
    </cfRule>
    <cfRule type="expression" dxfId="7078" priority="1199" stopIfTrue="1">
      <formula>AQ43=CléPersonnalisée1</formula>
    </cfRule>
    <cfRule type="expression" dxfId="7077" priority="1200" stopIfTrue="1">
      <formula>AQ43=CléMaladie</formula>
    </cfRule>
    <cfRule type="expression" dxfId="7076" priority="1201" stopIfTrue="1">
      <formula>AQ43=CléPersonnelle</formula>
    </cfRule>
    <cfRule type="expression" dxfId="7075" priority="1202" stopIfTrue="1">
      <formula>AQ43=CléCongés</formula>
    </cfRule>
  </conditionalFormatting>
  <conditionalFormatting sqref="AR47">
    <cfRule type="expression" priority="1191" stopIfTrue="1">
      <formula>AR47=""</formula>
    </cfRule>
    <cfRule type="expression" dxfId="7074" priority="1192" stopIfTrue="1">
      <formula>AR47=CléPersonnalisée2</formula>
    </cfRule>
    <cfRule type="expression" dxfId="7073" priority="1193" stopIfTrue="1">
      <formula>AR47=CléPersonnalisée1</formula>
    </cfRule>
    <cfRule type="expression" dxfId="7072" priority="1194" stopIfTrue="1">
      <formula>AR47=CléMaladie</formula>
    </cfRule>
    <cfRule type="expression" dxfId="7071" priority="1195" stopIfTrue="1">
      <formula>AR47=CléPersonnelle</formula>
    </cfRule>
    <cfRule type="expression" dxfId="7070" priority="1196" stopIfTrue="1">
      <formula>AR47=CléCongés</formula>
    </cfRule>
  </conditionalFormatting>
  <conditionalFormatting sqref="AQ47">
    <cfRule type="expression" priority="1185" stopIfTrue="1">
      <formula>AQ47=""</formula>
    </cfRule>
    <cfRule type="expression" dxfId="7069" priority="1186" stopIfTrue="1">
      <formula>AQ47=CléPersonnalisée2</formula>
    </cfRule>
    <cfRule type="expression" dxfId="7068" priority="1187" stopIfTrue="1">
      <formula>AQ47=CléPersonnalisée1</formula>
    </cfRule>
    <cfRule type="expression" dxfId="7067" priority="1188" stopIfTrue="1">
      <formula>AQ47=CléMaladie</formula>
    </cfRule>
    <cfRule type="expression" dxfId="7066" priority="1189" stopIfTrue="1">
      <formula>AQ47=CléPersonnelle</formula>
    </cfRule>
    <cfRule type="expression" dxfId="7065" priority="1190" stopIfTrue="1">
      <formula>AQ47=CléCongés</formula>
    </cfRule>
  </conditionalFormatting>
  <conditionalFormatting sqref="AR51">
    <cfRule type="expression" priority="1179" stopIfTrue="1">
      <formula>AR51=""</formula>
    </cfRule>
    <cfRule type="expression" dxfId="7064" priority="1180" stopIfTrue="1">
      <formula>AR51=CléPersonnalisée2</formula>
    </cfRule>
    <cfRule type="expression" dxfId="7063" priority="1181" stopIfTrue="1">
      <formula>AR51=CléPersonnalisée1</formula>
    </cfRule>
    <cfRule type="expression" dxfId="7062" priority="1182" stopIfTrue="1">
      <formula>AR51=CléMaladie</formula>
    </cfRule>
    <cfRule type="expression" dxfId="7061" priority="1183" stopIfTrue="1">
      <formula>AR51=CléPersonnelle</formula>
    </cfRule>
    <cfRule type="expression" dxfId="7060" priority="1184" stopIfTrue="1">
      <formula>AR51=CléCongés</formula>
    </cfRule>
  </conditionalFormatting>
  <conditionalFormatting sqref="AQ51">
    <cfRule type="expression" priority="1173" stopIfTrue="1">
      <formula>AQ51=""</formula>
    </cfRule>
    <cfRule type="expression" dxfId="7059" priority="1174" stopIfTrue="1">
      <formula>AQ51=CléPersonnalisée2</formula>
    </cfRule>
    <cfRule type="expression" dxfId="7058" priority="1175" stopIfTrue="1">
      <formula>AQ51=CléPersonnalisée1</formula>
    </cfRule>
    <cfRule type="expression" dxfId="7057" priority="1176" stopIfTrue="1">
      <formula>AQ51=CléMaladie</formula>
    </cfRule>
    <cfRule type="expression" dxfId="7056" priority="1177" stopIfTrue="1">
      <formula>AQ51=CléPersonnelle</formula>
    </cfRule>
    <cfRule type="expression" dxfId="7055" priority="1178" stopIfTrue="1">
      <formula>AQ51=CléCongés</formula>
    </cfRule>
  </conditionalFormatting>
  <conditionalFormatting sqref="AR55">
    <cfRule type="expression" priority="1167" stopIfTrue="1">
      <formula>AR55=""</formula>
    </cfRule>
    <cfRule type="expression" dxfId="7054" priority="1168" stopIfTrue="1">
      <formula>AR55=CléPersonnalisée2</formula>
    </cfRule>
    <cfRule type="expression" dxfId="7053" priority="1169" stopIfTrue="1">
      <formula>AR55=CléPersonnalisée1</formula>
    </cfRule>
    <cfRule type="expression" dxfId="7052" priority="1170" stopIfTrue="1">
      <formula>AR55=CléMaladie</formula>
    </cfRule>
    <cfRule type="expression" dxfId="7051" priority="1171" stopIfTrue="1">
      <formula>AR55=CléPersonnelle</formula>
    </cfRule>
    <cfRule type="expression" dxfId="7050" priority="1172" stopIfTrue="1">
      <formula>AR55=CléCongés</formula>
    </cfRule>
  </conditionalFormatting>
  <conditionalFormatting sqref="AQ55">
    <cfRule type="expression" priority="1161" stopIfTrue="1">
      <formula>AQ55=""</formula>
    </cfRule>
    <cfRule type="expression" dxfId="7049" priority="1162" stopIfTrue="1">
      <formula>AQ55=CléPersonnalisée2</formula>
    </cfRule>
    <cfRule type="expression" dxfId="7048" priority="1163" stopIfTrue="1">
      <formula>AQ55=CléPersonnalisée1</formula>
    </cfRule>
    <cfRule type="expression" dxfId="7047" priority="1164" stopIfTrue="1">
      <formula>AQ55=CléMaladie</formula>
    </cfRule>
    <cfRule type="expression" dxfId="7046" priority="1165" stopIfTrue="1">
      <formula>AQ55=CléPersonnelle</formula>
    </cfRule>
    <cfRule type="expression" dxfId="7045" priority="1166" stopIfTrue="1">
      <formula>AQ55=CléCongés</formula>
    </cfRule>
  </conditionalFormatting>
  <conditionalFormatting sqref="AR63">
    <cfRule type="expression" priority="1155" stopIfTrue="1">
      <formula>AR63=""</formula>
    </cfRule>
    <cfRule type="expression" dxfId="7044" priority="1156" stopIfTrue="1">
      <formula>AR63=CléPersonnalisée2</formula>
    </cfRule>
    <cfRule type="expression" dxfId="7043" priority="1157" stopIfTrue="1">
      <formula>AR63=CléPersonnalisée1</formula>
    </cfRule>
    <cfRule type="expression" dxfId="7042" priority="1158" stopIfTrue="1">
      <formula>AR63=CléMaladie</formula>
    </cfRule>
    <cfRule type="expression" dxfId="7041" priority="1159" stopIfTrue="1">
      <formula>AR63=CléPersonnelle</formula>
    </cfRule>
    <cfRule type="expression" dxfId="7040" priority="1160" stopIfTrue="1">
      <formula>AR63=CléCongés</formula>
    </cfRule>
  </conditionalFormatting>
  <conditionalFormatting sqref="AQ63">
    <cfRule type="expression" priority="1149" stopIfTrue="1">
      <formula>AQ63=""</formula>
    </cfRule>
    <cfRule type="expression" dxfId="7039" priority="1150" stopIfTrue="1">
      <formula>AQ63=CléPersonnalisée2</formula>
    </cfRule>
    <cfRule type="expression" dxfId="7038" priority="1151" stopIfTrue="1">
      <formula>AQ63=CléPersonnalisée1</formula>
    </cfRule>
    <cfRule type="expression" dxfId="7037" priority="1152" stopIfTrue="1">
      <formula>AQ63=CléMaladie</formula>
    </cfRule>
    <cfRule type="expression" dxfId="7036" priority="1153" stopIfTrue="1">
      <formula>AQ63=CléPersonnelle</formula>
    </cfRule>
    <cfRule type="expression" dxfId="7035" priority="1154" stopIfTrue="1">
      <formula>AQ63=CléCongés</formula>
    </cfRule>
  </conditionalFormatting>
  <conditionalFormatting sqref="AR67">
    <cfRule type="expression" priority="1143" stopIfTrue="1">
      <formula>AR67=""</formula>
    </cfRule>
    <cfRule type="expression" dxfId="7034" priority="1144" stopIfTrue="1">
      <formula>AR67=CléPersonnalisée2</formula>
    </cfRule>
    <cfRule type="expression" dxfId="7033" priority="1145" stopIfTrue="1">
      <formula>AR67=CléPersonnalisée1</formula>
    </cfRule>
    <cfRule type="expression" dxfId="7032" priority="1146" stopIfTrue="1">
      <formula>AR67=CléMaladie</formula>
    </cfRule>
    <cfRule type="expression" dxfId="7031" priority="1147" stopIfTrue="1">
      <formula>AR67=CléPersonnelle</formula>
    </cfRule>
    <cfRule type="expression" dxfId="7030" priority="1148" stopIfTrue="1">
      <formula>AR67=CléCongés</formula>
    </cfRule>
  </conditionalFormatting>
  <conditionalFormatting sqref="AQ67">
    <cfRule type="expression" priority="1137" stopIfTrue="1">
      <formula>AQ67=""</formula>
    </cfRule>
    <cfRule type="expression" dxfId="7029" priority="1138" stopIfTrue="1">
      <formula>AQ67=CléPersonnalisée2</formula>
    </cfRule>
    <cfRule type="expression" dxfId="7028" priority="1139" stopIfTrue="1">
      <formula>AQ67=CléPersonnalisée1</formula>
    </cfRule>
    <cfRule type="expression" dxfId="7027" priority="1140" stopIfTrue="1">
      <formula>AQ67=CléMaladie</formula>
    </cfRule>
    <cfRule type="expression" dxfId="7026" priority="1141" stopIfTrue="1">
      <formula>AQ67=CléPersonnelle</formula>
    </cfRule>
    <cfRule type="expression" dxfId="7025" priority="1142" stopIfTrue="1">
      <formula>AQ67=CléCongés</formula>
    </cfRule>
  </conditionalFormatting>
  <conditionalFormatting sqref="AR71">
    <cfRule type="expression" priority="1131" stopIfTrue="1">
      <formula>AR71=""</formula>
    </cfRule>
    <cfRule type="expression" dxfId="7024" priority="1132" stopIfTrue="1">
      <formula>AR71=CléPersonnalisée2</formula>
    </cfRule>
    <cfRule type="expression" dxfId="7023" priority="1133" stopIfTrue="1">
      <formula>AR71=CléPersonnalisée1</formula>
    </cfRule>
    <cfRule type="expression" dxfId="7022" priority="1134" stopIfTrue="1">
      <formula>AR71=CléMaladie</formula>
    </cfRule>
    <cfRule type="expression" dxfId="7021" priority="1135" stopIfTrue="1">
      <formula>AR71=CléPersonnelle</formula>
    </cfRule>
    <cfRule type="expression" dxfId="7020" priority="1136" stopIfTrue="1">
      <formula>AR71=CléCongés</formula>
    </cfRule>
  </conditionalFormatting>
  <conditionalFormatting sqref="C73:AG75">
    <cfRule type="expression" priority="1118" stopIfTrue="1">
      <formula>C73=""</formula>
    </cfRule>
    <cfRule type="expression" dxfId="7019" priority="1119" stopIfTrue="1">
      <formula>C73=CléPersonnalisée2</formula>
    </cfRule>
    <cfRule type="expression" dxfId="7018" priority="1120" stopIfTrue="1">
      <formula>C73=CléPersonnalisée1</formula>
    </cfRule>
    <cfRule type="expression" dxfId="7017" priority="1121" stopIfTrue="1">
      <formula>C73=CléMaladie</formula>
    </cfRule>
    <cfRule type="expression" dxfId="7016" priority="1122" stopIfTrue="1">
      <formula>C73=CléPersonnelle</formula>
    </cfRule>
    <cfRule type="expression" dxfId="7015" priority="1123" stopIfTrue="1">
      <formula>C73=CléCongés</formula>
    </cfRule>
  </conditionalFormatting>
  <conditionalFormatting sqref="AH75">
    <cfRule type="dataBar" priority="1124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{F0D273CD-88EA-4C71-A35E-CC922FC07F54}</x14:id>
        </ext>
      </extLst>
    </cfRule>
  </conditionalFormatting>
  <conditionalFormatting sqref="AI75:AL75 AJ73:AL74">
    <cfRule type="expression" priority="1112" stopIfTrue="1">
      <formula>AI73=""</formula>
    </cfRule>
    <cfRule type="expression" dxfId="7014" priority="1113" stopIfTrue="1">
      <formula>AI73=CléPersonnalisée2</formula>
    </cfRule>
    <cfRule type="expression" dxfId="7013" priority="1114" stopIfTrue="1">
      <formula>AI73=CléPersonnalisée1</formula>
    </cfRule>
    <cfRule type="expression" dxfId="7012" priority="1115" stopIfTrue="1">
      <formula>AI73=CléMaladie</formula>
    </cfRule>
    <cfRule type="expression" dxfId="7011" priority="1116" stopIfTrue="1">
      <formula>AI73=CléPersonnelle</formula>
    </cfRule>
    <cfRule type="expression" dxfId="7010" priority="1117" stopIfTrue="1">
      <formula>AI73=CléCongés</formula>
    </cfRule>
  </conditionalFormatting>
  <conditionalFormatting sqref="AM73:AP74">
    <cfRule type="expression" priority="1106" stopIfTrue="1">
      <formula>AM73=""</formula>
    </cfRule>
    <cfRule type="expression" dxfId="7009" priority="1107" stopIfTrue="1">
      <formula>AM73=CléPersonnalisée2</formula>
    </cfRule>
    <cfRule type="expression" dxfId="7008" priority="1108" stopIfTrue="1">
      <formula>AM73=CléPersonnalisée1</formula>
    </cfRule>
    <cfRule type="expression" dxfId="7007" priority="1109" stopIfTrue="1">
      <formula>AM73=CléMaladie</formula>
    </cfRule>
    <cfRule type="expression" dxfId="7006" priority="1110" stopIfTrue="1">
      <formula>AM73=CléPersonnelle</formula>
    </cfRule>
    <cfRule type="expression" dxfId="7005" priority="1111" stopIfTrue="1">
      <formula>AM73=CléCongés</formula>
    </cfRule>
  </conditionalFormatting>
  <conditionalFormatting sqref="AQ73:AR74">
    <cfRule type="expression" priority="1100" stopIfTrue="1">
      <formula>AQ73=""</formula>
    </cfRule>
    <cfRule type="expression" dxfId="7004" priority="1101" stopIfTrue="1">
      <formula>AQ73=CléPersonnalisée2</formula>
    </cfRule>
    <cfRule type="expression" dxfId="7003" priority="1102" stopIfTrue="1">
      <formula>AQ73=CléPersonnalisée1</formula>
    </cfRule>
    <cfRule type="expression" dxfId="7002" priority="1103" stopIfTrue="1">
      <formula>AQ73=CléMaladie</formula>
    </cfRule>
    <cfRule type="expression" dxfId="7001" priority="1104" stopIfTrue="1">
      <formula>AQ73=CléPersonnelle</formula>
    </cfRule>
    <cfRule type="expression" dxfId="7000" priority="1105" stopIfTrue="1">
      <formula>AQ73=CléCongés</formula>
    </cfRule>
  </conditionalFormatting>
  <conditionalFormatting sqref="AM75">
    <cfRule type="expression" priority="1094" stopIfTrue="1">
      <formula>AM75=""</formula>
    </cfRule>
    <cfRule type="expression" dxfId="6999" priority="1095" stopIfTrue="1">
      <formula>AM75=CléPersonnalisée2</formula>
    </cfRule>
    <cfRule type="expression" dxfId="6998" priority="1096" stopIfTrue="1">
      <formula>AM75=CléPersonnalisée1</formula>
    </cfRule>
    <cfRule type="expression" dxfId="6997" priority="1097" stopIfTrue="1">
      <formula>AM75=CléMaladie</formula>
    </cfRule>
    <cfRule type="expression" dxfId="6996" priority="1098" stopIfTrue="1">
      <formula>AM75=CléPersonnelle</formula>
    </cfRule>
    <cfRule type="expression" dxfId="6995" priority="1099" stopIfTrue="1">
      <formula>AM75=CléCongés</formula>
    </cfRule>
  </conditionalFormatting>
  <conditionalFormatting sqref="AH73:AH74">
    <cfRule type="dataBar" priority="1093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{B4145531-6517-49C7-98E4-99C0CE533F98}</x14:id>
        </ext>
      </extLst>
    </cfRule>
  </conditionalFormatting>
  <conditionalFormatting sqref="AI73:AI74">
    <cfRule type="expression" priority="1087" stopIfTrue="1">
      <formula>AI73=""</formula>
    </cfRule>
    <cfRule type="expression" dxfId="6994" priority="1088" stopIfTrue="1">
      <formula>AI73=CléPersonnalisée2</formula>
    </cfRule>
    <cfRule type="expression" dxfId="6993" priority="1089" stopIfTrue="1">
      <formula>AI73=CléPersonnalisée1</formula>
    </cfRule>
    <cfRule type="expression" dxfId="6992" priority="1090" stopIfTrue="1">
      <formula>AI73=CléMaladie</formula>
    </cfRule>
    <cfRule type="expression" dxfId="6991" priority="1091" stopIfTrue="1">
      <formula>AI73=CléPersonnelle</formula>
    </cfRule>
    <cfRule type="expression" dxfId="6990" priority="1092" stopIfTrue="1">
      <formula>AI73=CléCongés</formula>
    </cfRule>
  </conditionalFormatting>
  <conditionalFormatting sqref="AR75">
    <cfRule type="expression" priority="1081" stopIfTrue="1">
      <formula>AR75=""</formula>
    </cfRule>
    <cfRule type="expression" dxfId="6989" priority="1082" stopIfTrue="1">
      <formula>AR75=CléPersonnalisée2</formula>
    </cfRule>
    <cfRule type="expression" dxfId="6988" priority="1083" stopIfTrue="1">
      <formula>AR75=CléPersonnalisée1</formula>
    </cfRule>
    <cfRule type="expression" dxfId="6987" priority="1084" stopIfTrue="1">
      <formula>AR75=CléMaladie</formula>
    </cfRule>
    <cfRule type="expression" dxfId="6986" priority="1085" stopIfTrue="1">
      <formula>AR75=CléPersonnelle</formula>
    </cfRule>
    <cfRule type="expression" dxfId="6985" priority="1086" stopIfTrue="1">
      <formula>AR75=CléCongés</formula>
    </cfRule>
  </conditionalFormatting>
  <conditionalFormatting sqref="C81:C83 H81:AG83">
    <cfRule type="expression" priority="1068" stopIfTrue="1">
      <formula>C81=""</formula>
    </cfRule>
    <cfRule type="expression" dxfId="6984" priority="1069" stopIfTrue="1">
      <formula>C81=CléPersonnalisée2</formula>
    </cfRule>
    <cfRule type="expression" dxfId="6983" priority="1070" stopIfTrue="1">
      <formula>C81=CléPersonnalisée1</formula>
    </cfRule>
    <cfRule type="expression" dxfId="6982" priority="1071" stopIfTrue="1">
      <formula>C81=CléMaladie</formula>
    </cfRule>
    <cfRule type="expression" dxfId="6981" priority="1072" stopIfTrue="1">
      <formula>C81=CléPersonnelle</formula>
    </cfRule>
    <cfRule type="expression" dxfId="6980" priority="1073" stopIfTrue="1">
      <formula>C81=CléCongés</formula>
    </cfRule>
  </conditionalFormatting>
  <conditionalFormatting sqref="AH83">
    <cfRule type="dataBar" priority="1074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{578CD1C4-B3AE-4BF1-AF9B-0496D0DA865C}</x14:id>
        </ext>
      </extLst>
    </cfRule>
  </conditionalFormatting>
  <conditionalFormatting sqref="AI83:AL83 AJ81:AL82">
    <cfRule type="expression" priority="1062" stopIfTrue="1">
      <formula>AI81=""</formula>
    </cfRule>
    <cfRule type="expression" dxfId="6979" priority="1063" stopIfTrue="1">
      <formula>AI81=CléPersonnalisée2</formula>
    </cfRule>
    <cfRule type="expression" dxfId="6978" priority="1064" stopIfTrue="1">
      <formula>AI81=CléPersonnalisée1</formula>
    </cfRule>
    <cfRule type="expression" dxfId="6977" priority="1065" stopIfTrue="1">
      <formula>AI81=CléMaladie</formula>
    </cfRule>
    <cfRule type="expression" dxfId="6976" priority="1066" stopIfTrue="1">
      <formula>AI81=CléPersonnelle</formula>
    </cfRule>
    <cfRule type="expression" dxfId="6975" priority="1067" stopIfTrue="1">
      <formula>AI81=CléCongés</formula>
    </cfRule>
  </conditionalFormatting>
  <conditionalFormatting sqref="AM81:AP82">
    <cfRule type="expression" priority="1056" stopIfTrue="1">
      <formula>AM81=""</formula>
    </cfRule>
    <cfRule type="expression" dxfId="6974" priority="1057" stopIfTrue="1">
      <formula>AM81=CléPersonnalisée2</formula>
    </cfRule>
    <cfRule type="expression" dxfId="6973" priority="1058" stopIfTrue="1">
      <formula>AM81=CléPersonnalisée1</formula>
    </cfRule>
    <cfRule type="expression" dxfId="6972" priority="1059" stopIfTrue="1">
      <formula>AM81=CléMaladie</formula>
    </cfRule>
    <cfRule type="expression" dxfId="6971" priority="1060" stopIfTrue="1">
      <formula>AM81=CléPersonnelle</formula>
    </cfRule>
    <cfRule type="expression" dxfId="6970" priority="1061" stopIfTrue="1">
      <formula>AM81=CléCongés</formula>
    </cfRule>
  </conditionalFormatting>
  <conditionalFormatting sqref="AQ81:AR82">
    <cfRule type="expression" priority="1050" stopIfTrue="1">
      <formula>AQ81=""</formula>
    </cfRule>
    <cfRule type="expression" dxfId="6969" priority="1051" stopIfTrue="1">
      <formula>AQ81=CléPersonnalisée2</formula>
    </cfRule>
    <cfRule type="expression" dxfId="6968" priority="1052" stopIfTrue="1">
      <formula>AQ81=CléPersonnalisée1</formula>
    </cfRule>
    <cfRule type="expression" dxfId="6967" priority="1053" stopIfTrue="1">
      <formula>AQ81=CléMaladie</formula>
    </cfRule>
    <cfRule type="expression" dxfId="6966" priority="1054" stopIfTrue="1">
      <formula>AQ81=CléPersonnelle</formula>
    </cfRule>
    <cfRule type="expression" dxfId="6965" priority="1055" stopIfTrue="1">
      <formula>AQ81=CléCongés</formula>
    </cfRule>
  </conditionalFormatting>
  <conditionalFormatting sqref="AM83">
    <cfRule type="expression" priority="1044" stopIfTrue="1">
      <formula>AM83=""</formula>
    </cfRule>
    <cfRule type="expression" dxfId="6964" priority="1045" stopIfTrue="1">
      <formula>AM83=CléPersonnalisée2</formula>
    </cfRule>
    <cfRule type="expression" dxfId="6963" priority="1046" stopIfTrue="1">
      <formula>AM83=CléPersonnalisée1</formula>
    </cfRule>
    <cfRule type="expression" dxfId="6962" priority="1047" stopIfTrue="1">
      <formula>AM83=CléMaladie</formula>
    </cfRule>
    <cfRule type="expression" dxfId="6961" priority="1048" stopIfTrue="1">
      <formula>AM83=CléPersonnelle</formula>
    </cfRule>
    <cfRule type="expression" dxfId="6960" priority="1049" stopIfTrue="1">
      <formula>AM83=CléCongés</formula>
    </cfRule>
  </conditionalFormatting>
  <conditionalFormatting sqref="AH81:AH82">
    <cfRule type="dataBar" priority="1043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{24999688-0365-448A-A698-648C8F868E9D}</x14:id>
        </ext>
      </extLst>
    </cfRule>
  </conditionalFormatting>
  <conditionalFormatting sqref="AO83">
    <cfRule type="expression" priority="1037" stopIfTrue="1">
      <formula>AO83=""</formula>
    </cfRule>
    <cfRule type="expression" dxfId="6959" priority="1038" stopIfTrue="1">
      <formula>AO83=CléPersonnalisée2</formula>
    </cfRule>
    <cfRule type="expression" dxfId="6958" priority="1039" stopIfTrue="1">
      <formula>AO83=CléPersonnalisée1</formula>
    </cfRule>
    <cfRule type="expression" dxfId="6957" priority="1040" stopIfTrue="1">
      <formula>AO83=CléMaladie</formula>
    </cfRule>
    <cfRule type="expression" dxfId="6956" priority="1041" stopIfTrue="1">
      <formula>AO83=CléPersonnelle</formula>
    </cfRule>
    <cfRule type="expression" dxfId="6955" priority="1042" stopIfTrue="1">
      <formula>AO83=CléCongés</formula>
    </cfRule>
  </conditionalFormatting>
  <conditionalFormatting sqref="AI81:AI82">
    <cfRule type="expression" priority="1031" stopIfTrue="1">
      <formula>AI81=""</formula>
    </cfRule>
    <cfRule type="expression" dxfId="6954" priority="1032" stopIfTrue="1">
      <formula>AI81=CléPersonnalisée2</formula>
    </cfRule>
    <cfRule type="expression" dxfId="6953" priority="1033" stopIfTrue="1">
      <formula>AI81=CléPersonnalisée1</formula>
    </cfRule>
    <cfRule type="expression" dxfId="6952" priority="1034" stopIfTrue="1">
      <formula>AI81=CléMaladie</formula>
    </cfRule>
    <cfRule type="expression" dxfId="6951" priority="1035" stopIfTrue="1">
      <formula>AI81=CléPersonnelle</formula>
    </cfRule>
    <cfRule type="expression" dxfId="6950" priority="1036" stopIfTrue="1">
      <formula>AI81=CléCongés</formula>
    </cfRule>
  </conditionalFormatting>
  <conditionalFormatting sqref="AN83">
    <cfRule type="expression" priority="1025" stopIfTrue="1">
      <formula>AN83=""</formula>
    </cfRule>
    <cfRule type="expression" dxfId="6949" priority="1026" stopIfTrue="1">
      <formula>AN83=CléPersonnalisée2</formula>
    </cfRule>
    <cfRule type="expression" dxfId="6948" priority="1027" stopIfTrue="1">
      <formula>AN83=CléPersonnalisée1</formula>
    </cfRule>
    <cfRule type="expression" dxfId="6947" priority="1028" stopIfTrue="1">
      <formula>AN83=CléMaladie</formula>
    </cfRule>
    <cfRule type="expression" dxfId="6946" priority="1029" stopIfTrue="1">
      <formula>AN83=CléPersonnelle</formula>
    </cfRule>
    <cfRule type="expression" dxfId="6945" priority="1030" stopIfTrue="1">
      <formula>AN83=CléCongés</formula>
    </cfRule>
  </conditionalFormatting>
  <conditionalFormatting sqref="AR83">
    <cfRule type="expression" priority="1019" stopIfTrue="1">
      <formula>AR83=""</formula>
    </cfRule>
    <cfRule type="expression" dxfId="6944" priority="1020" stopIfTrue="1">
      <formula>AR83=CléPersonnalisée2</formula>
    </cfRule>
    <cfRule type="expression" dxfId="6943" priority="1021" stopIfTrue="1">
      <formula>AR83=CléPersonnalisée1</formula>
    </cfRule>
    <cfRule type="expression" dxfId="6942" priority="1022" stopIfTrue="1">
      <formula>AR83=CléMaladie</formula>
    </cfRule>
    <cfRule type="expression" dxfId="6941" priority="1023" stopIfTrue="1">
      <formula>AR83=CléPersonnelle</formula>
    </cfRule>
    <cfRule type="expression" dxfId="6940" priority="1024" stopIfTrue="1">
      <formula>AR83=CléCongés</formula>
    </cfRule>
  </conditionalFormatting>
  <conditionalFormatting sqref="AQ87">
    <cfRule type="expression" priority="951" stopIfTrue="1">
      <formula>AQ87=""</formula>
    </cfRule>
    <cfRule type="expression" dxfId="6939" priority="952" stopIfTrue="1">
      <formula>AQ87=CléPersonnalisée2</formula>
    </cfRule>
    <cfRule type="expression" dxfId="6938" priority="953" stopIfTrue="1">
      <formula>AQ87=CléPersonnalisée1</formula>
    </cfRule>
    <cfRule type="expression" dxfId="6937" priority="954" stopIfTrue="1">
      <formula>AQ87=CléMaladie</formula>
    </cfRule>
    <cfRule type="expression" dxfId="6936" priority="955" stopIfTrue="1">
      <formula>AQ87=CléPersonnelle</formula>
    </cfRule>
    <cfRule type="expression" dxfId="6935" priority="956" stopIfTrue="1">
      <formula>AQ87=CléCongés</formula>
    </cfRule>
  </conditionalFormatting>
  <conditionalFormatting sqref="C85:AG87">
    <cfRule type="expression" priority="1006" stopIfTrue="1">
      <formula>C85=""</formula>
    </cfRule>
    <cfRule type="expression" dxfId="6934" priority="1007" stopIfTrue="1">
      <formula>C85=CléPersonnalisée2</formula>
    </cfRule>
    <cfRule type="expression" dxfId="6933" priority="1008" stopIfTrue="1">
      <formula>C85=CléPersonnalisée1</formula>
    </cfRule>
    <cfRule type="expression" dxfId="6932" priority="1009" stopIfTrue="1">
      <formula>C85=CléMaladie</formula>
    </cfRule>
    <cfRule type="expression" dxfId="6931" priority="1010" stopIfTrue="1">
      <formula>C85=CléPersonnelle</formula>
    </cfRule>
    <cfRule type="expression" dxfId="6930" priority="1011" stopIfTrue="1">
      <formula>C85=CléCongés</formula>
    </cfRule>
  </conditionalFormatting>
  <conditionalFormatting sqref="AH87">
    <cfRule type="dataBar" priority="1012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{A7D15CF5-9E60-4FA1-9CE9-19E192BD1D30}</x14:id>
        </ext>
      </extLst>
    </cfRule>
  </conditionalFormatting>
  <conditionalFormatting sqref="AI87:AL87 AJ85:AL86">
    <cfRule type="expression" priority="1000" stopIfTrue="1">
      <formula>AI85=""</formula>
    </cfRule>
    <cfRule type="expression" dxfId="6929" priority="1001" stopIfTrue="1">
      <formula>AI85=CléPersonnalisée2</formula>
    </cfRule>
    <cfRule type="expression" dxfId="6928" priority="1002" stopIfTrue="1">
      <formula>AI85=CléPersonnalisée1</formula>
    </cfRule>
    <cfRule type="expression" dxfId="6927" priority="1003" stopIfTrue="1">
      <formula>AI85=CléMaladie</formula>
    </cfRule>
    <cfRule type="expression" dxfId="6926" priority="1004" stopIfTrue="1">
      <formula>AI85=CléPersonnelle</formula>
    </cfRule>
    <cfRule type="expression" dxfId="6925" priority="1005" stopIfTrue="1">
      <formula>AI85=CléCongés</formula>
    </cfRule>
  </conditionalFormatting>
  <conditionalFormatting sqref="AM85:AP86">
    <cfRule type="expression" priority="994" stopIfTrue="1">
      <formula>AM85=""</formula>
    </cfRule>
    <cfRule type="expression" dxfId="6924" priority="995" stopIfTrue="1">
      <formula>AM85=CléPersonnalisée2</formula>
    </cfRule>
    <cfRule type="expression" dxfId="6923" priority="996" stopIfTrue="1">
      <formula>AM85=CléPersonnalisée1</formula>
    </cfRule>
    <cfRule type="expression" dxfId="6922" priority="997" stopIfTrue="1">
      <formula>AM85=CléMaladie</formula>
    </cfRule>
    <cfRule type="expression" dxfId="6921" priority="998" stopIfTrue="1">
      <formula>AM85=CléPersonnelle</formula>
    </cfRule>
    <cfRule type="expression" dxfId="6920" priority="999" stopIfTrue="1">
      <formula>AM85=CléCongés</formula>
    </cfRule>
  </conditionalFormatting>
  <conditionalFormatting sqref="AQ85:AR86">
    <cfRule type="expression" priority="988" stopIfTrue="1">
      <formula>AQ85=""</formula>
    </cfRule>
    <cfRule type="expression" dxfId="6919" priority="989" stopIfTrue="1">
      <formula>AQ85=CléPersonnalisée2</formula>
    </cfRule>
    <cfRule type="expression" dxfId="6918" priority="990" stopIfTrue="1">
      <formula>AQ85=CléPersonnalisée1</formula>
    </cfRule>
    <cfRule type="expression" dxfId="6917" priority="991" stopIfTrue="1">
      <formula>AQ85=CléMaladie</formula>
    </cfRule>
    <cfRule type="expression" dxfId="6916" priority="992" stopIfTrue="1">
      <formula>AQ85=CléPersonnelle</formula>
    </cfRule>
    <cfRule type="expression" dxfId="6915" priority="993" stopIfTrue="1">
      <formula>AQ85=CléCongés</formula>
    </cfRule>
  </conditionalFormatting>
  <conditionalFormatting sqref="AM87">
    <cfRule type="expression" priority="982" stopIfTrue="1">
      <formula>AM87=""</formula>
    </cfRule>
    <cfRule type="expression" dxfId="6914" priority="983" stopIfTrue="1">
      <formula>AM87=CléPersonnalisée2</formula>
    </cfRule>
    <cfRule type="expression" dxfId="6913" priority="984" stopIfTrue="1">
      <formula>AM87=CléPersonnalisée1</formula>
    </cfRule>
    <cfRule type="expression" dxfId="6912" priority="985" stopIfTrue="1">
      <formula>AM87=CléMaladie</formula>
    </cfRule>
    <cfRule type="expression" dxfId="6911" priority="986" stopIfTrue="1">
      <formula>AM87=CléPersonnelle</formula>
    </cfRule>
    <cfRule type="expression" dxfId="6910" priority="987" stopIfTrue="1">
      <formula>AM87=CléCongés</formula>
    </cfRule>
  </conditionalFormatting>
  <conditionalFormatting sqref="AH85:AH86">
    <cfRule type="dataBar" priority="981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{C5226931-D253-415E-B20D-060D374E4278}</x14:id>
        </ext>
      </extLst>
    </cfRule>
  </conditionalFormatting>
  <conditionalFormatting sqref="AO87">
    <cfRule type="expression" priority="975" stopIfTrue="1">
      <formula>AO87=""</formula>
    </cfRule>
    <cfRule type="expression" dxfId="6909" priority="976" stopIfTrue="1">
      <formula>AO87=CléPersonnalisée2</formula>
    </cfRule>
    <cfRule type="expression" dxfId="6908" priority="977" stopIfTrue="1">
      <formula>AO87=CléPersonnalisée1</formula>
    </cfRule>
    <cfRule type="expression" dxfId="6907" priority="978" stopIfTrue="1">
      <formula>AO87=CléMaladie</formula>
    </cfRule>
    <cfRule type="expression" dxfId="6906" priority="979" stopIfTrue="1">
      <formula>AO87=CléPersonnelle</formula>
    </cfRule>
    <cfRule type="expression" dxfId="6905" priority="980" stopIfTrue="1">
      <formula>AO87=CléCongés</formula>
    </cfRule>
  </conditionalFormatting>
  <conditionalFormatting sqref="AI85:AI86">
    <cfRule type="expression" priority="969" stopIfTrue="1">
      <formula>AI85=""</formula>
    </cfRule>
    <cfRule type="expression" dxfId="6904" priority="970" stopIfTrue="1">
      <formula>AI85=CléPersonnalisée2</formula>
    </cfRule>
    <cfRule type="expression" dxfId="6903" priority="971" stopIfTrue="1">
      <formula>AI85=CléPersonnalisée1</formula>
    </cfRule>
    <cfRule type="expression" dxfId="6902" priority="972" stopIfTrue="1">
      <formula>AI85=CléMaladie</formula>
    </cfRule>
    <cfRule type="expression" dxfId="6901" priority="973" stopIfTrue="1">
      <formula>AI85=CléPersonnelle</formula>
    </cfRule>
    <cfRule type="expression" dxfId="6900" priority="974" stopIfTrue="1">
      <formula>AI85=CléCongés</formula>
    </cfRule>
  </conditionalFormatting>
  <conditionalFormatting sqref="AN87">
    <cfRule type="expression" priority="963" stopIfTrue="1">
      <formula>AN87=""</formula>
    </cfRule>
    <cfRule type="expression" dxfId="6899" priority="964" stopIfTrue="1">
      <formula>AN87=CléPersonnalisée2</formula>
    </cfRule>
    <cfRule type="expression" dxfId="6898" priority="965" stopIfTrue="1">
      <formula>AN87=CléPersonnalisée1</formula>
    </cfRule>
    <cfRule type="expression" dxfId="6897" priority="966" stopIfTrue="1">
      <formula>AN87=CléMaladie</formula>
    </cfRule>
    <cfRule type="expression" dxfId="6896" priority="967" stopIfTrue="1">
      <formula>AN87=CléPersonnelle</formula>
    </cfRule>
    <cfRule type="expression" dxfId="6895" priority="968" stopIfTrue="1">
      <formula>AN87=CléCongés</formula>
    </cfRule>
  </conditionalFormatting>
  <conditionalFormatting sqref="AR87">
    <cfRule type="expression" priority="957" stopIfTrue="1">
      <formula>AR87=""</formula>
    </cfRule>
    <cfRule type="expression" dxfId="6894" priority="958" stopIfTrue="1">
      <formula>AR87=CléPersonnalisée2</formula>
    </cfRule>
    <cfRule type="expression" dxfId="6893" priority="959" stopIfTrue="1">
      <formula>AR87=CléPersonnalisée1</formula>
    </cfRule>
    <cfRule type="expression" dxfId="6892" priority="960" stopIfTrue="1">
      <formula>AR87=CléMaladie</formula>
    </cfRule>
    <cfRule type="expression" dxfId="6891" priority="961" stopIfTrue="1">
      <formula>AR87=CléPersonnelle</formula>
    </cfRule>
    <cfRule type="expression" dxfId="6890" priority="962" stopIfTrue="1">
      <formula>AR87=CléCongés</formula>
    </cfRule>
  </conditionalFormatting>
  <conditionalFormatting sqref="C89:C91 F89:AG91">
    <cfRule type="expression" priority="944" stopIfTrue="1">
      <formula>C89=""</formula>
    </cfRule>
    <cfRule type="expression" dxfId="6889" priority="945" stopIfTrue="1">
      <formula>C89=CléPersonnalisée2</formula>
    </cfRule>
    <cfRule type="expression" dxfId="6888" priority="946" stopIfTrue="1">
      <formula>C89=CléPersonnalisée1</formula>
    </cfRule>
    <cfRule type="expression" dxfId="6887" priority="947" stopIfTrue="1">
      <formula>C89=CléMaladie</formula>
    </cfRule>
    <cfRule type="expression" dxfId="6886" priority="948" stopIfTrue="1">
      <formula>C89=CléPersonnelle</formula>
    </cfRule>
    <cfRule type="expression" dxfId="6885" priority="949" stopIfTrue="1">
      <formula>C89=CléCongés</formula>
    </cfRule>
  </conditionalFormatting>
  <conditionalFormatting sqref="AH91">
    <cfRule type="dataBar" priority="950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{F7770946-C50F-432A-95B3-77DB27C36394}</x14:id>
        </ext>
      </extLst>
    </cfRule>
  </conditionalFormatting>
  <conditionalFormatting sqref="AI91:AL91 AJ89:AL90">
    <cfRule type="expression" priority="938" stopIfTrue="1">
      <formula>AI89=""</formula>
    </cfRule>
    <cfRule type="expression" dxfId="6884" priority="939" stopIfTrue="1">
      <formula>AI89=CléPersonnalisée2</formula>
    </cfRule>
    <cfRule type="expression" dxfId="6883" priority="940" stopIfTrue="1">
      <formula>AI89=CléPersonnalisée1</formula>
    </cfRule>
    <cfRule type="expression" dxfId="6882" priority="941" stopIfTrue="1">
      <formula>AI89=CléMaladie</formula>
    </cfRule>
    <cfRule type="expression" dxfId="6881" priority="942" stopIfTrue="1">
      <formula>AI89=CléPersonnelle</formula>
    </cfRule>
    <cfRule type="expression" dxfId="6880" priority="943" stopIfTrue="1">
      <formula>AI89=CléCongés</formula>
    </cfRule>
  </conditionalFormatting>
  <conditionalFormatting sqref="AM89:AP90">
    <cfRule type="expression" priority="932" stopIfTrue="1">
      <formula>AM89=""</formula>
    </cfRule>
    <cfRule type="expression" dxfId="6879" priority="933" stopIfTrue="1">
      <formula>AM89=CléPersonnalisée2</formula>
    </cfRule>
    <cfRule type="expression" dxfId="6878" priority="934" stopIfTrue="1">
      <formula>AM89=CléPersonnalisée1</formula>
    </cfRule>
    <cfRule type="expression" dxfId="6877" priority="935" stopIfTrue="1">
      <formula>AM89=CléMaladie</formula>
    </cfRule>
    <cfRule type="expression" dxfId="6876" priority="936" stopIfTrue="1">
      <formula>AM89=CléPersonnelle</formula>
    </cfRule>
    <cfRule type="expression" dxfId="6875" priority="937" stopIfTrue="1">
      <formula>AM89=CléCongés</formula>
    </cfRule>
  </conditionalFormatting>
  <conditionalFormatting sqref="AQ89:AR90">
    <cfRule type="expression" priority="926" stopIfTrue="1">
      <formula>AQ89=""</formula>
    </cfRule>
    <cfRule type="expression" dxfId="6874" priority="927" stopIfTrue="1">
      <formula>AQ89=CléPersonnalisée2</formula>
    </cfRule>
    <cfRule type="expression" dxfId="6873" priority="928" stopIfTrue="1">
      <formula>AQ89=CléPersonnalisée1</formula>
    </cfRule>
    <cfRule type="expression" dxfId="6872" priority="929" stopIfTrue="1">
      <formula>AQ89=CléMaladie</formula>
    </cfRule>
    <cfRule type="expression" dxfId="6871" priority="930" stopIfTrue="1">
      <formula>AQ89=CléPersonnelle</formula>
    </cfRule>
    <cfRule type="expression" dxfId="6870" priority="931" stopIfTrue="1">
      <formula>AQ89=CléCongés</formula>
    </cfRule>
  </conditionalFormatting>
  <conditionalFormatting sqref="AM91">
    <cfRule type="expression" priority="920" stopIfTrue="1">
      <formula>AM91=""</formula>
    </cfRule>
    <cfRule type="expression" dxfId="6869" priority="921" stopIfTrue="1">
      <formula>AM91=CléPersonnalisée2</formula>
    </cfRule>
    <cfRule type="expression" dxfId="6868" priority="922" stopIfTrue="1">
      <formula>AM91=CléPersonnalisée1</formula>
    </cfRule>
    <cfRule type="expression" dxfId="6867" priority="923" stopIfTrue="1">
      <formula>AM91=CléMaladie</formula>
    </cfRule>
    <cfRule type="expression" dxfId="6866" priority="924" stopIfTrue="1">
      <formula>AM91=CléPersonnelle</formula>
    </cfRule>
    <cfRule type="expression" dxfId="6865" priority="925" stopIfTrue="1">
      <formula>AM91=CléCongés</formula>
    </cfRule>
  </conditionalFormatting>
  <conditionalFormatting sqref="AH89:AH90">
    <cfRule type="dataBar" priority="919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{2DF45C09-64FB-4ED8-9F6C-ABBDD1A4712B}</x14:id>
        </ext>
      </extLst>
    </cfRule>
  </conditionalFormatting>
  <conditionalFormatting sqref="AO91">
    <cfRule type="expression" priority="913" stopIfTrue="1">
      <formula>AO91=""</formula>
    </cfRule>
    <cfRule type="expression" dxfId="6864" priority="914" stopIfTrue="1">
      <formula>AO91=CléPersonnalisée2</formula>
    </cfRule>
    <cfRule type="expression" dxfId="6863" priority="915" stopIfTrue="1">
      <formula>AO91=CléPersonnalisée1</formula>
    </cfRule>
    <cfRule type="expression" dxfId="6862" priority="916" stopIfTrue="1">
      <formula>AO91=CléMaladie</formula>
    </cfRule>
    <cfRule type="expression" dxfId="6861" priority="917" stopIfTrue="1">
      <formula>AO91=CléPersonnelle</formula>
    </cfRule>
    <cfRule type="expression" dxfId="6860" priority="918" stopIfTrue="1">
      <formula>AO91=CléCongés</formula>
    </cfRule>
  </conditionalFormatting>
  <conditionalFormatting sqref="AI89:AI90">
    <cfRule type="expression" priority="907" stopIfTrue="1">
      <formula>AI89=""</formula>
    </cfRule>
    <cfRule type="expression" dxfId="6859" priority="908" stopIfTrue="1">
      <formula>AI89=CléPersonnalisée2</formula>
    </cfRule>
    <cfRule type="expression" dxfId="6858" priority="909" stopIfTrue="1">
      <formula>AI89=CléPersonnalisée1</formula>
    </cfRule>
    <cfRule type="expression" dxfId="6857" priority="910" stopIfTrue="1">
      <formula>AI89=CléMaladie</formula>
    </cfRule>
    <cfRule type="expression" dxfId="6856" priority="911" stopIfTrue="1">
      <formula>AI89=CléPersonnelle</formula>
    </cfRule>
    <cfRule type="expression" dxfId="6855" priority="912" stopIfTrue="1">
      <formula>AI89=CléCongés</formula>
    </cfRule>
  </conditionalFormatting>
  <conditionalFormatting sqref="AN91">
    <cfRule type="expression" priority="901" stopIfTrue="1">
      <formula>AN91=""</formula>
    </cfRule>
    <cfRule type="expression" dxfId="6854" priority="902" stopIfTrue="1">
      <formula>AN91=CléPersonnalisée2</formula>
    </cfRule>
    <cfRule type="expression" dxfId="6853" priority="903" stopIfTrue="1">
      <formula>AN91=CléPersonnalisée1</formula>
    </cfRule>
    <cfRule type="expression" dxfId="6852" priority="904" stopIfTrue="1">
      <formula>AN91=CléMaladie</formula>
    </cfRule>
    <cfRule type="expression" dxfId="6851" priority="905" stopIfTrue="1">
      <formula>AN91=CléPersonnelle</formula>
    </cfRule>
    <cfRule type="expression" dxfId="6850" priority="906" stopIfTrue="1">
      <formula>AN91=CléCongés</formula>
    </cfRule>
  </conditionalFormatting>
  <conditionalFormatting sqref="AR91">
    <cfRule type="expression" priority="895" stopIfTrue="1">
      <formula>AR91=""</formula>
    </cfRule>
    <cfRule type="expression" dxfId="6849" priority="896" stopIfTrue="1">
      <formula>AR91=CléPersonnalisée2</formula>
    </cfRule>
    <cfRule type="expression" dxfId="6848" priority="897" stopIfTrue="1">
      <formula>AR91=CléPersonnalisée1</formula>
    </cfRule>
    <cfRule type="expression" dxfId="6847" priority="898" stopIfTrue="1">
      <formula>AR91=CléMaladie</formula>
    </cfRule>
    <cfRule type="expression" dxfId="6846" priority="899" stopIfTrue="1">
      <formula>AR91=CléPersonnelle</formula>
    </cfRule>
    <cfRule type="expression" dxfId="6845" priority="900" stopIfTrue="1">
      <formula>AR91=CléCongés</formula>
    </cfRule>
  </conditionalFormatting>
  <conditionalFormatting sqref="AO75">
    <cfRule type="expression" priority="883" stopIfTrue="1">
      <formula>AO75=""</formula>
    </cfRule>
    <cfRule type="expression" dxfId="6844" priority="884" stopIfTrue="1">
      <formula>AO75=CléPersonnalisée2</formula>
    </cfRule>
    <cfRule type="expression" dxfId="6843" priority="885" stopIfTrue="1">
      <formula>AO75=CléPersonnalisée1</formula>
    </cfRule>
    <cfRule type="expression" dxfId="6842" priority="886" stopIfTrue="1">
      <formula>AO75=CléMaladie</formula>
    </cfRule>
    <cfRule type="expression" dxfId="6841" priority="887" stopIfTrue="1">
      <formula>AO75=CléPersonnelle</formula>
    </cfRule>
    <cfRule type="expression" dxfId="6840" priority="888" stopIfTrue="1">
      <formula>AO75=CléCongés</formula>
    </cfRule>
  </conditionalFormatting>
  <conditionalFormatting sqref="AN75">
    <cfRule type="expression" priority="877" stopIfTrue="1">
      <formula>AN75=""</formula>
    </cfRule>
    <cfRule type="expression" dxfId="6839" priority="878" stopIfTrue="1">
      <formula>AN75=CléPersonnalisée2</formula>
    </cfRule>
    <cfRule type="expression" dxfId="6838" priority="879" stopIfTrue="1">
      <formula>AN75=CléPersonnalisée1</formula>
    </cfRule>
    <cfRule type="expression" dxfId="6837" priority="880" stopIfTrue="1">
      <formula>AN75=CléMaladie</formula>
    </cfRule>
    <cfRule type="expression" dxfId="6836" priority="881" stopIfTrue="1">
      <formula>AN75=CléPersonnelle</formula>
    </cfRule>
    <cfRule type="expression" dxfId="6835" priority="882" stopIfTrue="1">
      <formula>AN75=CléCongés</formula>
    </cfRule>
  </conditionalFormatting>
  <conditionalFormatting sqref="AQ124:AR124">
    <cfRule type="expression" priority="871" stopIfTrue="1">
      <formula>AQ124=""</formula>
    </cfRule>
    <cfRule type="expression" dxfId="6834" priority="872" stopIfTrue="1">
      <formula>AQ124=CléPersonnalisée2</formula>
    </cfRule>
    <cfRule type="expression" dxfId="6833" priority="873" stopIfTrue="1">
      <formula>AQ124=CléPersonnalisée1</formula>
    </cfRule>
    <cfRule type="expression" dxfId="6832" priority="874" stopIfTrue="1">
      <formula>AQ124=CléMaladie</formula>
    </cfRule>
    <cfRule type="expression" dxfId="6831" priority="875" stopIfTrue="1">
      <formula>AQ124=CléPersonnelle</formula>
    </cfRule>
    <cfRule type="expression" dxfId="6830" priority="876" stopIfTrue="1">
      <formula>AQ124=CléCongés</formula>
    </cfRule>
  </conditionalFormatting>
  <conditionalFormatting sqref="AQ123">
    <cfRule type="expression" priority="685" stopIfTrue="1">
      <formula>AQ123=""</formula>
    </cfRule>
    <cfRule type="expression" dxfId="6829" priority="686" stopIfTrue="1">
      <formula>AQ123=CléPersonnalisée2</formula>
    </cfRule>
    <cfRule type="expression" dxfId="6828" priority="687" stopIfTrue="1">
      <formula>AQ123=CléPersonnalisée1</formula>
    </cfRule>
    <cfRule type="expression" dxfId="6827" priority="688" stopIfTrue="1">
      <formula>AQ123=CléMaladie</formula>
    </cfRule>
    <cfRule type="expression" dxfId="6826" priority="689" stopIfTrue="1">
      <formula>AQ123=CléPersonnelle</formula>
    </cfRule>
    <cfRule type="expression" dxfId="6825" priority="690" stopIfTrue="1">
      <formula>AQ123=CléCongés</formula>
    </cfRule>
  </conditionalFormatting>
  <conditionalFormatting sqref="AQ104:AR104 AQ112:AR112 AQ116:AR116">
    <cfRule type="expression" priority="865" stopIfTrue="1">
      <formula>AQ104=""</formula>
    </cfRule>
    <cfRule type="expression" dxfId="6824" priority="866" stopIfTrue="1">
      <formula>AQ104=CléPersonnalisée2</formula>
    </cfRule>
    <cfRule type="expression" dxfId="6823" priority="867" stopIfTrue="1">
      <formula>AQ104=CléPersonnalisée1</formula>
    </cfRule>
    <cfRule type="expression" dxfId="6822" priority="868" stopIfTrue="1">
      <formula>AQ104=CléMaladie</formula>
    </cfRule>
    <cfRule type="expression" dxfId="6821" priority="869" stopIfTrue="1">
      <formula>AQ104=CléPersonnelle</formula>
    </cfRule>
    <cfRule type="expression" dxfId="6820" priority="870" stopIfTrue="1">
      <formula>AQ104=CléCongés</formula>
    </cfRule>
  </conditionalFormatting>
  <conditionalFormatting sqref="AQ95 AQ103 AQ99">
    <cfRule type="expression" priority="803" stopIfTrue="1">
      <formula>AQ95=""</formula>
    </cfRule>
    <cfRule type="expression" dxfId="6819" priority="804" stopIfTrue="1">
      <formula>AQ95=CléPersonnalisée2</formula>
    </cfRule>
    <cfRule type="expression" dxfId="6818" priority="805" stopIfTrue="1">
      <formula>AQ95=CléPersonnalisée1</formula>
    </cfRule>
    <cfRule type="expression" dxfId="6817" priority="806" stopIfTrue="1">
      <formula>AQ95=CléMaladie</formula>
    </cfRule>
    <cfRule type="expression" dxfId="6816" priority="807" stopIfTrue="1">
      <formula>AQ95=CléPersonnelle</formula>
    </cfRule>
    <cfRule type="expression" dxfId="6815" priority="808" stopIfTrue="1">
      <formula>AQ95=CléCongés</formula>
    </cfRule>
  </conditionalFormatting>
  <conditionalFormatting sqref="C93:AG95 C101:C103 C97:AG99 F101:AG103">
    <cfRule type="expression" priority="858" stopIfTrue="1">
      <formula>C93=""</formula>
    </cfRule>
    <cfRule type="expression" dxfId="6814" priority="859" stopIfTrue="1">
      <formula>C93=CléPersonnalisée2</formula>
    </cfRule>
    <cfRule type="expression" dxfId="6813" priority="860" stopIfTrue="1">
      <formula>C93=CléPersonnalisée1</formula>
    </cfRule>
    <cfRule type="expression" dxfId="6812" priority="861" stopIfTrue="1">
      <formula>C93=CléMaladie</formula>
    </cfRule>
    <cfRule type="expression" dxfId="6811" priority="862" stopIfTrue="1">
      <formula>C93=CléPersonnelle</formula>
    </cfRule>
    <cfRule type="expression" dxfId="6810" priority="863" stopIfTrue="1">
      <formula>C93=CléCongés</formula>
    </cfRule>
  </conditionalFormatting>
  <conditionalFormatting sqref="AH101:AH103 AH95 AH97:AH99">
    <cfRule type="dataBar" priority="864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{0631F20E-B27C-4DC7-B077-FFE15D09F357}</x14:id>
        </ext>
      </extLst>
    </cfRule>
  </conditionalFormatting>
  <conditionalFormatting sqref="AI95:AL95 AJ93:AL94 AI101:AL103 AI97:AL99">
    <cfRule type="expression" priority="852" stopIfTrue="1">
      <formula>AI93=""</formula>
    </cfRule>
    <cfRule type="expression" dxfId="6809" priority="853" stopIfTrue="1">
      <formula>AI93=CléPersonnalisée2</formula>
    </cfRule>
    <cfRule type="expression" dxfId="6808" priority="854" stopIfTrue="1">
      <formula>AI93=CléPersonnalisée1</formula>
    </cfRule>
    <cfRule type="expression" dxfId="6807" priority="855" stopIfTrue="1">
      <formula>AI93=CléMaladie</formula>
    </cfRule>
    <cfRule type="expression" dxfId="6806" priority="856" stopIfTrue="1">
      <formula>AI93=CléPersonnelle</formula>
    </cfRule>
    <cfRule type="expression" dxfId="6805" priority="857" stopIfTrue="1">
      <formula>AI93=CléCongés</formula>
    </cfRule>
  </conditionalFormatting>
  <conditionalFormatting sqref="AM93:AP94">
    <cfRule type="expression" priority="846" stopIfTrue="1">
      <formula>AM93=""</formula>
    </cfRule>
    <cfRule type="expression" dxfId="6804" priority="847" stopIfTrue="1">
      <formula>AM93=CléPersonnalisée2</formula>
    </cfRule>
    <cfRule type="expression" dxfId="6803" priority="848" stopIfTrue="1">
      <formula>AM93=CléPersonnalisée1</formula>
    </cfRule>
    <cfRule type="expression" dxfId="6802" priority="849" stopIfTrue="1">
      <formula>AM93=CléMaladie</formula>
    </cfRule>
    <cfRule type="expression" dxfId="6801" priority="850" stopIfTrue="1">
      <formula>AM93=CléPersonnelle</formula>
    </cfRule>
    <cfRule type="expression" dxfId="6800" priority="851" stopIfTrue="1">
      <formula>AM93=CléCongés</formula>
    </cfRule>
  </conditionalFormatting>
  <conditionalFormatting sqref="AQ93:AR94">
    <cfRule type="expression" priority="840" stopIfTrue="1">
      <formula>AQ93=""</formula>
    </cfRule>
    <cfRule type="expression" dxfId="6799" priority="841" stopIfTrue="1">
      <formula>AQ93=CléPersonnalisée2</formula>
    </cfRule>
    <cfRule type="expression" dxfId="6798" priority="842" stopIfTrue="1">
      <formula>AQ93=CléPersonnalisée1</formula>
    </cfRule>
    <cfRule type="expression" dxfId="6797" priority="843" stopIfTrue="1">
      <formula>AQ93=CléMaladie</formula>
    </cfRule>
    <cfRule type="expression" dxfId="6796" priority="844" stopIfTrue="1">
      <formula>AQ93=CléPersonnelle</formula>
    </cfRule>
    <cfRule type="expression" dxfId="6795" priority="845" stopIfTrue="1">
      <formula>AQ93=CléCongés</formula>
    </cfRule>
  </conditionalFormatting>
  <conditionalFormatting sqref="AM103 AM99">
    <cfRule type="expression" priority="834" stopIfTrue="1">
      <formula>AM99=""</formula>
    </cfRule>
    <cfRule type="expression" dxfId="6794" priority="835" stopIfTrue="1">
      <formula>AM99=CléPersonnalisée2</formula>
    </cfRule>
    <cfRule type="expression" dxfId="6793" priority="836" stopIfTrue="1">
      <formula>AM99=CléPersonnalisée1</formula>
    </cfRule>
    <cfRule type="expression" dxfId="6792" priority="837" stopIfTrue="1">
      <formula>AM99=CléMaladie</formula>
    </cfRule>
    <cfRule type="expression" dxfId="6791" priority="838" stopIfTrue="1">
      <formula>AM99=CléPersonnelle</formula>
    </cfRule>
    <cfRule type="expression" dxfId="6790" priority="839" stopIfTrue="1">
      <formula>AM99=CléCongés</formula>
    </cfRule>
  </conditionalFormatting>
  <conditionalFormatting sqref="AH93:AH94">
    <cfRule type="dataBar" priority="833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{2966FEBE-F6BB-4985-9F83-0CFCD2C5CE64}</x14:id>
        </ext>
      </extLst>
    </cfRule>
  </conditionalFormatting>
  <conditionalFormatting sqref="AO95 AO103 AO99">
    <cfRule type="expression" priority="827" stopIfTrue="1">
      <formula>AO95=""</formula>
    </cfRule>
    <cfRule type="expression" dxfId="6789" priority="828" stopIfTrue="1">
      <formula>AO95=CléPersonnalisée2</formula>
    </cfRule>
    <cfRule type="expression" dxfId="6788" priority="829" stopIfTrue="1">
      <formula>AO95=CléPersonnalisée1</formula>
    </cfRule>
    <cfRule type="expression" dxfId="6787" priority="830" stopIfTrue="1">
      <formula>AO95=CléMaladie</formula>
    </cfRule>
    <cfRule type="expression" dxfId="6786" priority="831" stopIfTrue="1">
      <formula>AO95=CléPersonnelle</formula>
    </cfRule>
    <cfRule type="expression" dxfId="6785" priority="832" stopIfTrue="1">
      <formula>AO95=CléCongés</formula>
    </cfRule>
  </conditionalFormatting>
  <conditionalFormatting sqref="AI93:AI94">
    <cfRule type="expression" priority="821" stopIfTrue="1">
      <formula>AI93=""</formula>
    </cfRule>
    <cfRule type="expression" dxfId="6784" priority="822" stopIfTrue="1">
      <formula>AI93=CléPersonnalisée2</formula>
    </cfRule>
    <cfRule type="expression" dxfId="6783" priority="823" stopIfTrue="1">
      <formula>AI93=CléPersonnalisée1</formula>
    </cfRule>
    <cfRule type="expression" dxfId="6782" priority="824" stopIfTrue="1">
      <formula>AI93=CléMaladie</formula>
    </cfRule>
    <cfRule type="expression" dxfId="6781" priority="825" stopIfTrue="1">
      <formula>AI93=CléPersonnelle</formula>
    </cfRule>
    <cfRule type="expression" dxfId="6780" priority="826" stopIfTrue="1">
      <formula>AI93=CléCongés</formula>
    </cfRule>
  </conditionalFormatting>
  <conditionalFormatting sqref="AN95 AN103 AN99">
    <cfRule type="expression" priority="815" stopIfTrue="1">
      <formula>AN95=""</formula>
    </cfRule>
    <cfRule type="expression" dxfId="6779" priority="816" stopIfTrue="1">
      <formula>AN95=CléPersonnalisée2</formula>
    </cfRule>
    <cfRule type="expression" dxfId="6778" priority="817" stopIfTrue="1">
      <formula>AN95=CléPersonnalisée1</formula>
    </cfRule>
    <cfRule type="expression" dxfId="6777" priority="818" stopIfTrue="1">
      <formula>AN95=CléMaladie</formula>
    </cfRule>
    <cfRule type="expression" dxfId="6776" priority="819" stopIfTrue="1">
      <formula>AN95=CléPersonnelle</formula>
    </cfRule>
    <cfRule type="expression" dxfId="6775" priority="820" stopIfTrue="1">
      <formula>AN95=CléCongés</formula>
    </cfRule>
  </conditionalFormatting>
  <conditionalFormatting sqref="AR95 AR103 AR99">
    <cfRule type="expression" priority="809" stopIfTrue="1">
      <formula>AR95=""</formula>
    </cfRule>
    <cfRule type="expression" dxfId="6774" priority="810" stopIfTrue="1">
      <formula>AR95=CléPersonnalisée2</formula>
    </cfRule>
    <cfRule type="expression" dxfId="6773" priority="811" stopIfTrue="1">
      <formula>AR95=CléPersonnalisée1</formula>
    </cfRule>
    <cfRule type="expression" dxfId="6772" priority="812" stopIfTrue="1">
      <formula>AR95=CléMaladie</formula>
    </cfRule>
    <cfRule type="expression" dxfId="6771" priority="813" stopIfTrue="1">
      <formula>AR95=CléPersonnelle</formula>
    </cfRule>
    <cfRule type="expression" dxfId="6770" priority="814" stopIfTrue="1">
      <formula>AR95=CléCongés</formula>
    </cfRule>
  </conditionalFormatting>
  <conditionalFormatting sqref="AQ111">
    <cfRule type="expression" priority="747" stopIfTrue="1">
      <formula>AQ111=""</formula>
    </cfRule>
    <cfRule type="expression" dxfId="6769" priority="748" stopIfTrue="1">
      <formula>AQ111=CléPersonnalisée2</formula>
    </cfRule>
    <cfRule type="expression" dxfId="6768" priority="749" stopIfTrue="1">
      <formula>AQ111=CléPersonnalisée1</formula>
    </cfRule>
    <cfRule type="expression" dxfId="6767" priority="750" stopIfTrue="1">
      <formula>AQ111=CléMaladie</formula>
    </cfRule>
    <cfRule type="expression" dxfId="6766" priority="751" stopIfTrue="1">
      <formula>AQ111=CléPersonnelle</formula>
    </cfRule>
    <cfRule type="expression" dxfId="6765" priority="752" stopIfTrue="1">
      <formula>AQ111=CléCongés</formula>
    </cfRule>
  </conditionalFormatting>
  <conditionalFormatting sqref="C109:AG111">
    <cfRule type="expression" priority="796" stopIfTrue="1">
      <formula>C109=""</formula>
    </cfRule>
    <cfRule type="expression" dxfId="6764" priority="797" stopIfTrue="1">
      <formula>C109=CléPersonnalisée2</formula>
    </cfRule>
    <cfRule type="expression" dxfId="6763" priority="798" stopIfTrue="1">
      <formula>C109=CléPersonnalisée1</formula>
    </cfRule>
    <cfRule type="expression" dxfId="6762" priority="799" stopIfTrue="1">
      <formula>C109=CléMaladie</formula>
    </cfRule>
    <cfRule type="expression" dxfId="6761" priority="800" stopIfTrue="1">
      <formula>C109=CléPersonnelle</formula>
    </cfRule>
    <cfRule type="expression" dxfId="6760" priority="801" stopIfTrue="1">
      <formula>C109=CléCongés</formula>
    </cfRule>
  </conditionalFormatting>
  <conditionalFormatting sqref="AH111">
    <cfRule type="dataBar" priority="802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{E4EDF9EA-EDFF-4439-9F28-EE00A4307154}</x14:id>
        </ext>
      </extLst>
    </cfRule>
  </conditionalFormatting>
  <conditionalFormatting sqref="AI111:AL111 AJ109:AL110">
    <cfRule type="expression" priority="790" stopIfTrue="1">
      <formula>AI109=""</formula>
    </cfRule>
    <cfRule type="expression" dxfId="6759" priority="791" stopIfTrue="1">
      <formula>AI109=CléPersonnalisée2</formula>
    </cfRule>
    <cfRule type="expression" dxfId="6758" priority="792" stopIfTrue="1">
      <formula>AI109=CléPersonnalisée1</formula>
    </cfRule>
    <cfRule type="expression" dxfId="6757" priority="793" stopIfTrue="1">
      <formula>AI109=CléMaladie</formula>
    </cfRule>
    <cfRule type="expression" dxfId="6756" priority="794" stopIfTrue="1">
      <formula>AI109=CléPersonnelle</formula>
    </cfRule>
    <cfRule type="expression" dxfId="6755" priority="795" stopIfTrue="1">
      <formula>AI109=CléCongés</formula>
    </cfRule>
  </conditionalFormatting>
  <conditionalFormatting sqref="AM109:AP110">
    <cfRule type="expression" priority="784" stopIfTrue="1">
      <formula>AM109=""</formula>
    </cfRule>
    <cfRule type="expression" dxfId="6754" priority="785" stopIfTrue="1">
      <formula>AM109=CléPersonnalisée2</formula>
    </cfRule>
    <cfRule type="expression" dxfId="6753" priority="786" stopIfTrue="1">
      <formula>AM109=CléPersonnalisée1</formula>
    </cfRule>
    <cfRule type="expression" dxfId="6752" priority="787" stopIfTrue="1">
      <formula>AM109=CléMaladie</formula>
    </cfRule>
    <cfRule type="expression" dxfId="6751" priority="788" stopIfTrue="1">
      <formula>AM109=CléPersonnelle</formula>
    </cfRule>
    <cfRule type="expression" dxfId="6750" priority="789" stopIfTrue="1">
      <formula>AM109=CléCongés</formula>
    </cfRule>
  </conditionalFormatting>
  <conditionalFormatting sqref="AQ109:AR110">
    <cfRule type="expression" priority="778" stopIfTrue="1">
      <formula>AQ109=""</formula>
    </cfRule>
    <cfRule type="expression" dxfId="6749" priority="779" stopIfTrue="1">
      <formula>AQ109=CléPersonnalisée2</formula>
    </cfRule>
    <cfRule type="expression" dxfId="6748" priority="780" stopIfTrue="1">
      <formula>AQ109=CléPersonnalisée1</formula>
    </cfRule>
    <cfRule type="expression" dxfId="6747" priority="781" stopIfTrue="1">
      <formula>AQ109=CléMaladie</formula>
    </cfRule>
    <cfRule type="expression" dxfId="6746" priority="782" stopIfTrue="1">
      <formula>AQ109=CléPersonnelle</formula>
    </cfRule>
    <cfRule type="expression" dxfId="6745" priority="783" stopIfTrue="1">
      <formula>AQ109=CléCongés</formula>
    </cfRule>
  </conditionalFormatting>
  <conditionalFormatting sqref="AM111">
    <cfRule type="expression" priority="772" stopIfTrue="1">
      <formula>AM111=""</formula>
    </cfRule>
    <cfRule type="expression" dxfId="6744" priority="773" stopIfTrue="1">
      <formula>AM111=CléPersonnalisée2</formula>
    </cfRule>
    <cfRule type="expression" dxfId="6743" priority="774" stopIfTrue="1">
      <formula>AM111=CléPersonnalisée1</formula>
    </cfRule>
    <cfRule type="expression" dxfId="6742" priority="775" stopIfTrue="1">
      <formula>AM111=CléMaladie</formula>
    </cfRule>
    <cfRule type="expression" dxfId="6741" priority="776" stopIfTrue="1">
      <formula>AM111=CléPersonnelle</formula>
    </cfRule>
    <cfRule type="expression" dxfId="6740" priority="777" stopIfTrue="1">
      <formula>AM111=CléCongés</formula>
    </cfRule>
  </conditionalFormatting>
  <conditionalFormatting sqref="AH109:AH110">
    <cfRule type="dataBar" priority="771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{413CE509-4CC7-4F49-B789-8BF70F9F184F}</x14:id>
        </ext>
      </extLst>
    </cfRule>
  </conditionalFormatting>
  <conditionalFormatting sqref="AI109:AI110">
    <cfRule type="expression" priority="765" stopIfTrue="1">
      <formula>AI109=""</formula>
    </cfRule>
    <cfRule type="expression" dxfId="6739" priority="766" stopIfTrue="1">
      <formula>AI109=CléPersonnalisée2</formula>
    </cfRule>
    <cfRule type="expression" dxfId="6738" priority="767" stopIfTrue="1">
      <formula>AI109=CléPersonnalisée1</formula>
    </cfRule>
    <cfRule type="expression" dxfId="6737" priority="768" stopIfTrue="1">
      <formula>AI109=CléMaladie</formula>
    </cfRule>
    <cfRule type="expression" dxfId="6736" priority="769" stopIfTrue="1">
      <formula>AI109=CléPersonnelle</formula>
    </cfRule>
    <cfRule type="expression" dxfId="6735" priority="770" stopIfTrue="1">
      <formula>AI109=CléCongés</formula>
    </cfRule>
  </conditionalFormatting>
  <conditionalFormatting sqref="AN111">
    <cfRule type="expression" priority="759" stopIfTrue="1">
      <formula>AN111=""</formula>
    </cfRule>
    <cfRule type="expression" dxfId="6734" priority="760" stopIfTrue="1">
      <formula>AN111=CléPersonnalisée2</formula>
    </cfRule>
    <cfRule type="expression" dxfId="6733" priority="761" stopIfTrue="1">
      <formula>AN111=CléPersonnalisée1</formula>
    </cfRule>
    <cfRule type="expression" dxfId="6732" priority="762" stopIfTrue="1">
      <formula>AN111=CléMaladie</formula>
    </cfRule>
    <cfRule type="expression" dxfId="6731" priority="763" stopIfTrue="1">
      <formula>AN111=CléPersonnelle</formula>
    </cfRule>
    <cfRule type="expression" dxfId="6730" priority="764" stopIfTrue="1">
      <formula>AN111=CléCongés</formula>
    </cfRule>
  </conditionalFormatting>
  <conditionalFormatting sqref="AR111">
    <cfRule type="expression" priority="753" stopIfTrue="1">
      <formula>AR111=""</formula>
    </cfRule>
    <cfRule type="expression" dxfId="6729" priority="754" stopIfTrue="1">
      <formula>AR111=CléPersonnalisée2</formula>
    </cfRule>
    <cfRule type="expression" dxfId="6728" priority="755" stopIfTrue="1">
      <formula>AR111=CléPersonnalisée1</formula>
    </cfRule>
    <cfRule type="expression" dxfId="6727" priority="756" stopIfTrue="1">
      <formula>AR111=CléMaladie</formula>
    </cfRule>
    <cfRule type="expression" dxfId="6726" priority="757" stopIfTrue="1">
      <formula>AR111=CléPersonnelle</formula>
    </cfRule>
    <cfRule type="expression" dxfId="6725" priority="758" stopIfTrue="1">
      <formula>AR111=CléCongés</formula>
    </cfRule>
  </conditionalFormatting>
  <conditionalFormatting sqref="C121:AG123">
    <cfRule type="expression" priority="740" stopIfTrue="1">
      <formula>C121=""</formula>
    </cfRule>
    <cfRule type="expression" dxfId="6724" priority="741" stopIfTrue="1">
      <formula>C121=CléPersonnalisée2</formula>
    </cfRule>
    <cfRule type="expression" dxfId="6723" priority="742" stopIfTrue="1">
      <formula>C121=CléPersonnalisée1</formula>
    </cfRule>
    <cfRule type="expression" dxfId="6722" priority="743" stopIfTrue="1">
      <formula>C121=CléMaladie</formula>
    </cfRule>
    <cfRule type="expression" dxfId="6721" priority="744" stopIfTrue="1">
      <formula>C121=CléPersonnelle</formula>
    </cfRule>
    <cfRule type="expression" dxfId="6720" priority="745" stopIfTrue="1">
      <formula>C121=CléCongés</formula>
    </cfRule>
  </conditionalFormatting>
  <conditionalFormatting sqref="AH123">
    <cfRule type="dataBar" priority="746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{00191D18-6800-407B-9C81-9A9AA5F59C18}</x14:id>
        </ext>
      </extLst>
    </cfRule>
  </conditionalFormatting>
  <conditionalFormatting sqref="AI123:AL123 AJ121:AL122">
    <cfRule type="expression" priority="734" stopIfTrue="1">
      <formula>AI121=""</formula>
    </cfRule>
    <cfRule type="expression" dxfId="6719" priority="735" stopIfTrue="1">
      <formula>AI121=CléPersonnalisée2</formula>
    </cfRule>
    <cfRule type="expression" dxfId="6718" priority="736" stopIfTrue="1">
      <formula>AI121=CléPersonnalisée1</formula>
    </cfRule>
    <cfRule type="expression" dxfId="6717" priority="737" stopIfTrue="1">
      <formula>AI121=CléMaladie</formula>
    </cfRule>
    <cfRule type="expression" dxfId="6716" priority="738" stopIfTrue="1">
      <formula>AI121=CléPersonnelle</formula>
    </cfRule>
    <cfRule type="expression" dxfId="6715" priority="739" stopIfTrue="1">
      <formula>AI121=CléCongés</formula>
    </cfRule>
  </conditionalFormatting>
  <conditionalFormatting sqref="AM121:AP122">
    <cfRule type="expression" priority="728" stopIfTrue="1">
      <formula>AM121=""</formula>
    </cfRule>
    <cfRule type="expression" dxfId="6714" priority="729" stopIfTrue="1">
      <formula>AM121=CléPersonnalisée2</formula>
    </cfRule>
    <cfRule type="expression" dxfId="6713" priority="730" stopIfTrue="1">
      <formula>AM121=CléPersonnalisée1</formula>
    </cfRule>
    <cfRule type="expression" dxfId="6712" priority="731" stopIfTrue="1">
      <formula>AM121=CléMaladie</formula>
    </cfRule>
    <cfRule type="expression" dxfId="6711" priority="732" stopIfTrue="1">
      <formula>AM121=CléPersonnelle</formula>
    </cfRule>
    <cfRule type="expression" dxfId="6710" priority="733" stopIfTrue="1">
      <formula>AM121=CléCongés</formula>
    </cfRule>
  </conditionalFormatting>
  <conditionalFormatting sqref="AQ121:AR122">
    <cfRule type="expression" priority="722" stopIfTrue="1">
      <formula>AQ121=""</formula>
    </cfRule>
    <cfRule type="expression" dxfId="6709" priority="723" stopIfTrue="1">
      <formula>AQ121=CléPersonnalisée2</formula>
    </cfRule>
    <cfRule type="expression" dxfId="6708" priority="724" stopIfTrue="1">
      <formula>AQ121=CléPersonnalisée1</formula>
    </cfRule>
    <cfRule type="expression" dxfId="6707" priority="725" stopIfTrue="1">
      <formula>AQ121=CléMaladie</formula>
    </cfRule>
    <cfRule type="expression" dxfId="6706" priority="726" stopIfTrue="1">
      <formula>AQ121=CléPersonnelle</formula>
    </cfRule>
    <cfRule type="expression" dxfId="6705" priority="727" stopIfTrue="1">
      <formula>AQ121=CléCongés</formula>
    </cfRule>
  </conditionalFormatting>
  <conditionalFormatting sqref="AM123">
    <cfRule type="expression" priority="716" stopIfTrue="1">
      <formula>AM123=""</formula>
    </cfRule>
    <cfRule type="expression" dxfId="6704" priority="717" stopIfTrue="1">
      <formula>AM123=CléPersonnalisée2</formula>
    </cfRule>
    <cfRule type="expression" dxfId="6703" priority="718" stopIfTrue="1">
      <formula>AM123=CléPersonnalisée1</formula>
    </cfRule>
    <cfRule type="expression" dxfId="6702" priority="719" stopIfTrue="1">
      <formula>AM123=CléMaladie</formula>
    </cfRule>
    <cfRule type="expression" dxfId="6701" priority="720" stopIfTrue="1">
      <formula>AM123=CléPersonnelle</formula>
    </cfRule>
    <cfRule type="expression" dxfId="6700" priority="721" stopIfTrue="1">
      <formula>AM123=CléCongés</formula>
    </cfRule>
  </conditionalFormatting>
  <conditionalFormatting sqref="AH121:AH122">
    <cfRule type="dataBar" priority="715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{797D2712-3892-4E03-9D1F-98AB1F5C15C7}</x14:id>
        </ext>
      </extLst>
    </cfRule>
  </conditionalFormatting>
  <conditionalFormatting sqref="AO123">
    <cfRule type="expression" priority="709" stopIfTrue="1">
      <formula>AO123=""</formula>
    </cfRule>
    <cfRule type="expression" dxfId="6699" priority="710" stopIfTrue="1">
      <formula>AO123=CléPersonnalisée2</formula>
    </cfRule>
    <cfRule type="expression" dxfId="6698" priority="711" stopIfTrue="1">
      <formula>AO123=CléPersonnalisée1</formula>
    </cfRule>
    <cfRule type="expression" dxfId="6697" priority="712" stopIfTrue="1">
      <formula>AO123=CléMaladie</formula>
    </cfRule>
    <cfRule type="expression" dxfId="6696" priority="713" stopIfTrue="1">
      <formula>AO123=CléPersonnelle</formula>
    </cfRule>
    <cfRule type="expression" dxfId="6695" priority="714" stopIfTrue="1">
      <formula>AO123=CléCongés</formula>
    </cfRule>
  </conditionalFormatting>
  <conditionalFormatting sqref="AI121:AI122">
    <cfRule type="expression" priority="703" stopIfTrue="1">
      <formula>AI121=""</formula>
    </cfRule>
    <cfRule type="expression" dxfId="6694" priority="704" stopIfTrue="1">
      <formula>AI121=CléPersonnalisée2</formula>
    </cfRule>
    <cfRule type="expression" dxfId="6693" priority="705" stopIfTrue="1">
      <formula>AI121=CléPersonnalisée1</formula>
    </cfRule>
    <cfRule type="expression" dxfId="6692" priority="706" stopIfTrue="1">
      <formula>AI121=CléMaladie</formula>
    </cfRule>
    <cfRule type="expression" dxfId="6691" priority="707" stopIfTrue="1">
      <formula>AI121=CléPersonnelle</formula>
    </cfRule>
    <cfRule type="expression" dxfId="6690" priority="708" stopIfTrue="1">
      <formula>AI121=CléCongés</formula>
    </cfRule>
  </conditionalFormatting>
  <conditionalFormatting sqref="AN123">
    <cfRule type="expression" priority="697" stopIfTrue="1">
      <formula>AN123=""</formula>
    </cfRule>
    <cfRule type="expression" dxfId="6689" priority="698" stopIfTrue="1">
      <formula>AN123=CléPersonnalisée2</formula>
    </cfRule>
    <cfRule type="expression" dxfId="6688" priority="699" stopIfTrue="1">
      <formula>AN123=CléPersonnalisée1</formula>
    </cfRule>
    <cfRule type="expression" dxfId="6687" priority="700" stopIfTrue="1">
      <formula>AN123=CléMaladie</formula>
    </cfRule>
    <cfRule type="expression" dxfId="6686" priority="701" stopIfTrue="1">
      <formula>AN123=CléPersonnelle</formula>
    </cfRule>
    <cfRule type="expression" dxfId="6685" priority="702" stopIfTrue="1">
      <formula>AN123=CléCongés</formula>
    </cfRule>
  </conditionalFormatting>
  <conditionalFormatting sqref="AR123">
    <cfRule type="expression" priority="691" stopIfTrue="1">
      <formula>AR123=""</formula>
    </cfRule>
    <cfRule type="expression" dxfId="6684" priority="692" stopIfTrue="1">
      <formula>AR123=CléPersonnalisée2</formula>
    </cfRule>
    <cfRule type="expression" dxfId="6683" priority="693" stopIfTrue="1">
      <formula>AR123=CléPersonnalisée1</formula>
    </cfRule>
    <cfRule type="expression" dxfId="6682" priority="694" stopIfTrue="1">
      <formula>AR123=CléMaladie</formula>
    </cfRule>
    <cfRule type="expression" dxfId="6681" priority="695" stopIfTrue="1">
      <formula>AR123=CléPersonnelle</formula>
    </cfRule>
    <cfRule type="expression" dxfId="6680" priority="696" stopIfTrue="1">
      <formula>AR123=CléCongés</formula>
    </cfRule>
  </conditionalFormatting>
  <conditionalFormatting sqref="AQ115">
    <cfRule type="expression" priority="629" stopIfTrue="1">
      <formula>AQ115=""</formula>
    </cfRule>
    <cfRule type="expression" dxfId="6679" priority="630" stopIfTrue="1">
      <formula>AQ115=CléPersonnalisée2</formula>
    </cfRule>
    <cfRule type="expression" dxfId="6678" priority="631" stopIfTrue="1">
      <formula>AQ115=CléPersonnalisée1</formula>
    </cfRule>
    <cfRule type="expression" dxfId="6677" priority="632" stopIfTrue="1">
      <formula>AQ115=CléMaladie</formula>
    </cfRule>
    <cfRule type="expression" dxfId="6676" priority="633" stopIfTrue="1">
      <formula>AQ115=CléPersonnelle</formula>
    </cfRule>
    <cfRule type="expression" dxfId="6675" priority="634" stopIfTrue="1">
      <formula>AQ115=CléCongés</formula>
    </cfRule>
  </conditionalFormatting>
  <conditionalFormatting sqref="C113:AG115">
    <cfRule type="expression" priority="678" stopIfTrue="1">
      <formula>C113=""</formula>
    </cfRule>
    <cfRule type="expression" dxfId="6674" priority="679" stopIfTrue="1">
      <formula>C113=CléPersonnalisée2</formula>
    </cfRule>
    <cfRule type="expression" dxfId="6673" priority="680" stopIfTrue="1">
      <formula>C113=CléPersonnalisée1</formula>
    </cfRule>
    <cfRule type="expression" dxfId="6672" priority="681" stopIfTrue="1">
      <formula>C113=CléMaladie</formula>
    </cfRule>
    <cfRule type="expression" dxfId="6671" priority="682" stopIfTrue="1">
      <formula>C113=CléPersonnelle</formula>
    </cfRule>
    <cfRule type="expression" dxfId="6670" priority="683" stopIfTrue="1">
      <formula>C113=CléCongés</formula>
    </cfRule>
  </conditionalFormatting>
  <conditionalFormatting sqref="AH115">
    <cfRule type="dataBar" priority="684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{452D9EF0-47A2-415B-92A8-DF29FBDF55FE}</x14:id>
        </ext>
      </extLst>
    </cfRule>
  </conditionalFormatting>
  <conditionalFormatting sqref="AI115:AL115 AJ113:AL114">
    <cfRule type="expression" priority="672" stopIfTrue="1">
      <formula>AI113=""</formula>
    </cfRule>
    <cfRule type="expression" dxfId="6669" priority="673" stopIfTrue="1">
      <formula>AI113=CléPersonnalisée2</formula>
    </cfRule>
    <cfRule type="expression" dxfId="6668" priority="674" stopIfTrue="1">
      <formula>AI113=CléPersonnalisée1</formula>
    </cfRule>
    <cfRule type="expression" dxfId="6667" priority="675" stopIfTrue="1">
      <formula>AI113=CléMaladie</formula>
    </cfRule>
    <cfRule type="expression" dxfId="6666" priority="676" stopIfTrue="1">
      <formula>AI113=CléPersonnelle</formula>
    </cfRule>
    <cfRule type="expression" dxfId="6665" priority="677" stopIfTrue="1">
      <formula>AI113=CléCongés</formula>
    </cfRule>
  </conditionalFormatting>
  <conditionalFormatting sqref="AM113:AP114">
    <cfRule type="expression" priority="666" stopIfTrue="1">
      <formula>AM113=""</formula>
    </cfRule>
    <cfRule type="expression" dxfId="6664" priority="667" stopIfTrue="1">
      <formula>AM113=CléPersonnalisée2</formula>
    </cfRule>
    <cfRule type="expression" dxfId="6663" priority="668" stopIfTrue="1">
      <formula>AM113=CléPersonnalisée1</formula>
    </cfRule>
    <cfRule type="expression" dxfId="6662" priority="669" stopIfTrue="1">
      <formula>AM113=CléMaladie</formula>
    </cfRule>
    <cfRule type="expression" dxfId="6661" priority="670" stopIfTrue="1">
      <formula>AM113=CléPersonnelle</formula>
    </cfRule>
    <cfRule type="expression" dxfId="6660" priority="671" stopIfTrue="1">
      <formula>AM113=CléCongés</formula>
    </cfRule>
  </conditionalFormatting>
  <conditionalFormatting sqref="AQ113:AR114">
    <cfRule type="expression" priority="660" stopIfTrue="1">
      <formula>AQ113=""</formula>
    </cfRule>
    <cfRule type="expression" dxfId="6659" priority="661" stopIfTrue="1">
      <formula>AQ113=CléPersonnalisée2</formula>
    </cfRule>
    <cfRule type="expression" dxfId="6658" priority="662" stopIfTrue="1">
      <formula>AQ113=CléPersonnalisée1</formula>
    </cfRule>
    <cfRule type="expression" dxfId="6657" priority="663" stopIfTrue="1">
      <formula>AQ113=CléMaladie</formula>
    </cfRule>
    <cfRule type="expression" dxfId="6656" priority="664" stopIfTrue="1">
      <formula>AQ113=CléPersonnelle</formula>
    </cfRule>
    <cfRule type="expression" dxfId="6655" priority="665" stopIfTrue="1">
      <formula>AQ113=CléCongés</formula>
    </cfRule>
  </conditionalFormatting>
  <conditionalFormatting sqref="AM115">
    <cfRule type="expression" priority="654" stopIfTrue="1">
      <formula>AM115=""</formula>
    </cfRule>
    <cfRule type="expression" dxfId="6654" priority="655" stopIfTrue="1">
      <formula>AM115=CléPersonnalisée2</formula>
    </cfRule>
    <cfRule type="expression" dxfId="6653" priority="656" stopIfTrue="1">
      <formula>AM115=CléPersonnalisée1</formula>
    </cfRule>
    <cfRule type="expression" dxfId="6652" priority="657" stopIfTrue="1">
      <formula>AM115=CléMaladie</formula>
    </cfRule>
    <cfRule type="expression" dxfId="6651" priority="658" stopIfTrue="1">
      <formula>AM115=CléPersonnelle</formula>
    </cfRule>
    <cfRule type="expression" dxfId="6650" priority="659" stopIfTrue="1">
      <formula>AM115=CléCongés</formula>
    </cfRule>
  </conditionalFormatting>
  <conditionalFormatting sqref="AH113:AH114">
    <cfRule type="dataBar" priority="653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{E9C17846-4344-4893-B383-6BEB7CC4BF5F}</x14:id>
        </ext>
      </extLst>
    </cfRule>
  </conditionalFormatting>
  <conditionalFormatting sqref="AI113:AI114">
    <cfRule type="expression" priority="647" stopIfTrue="1">
      <formula>AI113=""</formula>
    </cfRule>
    <cfRule type="expression" dxfId="6649" priority="648" stopIfTrue="1">
      <formula>AI113=CléPersonnalisée2</formula>
    </cfRule>
    <cfRule type="expression" dxfId="6648" priority="649" stopIfTrue="1">
      <formula>AI113=CléPersonnalisée1</formula>
    </cfRule>
    <cfRule type="expression" dxfId="6647" priority="650" stopIfTrue="1">
      <formula>AI113=CléMaladie</formula>
    </cfRule>
    <cfRule type="expression" dxfId="6646" priority="651" stopIfTrue="1">
      <formula>AI113=CléPersonnelle</formula>
    </cfRule>
    <cfRule type="expression" dxfId="6645" priority="652" stopIfTrue="1">
      <formula>AI113=CléCongés</formula>
    </cfRule>
  </conditionalFormatting>
  <conditionalFormatting sqref="AN115">
    <cfRule type="expression" priority="641" stopIfTrue="1">
      <formula>AN115=""</formula>
    </cfRule>
    <cfRule type="expression" dxfId="6644" priority="642" stopIfTrue="1">
      <formula>AN115=CléPersonnalisée2</formula>
    </cfRule>
    <cfRule type="expression" dxfId="6643" priority="643" stopIfTrue="1">
      <formula>AN115=CléPersonnalisée1</formula>
    </cfRule>
    <cfRule type="expression" dxfId="6642" priority="644" stopIfTrue="1">
      <formula>AN115=CléMaladie</formula>
    </cfRule>
    <cfRule type="expression" dxfId="6641" priority="645" stopIfTrue="1">
      <formula>AN115=CléPersonnelle</formula>
    </cfRule>
    <cfRule type="expression" dxfId="6640" priority="646" stopIfTrue="1">
      <formula>AN115=CléCongés</formula>
    </cfRule>
  </conditionalFormatting>
  <conditionalFormatting sqref="AR115">
    <cfRule type="expression" priority="635" stopIfTrue="1">
      <formula>AR115=""</formula>
    </cfRule>
    <cfRule type="expression" dxfId="6639" priority="636" stopIfTrue="1">
      <formula>AR115=CléPersonnalisée2</formula>
    </cfRule>
    <cfRule type="expression" dxfId="6638" priority="637" stopIfTrue="1">
      <formula>AR115=CléPersonnalisée1</formula>
    </cfRule>
    <cfRule type="expression" dxfId="6637" priority="638" stopIfTrue="1">
      <formula>AR115=CléMaladie</formula>
    </cfRule>
    <cfRule type="expression" dxfId="6636" priority="639" stopIfTrue="1">
      <formula>AR115=CléPersonnelle</formula>
    </cfRule>
    <cfRule type="expression" dxfId="6635" priority="640" stopIfTrue="1">
      <formula>AR115=CléCongés</formula>
    </cfRule>
  </conditionalFormatting>
  <conditionalFormatting sqref="AQ15">
    <cfRule type="expression" priority="567" stopIfTrue="1">
      <formula>AQ15=""</formula>
    </cfRule>
    <cfRule type="expression" dxfId="6634" priority="568" stopIfTrue="1">
      <formula>AQ15=CléPersonnalisée2</formula>
    </cfRule>
    <cfRule type="expression" dxfId="6633" priority="569" stopIfTrue="1">
      <formula>AQ15=CléPersonnalisée1</formula>
    </cfRule>
    <cfRule type="expression" dxfId="6632" priority="570" stopIfTrue="1">
      <formula>AQ15=CléMaladie</formula>
    </cfRule>
    <cfRule type="expression" dxfId="6631" priority="571" stopIfTrue="1">
      <formula>AQ15=CléPersonnelle</formula>
    </cfRule>
    <cfRule type="expression" dxfId="6630" priority="572" stopIfTrue="1">
      <formula>AQ15=CléCongés</formula>
    </cfRule>
  </conditionalFormatting>
  <conditionalFormatting sqref="C13:AG15">
    <cfRule type="expression" priority="622" stopIfTrue="1">
      <formula>C13=""</formula>
    </cfRule>
    <cfRule type="expression" dxfId="6629" priority="623" stopIfTrue="1">
      <formula>C13=CléPersonnalisée2</formula>
    </cfRule>
    <cfRule type="expression" dxfId="6628" priority="624" stopIfTrue="1">
      <formula>C13=CléPersonnalisée1</formula>
    </cfRule>
    <cfRule type="expression" dxfId="6627" priority="625" stopIfTrue="1">
      <formula>C13=CléMaladie</formula>
    </cfRule>
    <cfRule type="expression" dxfId="6626" priority="626" stopIfTrue="1">
      <formula>C13=CléPersonnelle</formula>
    </cfRule>
    <cfRule type="expression" dxfId="6625" priority="627" stopIfTrue="1">
      <formula>C13=CléCongés</formula>
    </cfRule>
  </conditionalFormatting>
  <conditionalFormatting sqref="AH15">
    <cfRule type="dataBar" priority="628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{2A105CDD-BF19-4709-AF44-C6B27F574058}</x14:id>
        </ext>
      </extLst>
    </cfRule>
  </conditionalFormatting>
  <conditionalFormatting sqref="AI15:AL15 AJ13:AL14">
    <cfRule type="expression" priority="616" stopIfTrue="1">
      <formula>AI13=""</formula>
    </cfRule>
    <cfRule type="expression" dxfId="6624" priority="617" stopIfTrue="1">
      <formula>AI13=CléPersonnalisée2</formula>
    </cfRule>
    <cfRule type="expression" dxfId="6623" priority="618" stopIfTrue="1">
      <formula>AI13=CléPersonnalisée1</formula>
    </cfRule>
    <cfRule type="expression" dxfId="6622" priority="619" stopIfTrue="1">
      <formula>AI13=CléMaladie</formula>
    </cfRule>
    <cfRule type="expression" dxfId="6621" priority="620" stopIfTrue="1">
      <formula>AI13=CléPersonnelle</formula>
    </cfRule>
    <cfRule type="expression" dxfId="6620" priority="621" stopIfTrue="1">
      <formula>AI13=CléCongés</formula>
    </cfRule>
  </conditionalFormatting>
  <conditionalFormatting sqref="AM13:AP14">
    <cfRule type="expression" priority="610" stopIfTrue="1">
      <formula>AM13=""</formula>
    </cfRule>
    <cfRule type="expression" dxfId="6619" priority="611" stopIfTrue="1">
      <formula>AM13=CléPersonnalisée2</formula>
    </cfRule>
    <cfRule type="expression" dxfId="6618" priority="612" stopIfTrue="1">
      <formula>AM13=CléPersonnalisée1</formula>
    </cfRule>
    <cfRule type="expression" dxfId="6617" priority="613" stopIfTrue="1">
      <formula>AM13=CléMaladie</formula>
    </cfRule>
    <cfRule type="expression" dxfId="6616" priority="614" stopIfTrue="1">
      <formula>AM13=CléPersonnelle</formula>
    </cfRule>
    <cfRule type="expression" dxfId="6615" priority="615" stopIfTrue="1">
      <formula>AM13=CléCongés</formula>
    </cfRule>
  </conditionalFormatting>
  <conditionalFormatting sqref="AQ13:AR14">
    <cfRule type="expression" priority="604" stopIfTrue="1">
      <formula>AQ13=""</formula>
    </cfRule>
    <cfRule type="expression" dxfId="6614" priority="605" stopIfTrue="1">
      <formula>AQ13=CléPersonnalisée2</formula>
    </cfRule>
    <cfRule type="expression" dxfId="6613" priority="606" stopIfTrue="1">
      <formula>AQ13=CléPersonnalisée1</formula>
    </cfRule>
    <cfRule type="expression" dxfId="6612" priority="607" stopIfTrue="1">
      <formula>AQ13=CléMaladie</formula>
    </cfRule>
    <cfRule type="expression" dxfId="6611" priority="608" stopIfTrue="1">
      <formula>AQ13=CléPersonnelle</formula>
    </cfRule>
    <cfRule type="expression" dxfId="6610" priority="609" stopIfTrue="1">
      <formula>AQ13=CléCongés</formula>
    </cfRule>
  </conditionalFormatting>
  <conditionalFormatting sqref="AM15">
    <cfRule type="expression" priority="598" stopIfTrue="1">
      <formula>AM15=""</formula>
    </cfRule>
    <cfRule type="expression" dxfId="6609" priority="599" stopIfTrue="1">
      <formula>AM15=CléPersonnalisée2</formula>
    </cfRule>
    <cfRule type="expression" dxfId="6608" priority="600" stopIfTrue="1">
      <formula>AM15=CléPersonnalisée1</formula>
    </cfRule>
    <cfRule type="expression" dxfId="6607" priority="601" stopIfTrue="1">
      <formula>AM15=CléMaladie</formula>
    </cfRule>
    <cfRule type="expression" dxfId="6606" priority="602" stopIfTrue="1">
      <formula>AM15=CléPersonnelle</formula>
    </cfRule>
    <cfRule type="expression" dxfId="6605" priority="603" stopIfTrue="1">
      <formula>AM15=CléCongés</formula>
    </cfRule>
  </conditionalFormatting>
  <conditionalFormatting sqref="AH13:AH14">
    <cfRule type="dataBar" priority="597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{5A68C022-BD67-4715-AB83-DB690B3571D0}</x14:id>
        </ext>
      </extLst>
    </cfRule>
  </conditionalFormatting>
  <conditionalFormatting sqref="AO15">
    <cfRule type="expression" priority="591" stopIfTrue="1">
      <formula>AO15=""</formula>
    </cfRule>
    <cfRule type="expression" dxfId="6604" priority="592" stopIfTrue="1">
      <formula>AO15=CléPersonnalisée2</formula>
    </cfRule>
    <cfRule type="expression" dxfId="6603" priority="593" stopIfTrue="1">
      <formula>AO15=CléPersonnalisée1</formula>
    </cfRule>
    <cfRule type="expression" dxfId="6602" priority="594" stopIfTrue="1">
      <formula>AO15=CléMaladie</formula>
    </cfRule>
    <cfRule type="expression" dxfId="6601" priority="595" stopIfTrue="1">
      <formula>AO15=CléPersonnelle</formula>
    </cfRule>
    <cfRule type="expression" dxfId="6600" priority="596" stopIfTrue="1">
      <formula>AO15=CléCongés</formula>
    </cfRule>
  </conditionalFormatting>
  <conditionalFormatting sqref="AI13:AI14">
    <cfRule type="expression" priority="585" stopIfTrue="1">
      <formula>AI13=""</formula>
    </cfRule>
    <cfRule type="expression" dxfId="6599" priority="586" stopIfTrue="1">
      <formula>AI13=CléPersonnalisée2</formula>
    </cfRule>
    <cfRule type="expression" dxfId="6598" priority="587" stopIfTrue="1">
      <formula>AI13=CléPersonnalisée1</formula>
    </cfRule>
    <cfRule type="expression" dxfId="6597" priority="588" stopIfTrue="1">
      <formula>AI13=CléMaladie</formula>
    </cfRule>
    <cfRule type="expression" dxfId="6596" priority="589" stopIfTrue="1">
      <formula>AI13=CléPersonnelle</formula>
    </cfRule>
    <cfRule type="expression" dxfId="6595" priority="590" stopIfTrue="1">
      <formula>AI13=CléCongés</formula>
    </cfRule>
  </conditionalFormatting>
  <conditionalFormatting sqref="AN15">
    <cfRule type="expression" priority="579" stopIfTrue="1">
      <formula>AN15=""</formula>
    </cfRule>
    <cfRule type="expression" dxfId="6594" priority="580" stopIfTrue="1">
      <formula>AN15=CléPersonnalisée2</formula>
    </cfRule>
    <cfRule type="expression" dxfId="6593" priority="581" stopIfTrue="1">
      <formula>AN15=CléPersonnalisée1</formula>
    </cfRule>
    <cfRule type="expression" dxfId="6592" priority="582" stopIfTrue="1">
      <formula>AN15=CléMaladie</formula>
    </cfRule>
    <cfRule type="expression" dxfId="6591" priority="583" stopIfTrue="1">
      <formula>AN15=CléPersonnelle</formula>
    </cfRule>
    <cfRule type="expression" dxfId="6590" priority="584" stopIfTrue="1">
      <formula>AN15=CléCongés</formula>
    </cfRule>
  </conditionalFormatting>
  <conditionalFormatting sqref="AR15">
    <cfRule type="expression" priority="573" stopIfTrue="1">
      <formula>AR15=""</formula>
    </cfRule>
    <cfRule type="expression" dxfId="6589" priority="574" stopIfTrue="1">
      <formula>AR15=CléPersonnalisée2</formula>
    </cfRule>
    <cfRule type="expression" dxfId="6588" priority="575" stopIfTrue="1">
      <formula>AR15=CléPersonnalisée1</formula>
    </cfRule>
    <cfRule type="expression" dxfId="6587" priority="576" stopIfTrue="1">
      <formula>AR15=CléMaladie</formula>
    </cfRule>
    <cfRule type="expression" dxfId="6586" priority="577" stopIfTrue="1">
      <formula>AR15=CléPersonnelle</formula>
    </cfRule>
    <cfRule type="expression" dxfId="6585" priority="578" stopIfTrue="1">
      <formula>AR15=CléCongés</formula>
    </cfRule>
  </conditionalFormatting>
  <conditionalFormatting sqref="AO111">
    <cfRule type="expression" priority="561" stopIfTrue="1">
      <formula>AO111=""</formula>
    </cfRule>
    <cfRule type="expression" dxfId="6584" priority="562" stopIfTrue="1">
      <formula>AO111=CléPersonnalisée2</formula>
    </cfRule>
    <cfRule type="expression" dxfId="6583" priority="563" stopIfTrue="1">
      <formula>AO111=CléPersonnalisée1</formula>
    </cfRule>
    <cfRule type="expression" dxfId="6582" priority="564" stopIfTrue="1">
      <formula>AO111=CléMaladie</formula>
    </cfRule>
    <cfRule type="expression" dxfId="6581" priority="565" stopIfTrue="1">
      <formula>AO111=CléPersonnelle</formula>
    </cfRule>
    <cfRule type="expression" dxfId="6580" priority="566" stopIfTrue="1">
      <formula>AO111=CléCongés</formula>
    </cfRule>
  </conditionalFormatting>
  <conditionalFormatting sqref="AQ100:AR100">
    <cfRule type="expression" priority="555" stopIfTrue="1">
      <formula>AQ100=""</formula>
    </cfRule>
    <cfRule type="expression" dxfId="6579" priority="556" stopIfTrue="1">
      <formula>AQ100=CléPersonnalisée2</formula>
    </cfRule>
    <cfRule type="expression" dxfId="6578" priority="557" stopIfTrue="1">
      <formula>AQ100=CléPersonnalisée1</formula>
    </cfRule>
    <cfRule type="expression" dxfId="6577" priority="558" stopIfTrue="1">
      <formula>AQ100=CléMaladie</formula>
    </cfRule>
    <cfRule type="expression" dxfId="6576" priority="559" stopIfTrue="1">
      <formula>AQ100=CléPersonnelle</formula>
    </cfRule>
    <cfRule type="expression" dxfId="6575" priority="560" stopIfTrue="1">
      <formula>AQ100=CléCongés</formula>
    </cfRule>
  </conditionalFormatting>
  <conditionalFormatting sqref="AQ96:AR96">
    <cfRule type="expression" priority="549" stopIfTrue="1">
      <formula>AQ96=""</formula>
    </cfRule>
    <cfRule type="expression" dxfId="6574" priority="550" stopIfTrue="1">
      <formula>AQ96=CléPersonnalisée2</formula>
    </cfRule>
    <cfRule type="expression" dxfId="6573" priority="551" stopIfTrue="1">
      <formula>AQ96=CléPersonnalisée1</formula>
    </cfRule>
    <cfRule type="expression" dxfId="6572" priority="552" stopIfTrue="1">
      <formula>AQ96=CléMaladie</formula>
    </cfRule>
    <cfRule type="expression" dxfId="6571" priority="553" stopIfTrue="1">
      <formula>AQ96=CléPersonnelle</formula>
    </cfRule>
    <cfRule type="expression" dxfId="6570" priority="554" stopIfTrue="1">
      <formula>AQ96=CléCongés</formula>
    </cfRule>
  </conditionalFormatting>
  <conditionalFormatting sqref="AQ120:AR120">
    <cfRule type="expression" priority="543" stopIfTrue="1">
      <formula>AQ120=""</formula>
    </cfRule>
    <cfRule type="expression" dxfId="6569" priority="544" stopIfTrue="1">
      <formula>AQ120=CléPersonnalisée2</formula>
    </cfRule>
    <cfRule type="expression" dxfId="6568" priority="545" stopIfTrue="1">
      <formula>AQ120=CléPersonnalisée1</formula>
    </cfRule>
    <cfRule type="expression" dxfId="6567" priority="546" stopIfTrue="1">
      <formula>AQ120=CléMaladie</formula>
    </cfRule>
    <cfRule type="expression" dxfId="6566" priority="547" stopIfTrue="1">
      <formula>AQ120=CléPersonnelle</formula>
    </cfRule>
    <cfRule type="expression" dxfId="6565" priority="548" stopIfTrue="1">
      <formula>AQ120=CléCongés</formula>
    </cfRule>
  </conditionalFormatting>
  <conditionalFormatting sqref="AQ119">
    <cfRule type="expression" priority="481" stopIfTrue="1">
      <formula>AQ119=""</formula>
    </cfRule>
    <cfRule type="expression" dxfId="6564" priority="482" stopIfTrue="1">
      <formula>AQ119=CléPersonnalisée2</formula>
    </cfRule>
    <cfRule type="expression" dxfId="6563" priority="483" stopIfTrue="1">
      <formula>AQ119=CléPersonnalisée1</formula>
    </cfRule>
    <cfRule type="expression" dxfId="6562" priority="484" stopIfTrue="1">
      <formula>AQ119=CléMaladie</formula>
    </cfRule>
    <cfRule type="expression" dxfId="6561" priority="485" stopIfTrue="1">
      <formula>AQ119=CléPersonnelle</formula>
    </cfRule>
    <cfRule type="expression" dxfId="6560" priority="486" stopIfTrue="1">
      <formula>AQ119=CléCongés</formula>
    </cfRule>
  </conditionalFormatting>
  <conditionalFormatting sqref="C117:AG119">
    <cfRule type="expression" priority="536" stopIfTrue="1">
      <formula>C117=""</formula>
    </cfRule>
    <cfRule type="expression" dxfId="6559" priority="537" stopIfTrue="1">
      <formula>C117=CléPersonnalisée2</formula>
    </cfRule>
    <cfRule type="expression" dxfId="6558" priority="538" stopIfTrue="1">
      <formula>C117=CléPersonnalisée1</formula>
    </cfRule>
    <cfRule type="expression" dxfId="6557" priority="539" stopIfTrue="1">
      <formula>C117=CléMaladie</formula>
    </cfRule>
    <cfRule type="expression" dxfId="6556" priority="540" stopIfTrue="1">
      <formula>C117=CléPersonnelle</formula>
    </cfRule>
    <cfRule type="expression" dxfId="6555" priority="541" stopIfTrue="1">
      <formula>C117=CléCongés</formula>
    </cfRule>
  </conditionalFormatting>
  <conditionalFormatting sqref="AH119">
    <cfRule type="dataBar" priority="542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{A89DA638-7943-418F-B159-5D30357A12C1}</x14:id>
        </ext>
      </extLst>
    </cfRule>
  </conditionalFormatting>
  <conditionalFormatting sqref="AI119:AL119 AJ117:AL118">
    <cfRule type="expression" priority="530" stopIfTrue="1">
      <formula>AI117=""</formula>
    </cfRule>
    <cfRule type="expression" dxfId="6554" priority="531" stopIfTrue="1">
      <formula>AI117=CléPersonnalisée2</formula>
    </cfRule>
    <cfRule type="expression" dxfId="6553" priority="532" stopIfTrue="1">
      <formula>AI117=CléPersonnalisée1</formula>
    </cfRule>
    <cfRule type="expression" dxfId="6552" priority="533" stopIfTrue="1">
      <formula>AI117=CléMaladie</formula>
    </cfRule>
    <cfRule type="expression" dxfId="6551" priority="534" stopIfTrue="1">
      <formula>AI117=CléPersonnelle</formula>
    </cfRule>
    <cfRule type="expression" dxfId="6550" priority="535" stopIfTrue="1">
      <formula>AI117=CléCongés</formula>
    </cfRule>
  </conditionalFormatting>
  <conditionalFormatting sqref="AM117:AP118">
    <cfRule type="expression" priority="524" stopIfTrue="1">
      <formula>AM117=""</formula>
    </cfRule>
    <cfRule type="expression" dxfId="6549" priority="525" stopIfTrue="1">
      <formula>AM117=CléPersonnalisée2</formula>
    </cfRule>
    <cfRule type="expression" dxfId="6548" priority="526" stopIfTrue="1">
      <formula>AM117=CléPersonnalisée1</formula>
    </cfRule>
    <cfRule type="expression" dxfId="6547" priority="527" stopIfTrue="1">
      <formula>AM117=CléMaladie</formula>
    </cfRule>
    <cfRule type="expression" dxfId="6546" priority="528" stopIfTrue="1">
      <formula>AM117=CléPersonnelle</formula>
    </cfRule>
    <cfRule type="expression" dxfId="6545" priority="529" stopIfTrue="1">
      <formula>AM117=CléCongés</formula>
    </cfRule>
  </conditionalFormatting>
  <conditionalFormatting sqref="AQ117:AR118">
    <cfRule type="expression" priority="518" stopIfTrue="1">
      <formula>AQ117=""</formula>
    </cfRule>
    <cfRule type="expression" dxfId="6544" priority="519" stopIfTrue="1">
      <formula>AQ117=CléPersonnalisée2</formula>
    </cfRule>
    <cfRule type="expression" dxfId="6543" priority="520" stopIfTrue="1">
      <formula>AQ117=CléPersonnalisée1</formula>
    </cfRule>
    <cfRule type="expression" dxfId="6542" priority="521" stopIfTrue="1">
      <formula>AQ117=CléMaladie</formula>
    </cfRule>
    <cfRule type="expression" dxfId="6541" priority="522" stopIfTrue="1">
      <formula>AQ117=CléPersonnelle</formula>
    </cfRule>
    <cfRule type="expression" dxfId="6540" priority="523" stopIfTrue="1">
      <formula>AQ117=CléCongés</formula>
    </cfRule>
  </conditionalFormatting>
  <conditionalFormatting sqref="AM119">
    <cfRule type="expression" priority="512" stopIfTrue="1">
      <formula>AM119=""</formula>
    </cfRule>
    <cfRule type="expression" dxfId="6539" priority="513" stopIfTrue="1">
      <formula>AM119=CléPersonnalisée2</formula>
    </cfRule>
    <cfRule type="expression" dxfId="6538" priority="514" stopIfTrue="1">
      <formula>AM119=CléPersonnalisée1</formula>
    </cfRule>
    <cfRule type="expression" dxfId="6537" priority="515" stopIfTrue="1">
      <formula>AM119=CléMaladie</formula>
    </cfRule>
    <cfRule type="expression" dxfId="6536" priority="516" stopIfTrue="1">
      <formula>AM119=CléPersonnelle</formula>
    </cfRule>
    <cfRule type="expression" dxfId="6535" priority="517" stopIfTrue="1">
      <formula>AM119=CléCongés</formula>
    </cfRule>
  </conditionalFormatting>
  <conditionalFormatting sqref="AH117:AH118">
    <cfRule type="dataBar" priority="511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{3770342C-2EB7-431C-A133-F46FA49FE91B}</x14:id>
        </ext>
      </extLst>
    </cfRule>
  </conditionalFormatting>
  <conditionalFormatting sqref="AO119">
    <cfRule type="expression" priority="505" stopIfTrue="1">
      <formula>AO119=""</formula>
    </cfRule>
    <cfRule type="expression" dxfId="6534" priority="506" stopIfTrue="1">
      <formula>AO119=CléPersonnalisée2</formula>
    </cfRule>
    <cfRule type="expression" dxfId="6533" priority="507" stopIfTrue="1">
      <formula>AO119=CléPersonnalisée1</formula>
    </cfRule>
    <cfRule type="expression" dxfId="6532" priority="508" stopIfTrue="1">
      <formula>AO119=CléMaladie</formula>
    </cfRule>
    <cfRule type="expression" dxfId="6531" priority="509" stopIfTrue="1">
      <formula>AO119=CléPersonnelle</formula>
    </cfRule>
    <cfRule type="expression" dxfId="6530" priority="510" stopIfTrue="1">
      <formula>AO119=CléCongés</formula>
    </cfRule>
  </conditionalFormatting>
  <conditionalFormatting sqref="AI117:AI118">
    <cfRule type="expression" priority="499" stopIfTrue="1">
      <formula>AI117=""</formula>
    </cfRule>
    <cfRule type="expression" dxfId="6529" priority="500" stopIfTrue="1">
      <formula>AI117=CléPersonnalisée2</formula>
    </cfRule>
    <cfRule type="expression" dxfId="6528" priority="501" stopIfTrue="1">
      <formula>AI117=CléPersonnalisée1</formula>
    </cfRule>
    <cfRule type="expression" dxfId="6527" priority="502" stopIfTrue="1">
      <formula>AI117=CléMaladie</formula>
    </cfRule>
    <cfRule type="expression" dxfId="6526" priority="503" stopIfTrue="1">
      <formula>AI117=CléPersonnelle</formula>
    </cfRule>
    <cfRule type="expression" dxfId="6525" priority="504" stopIfTrue="1">
      <formula>AI117=CléCongés</formula>
    </cfRule>
  </conditionalFormatting>
  <conditionalFormatting sqref="AN119">
    <cfRule type="expression" priority="493" stopIfTrue="1">
      <formula>AN119=""</formula>
    </cfRule>
    <cfRule type="expression" dxfId="6524" priority="494" stopIfTrue="1">
      <formula>AN119=CléPersonnalisée2</formula>
    </cfRule>
    <cfRule type="expression" dxfId="6523" priority="495" stopIfTrue="1">
      <formula>AN119=CléPersonnalisée1</formula>
    </cfRule>
    <cfRule type="expression" dxfId="6522" priority="496" stopIfTrue="1">
      <formula>AN119=CléMaladie</formula>
    </cfRule>
    <cfRule type="expression" dxfId="6521" priority="497" stopIfTrue="1">
      <formula>AN119=CléPersonnelle</formula>
    </cfRule>
    <cfRule type="expression" dxfId="6520" priority="498" stopIfTrue="1">
      <formula>AN119=CléCongés</formula>
    </cfRule>
  </conditionalFormatting>
  <conditionalFormatting sqref="AR119">
    <cfRule type="expression" priority="487" stopIfTrue="1">
      <formula>AR119=""</formula>
    </cfRule>
    <cfRule type="expression" dxfId="6519" priority="488" stopIfTrue="1">
      <formula>AR119=CléPersonnalisée2</formula>
    </cfRule>
    <cfRule type="expression" dxfId="6518" priority="489" stopIfTrue="1">
      <formula>AR119=CléPersonnalisée1</formula>
    </cfRule>
    <cfRule type="expression" dxfId="6517" priority="490" stopIfTrue="1">
      <formula>AR119=CléMaladie</formula>
    </cfRule>
    <cfRule type="expression" dxfId="6516" priority="491" stopIfTrue="1">
      <formula>AR119=CléPersonnelle</formula>
    </cfRule>
    <cfRule type="expression" dxfId="6515" priority="492" stopIfTrue="1">
      <formula>AR119=CléCongés</formula>
    </cfRule>
  </conditionalFormatting>
  <conditionalFormatting sqref="AQ108:AR108">
    <cfRule type="expression" priority="475" stopIfTrue="1">
      <formula>AQ108=""</formula>
    </cfRule>
    <cfRule type="expression" dxfId="6514" priority="476" stopIfTrue="1">
      <formula>AQ108=CléPersonnalisée2</formula>
    </cfRule>
    <cfRule type="expression" dxfId="6513" priority="477" stopIfTrue="1">
      <formula>AQ108=CléPersonnalisée1</formula>
    </cfRule>
    <cfRule type="expression" dxfId="6512" priority="478" stopIfTrue="1">
      <formula>AQ108=CléMaladie</formula>
    </cfRule>
    <cfRule type="expression" dxfId="6511" priority="479" stopIfTrue="1">
      <formula>AQ108=CléPersonnelle</formula>
    </cfRule>
    <cfRule type="expression" dxfId="6510" priority="480" stopIfTrue="1">
      <formula>AQ108=CléCongés</formula>
    </cfRule>
  </conditionalFormatting>
  <conditionalFormatting sqref="AQ107">
    <cfRule type="expression" priority="419" stopIfTrue="1">
      <formula>AQ107=""</formula>
    </cfRule>
    <cfRule type="expression" dxfId="6509" priority="420" stopIfTrue="1">
      <formula>AQ107=CléPersonnalisée2</formula>
    </cfRule>
    <cfRule type="expression" dxfId="6508" priority="421" stopIfTrue="1">
      <formula>AQ107=CléPersonnalisée1</formula>
    </cfRule>
    <cfRule type="expression" dxfId="6507" priority="422" stopIfTrue="1">
      <formula>AQ107=CléMaladie</formula>
    </cfRule>
    <cfRule type="expression" dxfId="6506" priority="423" stopIfTrue="1">
      <formula>AQ107=CléPersonnelle</formula>
    </cfRule>
    <cfRule type="expression" dxfId="6505" priority="424" stopIfTrue="1">
      <formula>AQ107=CléCongés</formula>
    </cfRule>
  </conditionalFormatting>
  <conditionalFormatting sqref="C105:AG107">
    <cfRule type="expression" priority="468" stopIfTrue="1">
      <formula>C105=""</formula>
    </cfRule>
    <cfRule type="expression" dxfId="6504" priority="469" stopIfTrue="1">
      <formula>C105=CléPersonnalisée2</formula>
    </cfRule>
    <cfRule type="expression" dxfId="6503" priority="470" stopIfTrue="1">
      <formula>C105=CléPersonnalisée1</formula>
    </cfRule>
    <cfRule type="expression" dxfId="6502" priority="471" stopIfTrue="1">
      <formula>C105=CléMaladie</formula>
    </cfRule>
    <cfRule type="expression" dxfId="6501" priority="472" stopIfTrue="1">
      <formula>C105=CléPersonnelle</formula>
    </cfRule>
    <cfRule type="expression" dxfId="6500" priority="473" stopIfTrue="1">
      <formula>C105=CléCongés</formula>
    </cfRule>
  </conditionalFormatting>
  <conditionalFormatting sqref="AH107">
    <cfRule type="dataBar" priority="474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{23799C01-440A-4559-9635-FFB73E382FC2}</x14:id>
        </ext>
      </extLst>
    </cfRule>
  </conditionalFormatting>
  <conditionalFormatting sqref="AI107:AL107 AJ105:AL106">
    <cfRule type="expression" priority="462" stopIfTrue="1">
      <formula>AI105=""</formula>
    </cfRule>
    <cfRule type="expression" dxfId="6499" priority="463" stopIfTrue="1">
      <formula>AI105=CléPersonnalisée2</formula>
    </cfRule>
    <cfRule type="expression" dxfId="6498" priority="464" stopIfTrue="1">
      <formula>AI105=CléPersonnalisée1</formula>
    </cfRule>
    <cfRule type="expression" dxfId="6497" priority="465" stopIfTrue="1">
      <formula>AI105=CléMaladie</formula>
    </cfRule>
    <cfRule type="expression" dxfId="6496" priority="466" stopIfTrue="1">
      <formula>AI105=CléPersonnelle</formula>
    </cfRule>
    <cfRule type="expression" dxfId="6495" priority="467" stopIfTrue="1">
      <formula>AI105=CléCongés</formula>
    </cfRule>
  </conditionalFormatting>
  <conditionalFormatting sqref="AM105:AP106">
    <cfRule type="expression" priority="456" stopIfTrue="1">
      <formula>AM105=""</formula>
    </cfRule>
    <cfRule type="expression" dxfId="6494" priority="457" stopIfTrue="1">
      <formula>AM105=CléPersonnalisée2</formula>
    </cfRule>
    <cfRule type="expression" dxfId="6493" priority="458" stopIfTrue="1">
      <formula>AM105=CléPersonnalisée1</formula>
    </cfRule>
    <cfRule type="expression" dxfId="6492" priority="459" stopIfTrue="1">
      <formula>AM105=CléMaladie</formula>
    </cfRule>
    <cfRule type="expression" dxfId="6491" priority="460" stopIfTrue="1">
      <formula>AM105=CléPersonnelle</formula>
    </cfRule>
    <cfRule type="expression" dxfId="6490" priority="461" stopIfTrue="1">
      <formula>AM105=CléCongés</formula>
    </cfRule>
  </conditionalFormatting>
  <conditionalFormatting sqref="AQ105:AR106">
    <cfRule type="expression" priority="450" stopIfTrue="1">
      <formula>AQ105=""</formula>
    </cfRule>
    <cfRule type="expression" dxfId="6489" priority="451" stopIfTrue="1">
      <formula>AQ105=CléPersonnalisée2</formula>
    </cfRule>
    <cfRule type="expression" dxfId="6488" priority="452" stopIfTrue="1">
      <formula>AQ105=CléPersonnalisée1</formula>
    </cfRule>
    <cfRule type="expression" dxfId="6487" priority="453" stopIfTrue="1">
      <formula>AQ105=CléMaladie</formula>
    </cfRule>
    <cfRule type="expression" dxfId="6486" priority="454" stopIfTrue="1">
      <formula>AQ105=CléPersonnelle</formula>
    </cfRule>
    <cfRule type="expression" dxfId="6485" priority="455" stopIfTrue="1">
      <formula>AQ105=CléCongés</formula>
    </cfRule>
  </conditionalFormatting>
  <conditionalFormatting sqref="AM107">
    <cfRule type="expression" priority="444" stopIfTrue="1">
      <formula>AM107=""</formula>
    </cfRule>
    <cfRule type="expression" dxfId="6484" priority="445" stopIfTrue="1">
      <formula>AM107=CléPersonnalisée2</formula>
    </cfRule>
    <cfRule type="expression" dxfId="6483" priority="446" stopIfTrue="1">
      <formula>AM107=CléPersonnalisée1</formula>
    </cfRule>
    <cfRule type="expression" dxfId="6482" priority="447" stopIfTrue="1">
      <formula>AM107=CléMaladie</formula>
    </cfRule>
    <cfRule type="expression" dxfId="6481" priority="448" stopIfTrue="1">
      <formula>AM107=CléPersonnelle</formula>
    </cfRule>
    <cfRule type="expression" dxfId="6480" priority="449" stopIfTrue="1">
      <formula>AM107=CléCongés</formula>
    </cfRule>
  </conditionalFormatting>
  <conditionalFormatting sqref="AH105:AH106">
    <cfRule type="dataBar" priority="443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{DD5BF924-CD0D-47C0-A00D-961A41E0FE81}</x14:id>
        </ext>
      </extLst>
    </cfRule>
  </conditionalFormatting>
  <conditionalFormatting sqref="AI105:AI106">
    <cfRule type="expression" priority="437" stopIfTrue="1">
      <formula>AI105=""</formula>
    </cfRule>
    <cfRule type="expression" dxfId="6479" priority="438" stopIfTrue="1">
      <formula>AI105=CléPersonnalisée2</formula>
    </cfRule>
    <cfRule type="expression" dxfId="6478" priority="439" stopIfTrue="1">
      <formula>AI105=CléPersonnalisée1</formula>
    </cfRule>
    <cfRule type="expression" dxfId="6477" priority="440" stopIfTrue="1">
      <formula>AI105=CléMaladie</formula>
    </cfRule>
    <cfRule type="expression" dxfId="6476" priority="441" stopIfTrue="1">
      <formula>AI105=CléPersonnelle</formula>
    </cfRule>
    <cfRule type="expression" dxfId="6475" priority="442" stopIfTrue="1">
      <formula>AI105=CléCongés</formula>
    </cfRule>
  </conditionalFormatting>
  <conditionalFormatting sqref="AN107">
    <cfRule type="expression" priority="431" stopIfTrue="1">
      <formula>AN107=""</formula>
    </cfRule>
    <cfRule type="expression" dxfId="6474" priority="432" stopIfTrue="1">
      <formula>AN107=CléPersonnalisée2</formula>
    </cfRule>
    <cfRule type="expression" dxfId="6473" priority="433" stopIfTrue="1">
      <formula>AN107=CléPersonnalisée1</formula>
    </cfRule>
    <cfRule type="expression" dxfId="6472" priority="434" stopIfTrue="1">
      <formula>AN107=CléMaladie</formula>
    </cfRule>
    <cfRule type="expression" dxfId="6471" priority="435" stopIfTrue="1">
      <formula>AN107=CléPersonnelle</formula>
    </cfRule>
    <cfRule type="expression" dxfId="6470" priority="436" stopIfTrue="1">
      <formula>AN107=CléCongés</formula>
    </cfRule>
  </conditionalFormatting>
  <conditionalFormatting sqref="AR107">
    <cfRule type="expression" priority="425" stopIfTrue="1">
      <formula>AR107=""</formula>
    </cfRule>
    <cfRule type="expression" dxfId="6469" priority="426" stopIfTrue="1">
      <formula>AR107=CléPersonnalisée2</formula>
    </cfRule>
    <cfRule type="expression" dxfId="6468" priority="427" stopIfTrue="1">
      <formula>AR107=CléPersonnalisée1</formula>
    </cfRule>
    <cfRule type="expression" dxfId="6467" priority="428" stopIfTrue="1">
      <formula>AR107=CléMaladie</formula>
    </cfRule>
    <cfRule type="expression" dxfId="6466" priority="429" stopIfTrue="1">
      <formula>AR107=CléPersonnelle</formula>
    </cfRule>
    <cfRule type="expression" dxfId="6465" priority="430" stopIfTrue="1">
      <formula>AR107=CléCongés</formula>
    </cfRule>
  </conditionalFormatting>
  <conditionalFormatting sqref="AO107">
    <cfRule type="expression" priority="413" stopIfTrue="1">
      <formula>AO107=""</formula>
    </cfRule>
    <cfRule type="expression" dxfId="6464" priority="414" stopIfTrue="1">
      <formula>AO107=CléPersonnalisée2</formula>
    </cfRule>
    <cfRule type="expression" dxfId="6463" priority="415" stopIfTrue="1">
      <formula>AO107=CléPersonnalisée1</formula>
    </cfRule>
    <cfRule type="expression" dxfId="6462" priority="416" stopIfTrue="1">
      <formula>AO107=CléMaladie</formula>
    </cfRule>
    <cfRule type="expression" dxfId="6461" priority="417" stopIfTrue="1">
      <formula>AO107=CléPersonnelle</formula>
    </cfRule>
    <cfRule type="expression" dxfId="6460" priority="418" stopIfTrue="1">
      <formula>AO107=CléCongés</formula>
    </cfRule>
  </conditionalFormatting>
  <conditionalFormatting sqref="C57:AG59">
    <cfRule type="expression" priority="406" stopIfTrue="1">
      <formula>C57=""</formula>
    </cfRule>
    <cfRule type="expression" dxfId="6459" priority="407" stopIfTrue="1">
      <formula>C57=CléPersonnalisée2</formula>
    </cfRule>
    <cfRule type="expression" dxfId="6458" priority="408" stopIfTrue="1">
      <formula>C57=CléPersonnalisée1</formula>
    </cfRule>
    <cfRule type="expression" dxfId="6457" priority="409" stopIfTrue="1">
      <formula>C57=CléMaladie</formula>
    </cfRule>
    <cfRule type="expression" dxfId="6456" priority="410" stopIfTrue="1">
      <formula>C57=CléPersonnelle</formula>
    </cfRule>
    <cfRule type="expression" dxfId="6455" priority="411" stopIfTrue="1">
      <formula>C57=CléCongés</formula>
    </cfRule>
  </conditionalFormatting>
  <conditionalFormatting sqref="AH59">
    <cfRule type="dataBar" priority="412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{2B703EF6-370E-48DF-BA60-FE9DDC1C15FB}</x14:id>
        </ext>
      </extLst>
    </cfRule>
  </conditionalFormatting>
  <conditionalFormatting sqref="AI59:AL59 AJ57:AL58">
    <cfRule type="expression" priority="400" stopIfTrue="1">
      <formula>AI57=""</formula>
    </cfRule>
    <cfRule type="expression" dxfId="6454" priority="401" stopIfTrue="1">
      <formula>AI57=CléPersonnalisée2</formula>
    </cfRule>
    <cfRule type="expression" dxfId="6453" priority="402" stopIfTrue="1">
      <formula>AI57=CléPersonnalisée1</formula>
    </cfRule>
    <cfRule type="expression" dxfId="6452" priority="403" stopIfTrue="1">
      <formula>AI57=CléMaladie</formula>
    </cfRule>
    <cfRule type="expression" dxfId="6451" priority="404" stopIfTrue="1">
      <formula>AI57=CléPersonnelle</formula>
    </cfRule>
    <cfRule type="expression" dxfId="6450" priority="405" stopIfTrue="1">
      <formula>AI57=CléCongés</formula>
    </cfRule>
  </conditionalFormatting>
  <conditionalFormatting sqref="AM57:AP58">
    <cfRule type="expression" priority="394" stopIfTrue="1">
      <formula>AM57=""</formula>
    </cfRule>
    <cfRule type="expression" dxfId="6449" priority="395" stopIfTrue="1">
      <formula>AM57=CléPersonnalisée2</formula>
    </cfRule>
    <cfRule type="expression" dxfId="6448" priority="396" stopIfTrue="1">
      <formula>AM57=CléPersonnalisée1</formula>
    </cfRule>
    <cfRule type="expression" dxfId="6447" priority="397" stopIfTrue="1">
      <formula>AM57=CléMaladie</formula>
    </cfRule>
    <cfRule type="expression" dxfId="6446" priority="398" stopIfTrue="1">
      <formula>AM57=CléPersonnelle</formula>
    </cfRule>
    <cfRule type="expression" dxfId="6445" priority="399" stopIfTrue="1">
      <formula>AM57=CléCongés</formula>
    </cfRule>
  </conditionalFormatting>
  <conditionalFormatting sqref="AQ57:AR58">
    <cfRule type="expression" priority="388" stopIfTrue="1">
      <formula>AQ57=""</formula>
    </cfRule>
    <cfRule type="expression" dxfId="6444" priority="389" stopIfTrue="1">
      <formula>AQ57=CléPersonnalisée2</formula>
    </cfRule>
    <cfRule type="expression" dxfId="6443" priority="390" stopIfTrue="1">
      <formula>AQ57=CléPersonnalisée1</formula>
    </cfRule>
    <cfRule type="expression" dxfId="6442" priority="391" stopIfTrue="1">
      <formula>AQ57=CléMaladie</formula>
    </cfRule>
    <cfRule type="expression" dxfId="6441" priority="392" stopIfTrue="1">
      <formula>AQ57=CléPersonnelle</formula>
    </cfRule>
    <cfRule type="expression" dxfId="6440" priority="393" stopIfTrue="1">
      <formula>AQ57=CléCongés</formula>
    </cfRule>
  </conditionalFormatting>
  <conditionalFormatting sqref="AM59">
    <cfRule type="expression" priority="382" stopIfTrue="1">
      <formula>AM59=""</formula>
    </cfRule>
    <cfRule type="expression" dxfId="6439" priority="383" stopIfTrue="1">
      <formula>AM59=CléPersonnalisée2</formula>
    </cfRule>
    <cfRule type="expression" dxfId="6438" priority="384" stopIfTrue="1">
      <formula>AM59=CléPersonnalisée1</formula>
    </cfRule>
    <cfRule type="expression" dxfId="6437" priority="385" stopIfTrue="1">
      <formula>AM59=CléMaladie</formula>
    </cfRule>
    <cfRule type="expression" dxfId="6436" priority="386" stopIfTrue="1">
      <formula>AM59=CléPersonnelle</formula>
    </cfRule>
    <cfRule type="expression" dxfId="6435" priority="387" stopIfTrue="1">
      <formula>AM59=CléCongés</formula>
    </cfRule>
  </conditionalFormatting>
  <conditionalFormatting sqref="AH57:AH58">
    <cfRule type="dataBar" priority="381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{34A3DB86-D51C-4A8A-B64C-CA1522C5249E}</x14:id>
        </ext>
      </extLst>
    </cfRule>
  </conditionalFormatting>
  <conditionalFormatting sqref="AO59">
    <cfRule type="expression" priority="375" stopIfTrue="1">
      <formula>AO59=""</formula>
    </cfRule>
    <cfRule type="expression" dxfId="6434" priority="376" stopIfTrue="1">
      <formula>AO59=CléPersonnalisée2</formula>
    </cfRule>
    <cfRule type="expression" dxfId="6433" priority="377" stopIfTrue="1">
      <formula>AO59=CléPersonnalisée1</formula>
    </cfRule>
    <cfRule type="expression" dxfId="6432" priority="378" stopIfTrue="1">
      <formula>AO59=CléMaladie</formula>
    </cfRule>
    <cfRule type="expression" dxfId="6431" priority="379" stopIfTrue="1">
      <formula>AO59=CléPersonnelle</formula>
    </cfRule>
    <cfRule type="expression" dxfId="6430" priority="380" stopIfTrue="1">
      <formula>AO59=CléCongés</formula>
    </cfRule>
  </conditionalFormatting>
  <conditionalFormatting sqref="AI57:AI58">
    <cfRule type="expression" priority="369" stopIfTrue="1">
      <formula>AI57=""</formula>
    </cfRule>
    <cfRule type="expression" dxfId="6429" priority="370" stopIfTrue="1">
      <formula>AI57=CléPersonnalisée2</formula>
    </cfRule>
    <cfRule type="expression" dxfId="6428" priority="371" stopIfTrue="1">
      <formula>AI57=CléPersonnalisée1</formula>
    </cfRule>
    <cfRule type="expression" dxfId="6427" priority="372" stopIfTrue="1">
      <formula>AI57=CléMaladie</formula>
    </cfRule>
    <cfRule type="expression" dxfId="6426" priority="373" stopIfTrue="1">
      <formula>AI57=CléPersonnelle</formula>
    </cfRule>
    <cfRule type="expression" dxfId="6425" priority="374" stopIfTrue="1">
      <formula>AI57=CléCongés</formula>
    </cfRule>
  </conditionalFormatting>
  <conditionalFormatting sqref="AN59">
    <cfRule type="expression" priority="363" stopIfTrue="1">
      <formula>AN59=""</formula>
    </cfRule>
    <cfRule type="expression" dxfId="6424" priority="364" stopIfTrue="1">
      <formula>AN59=CléPersonnalisée2</formula>
    </cfRule>
    <cfRule type="expression" dxfId="6423" priority="365" stopIfTrue="1">
      <formula>AN59=CléPersonnalisée1</formula>
    </cfRule>
    <cfRule type="expression" dxfId="6422" priority="366" stopIfTrue="1">
      <formula>AN59=CléMaladie</formula>
    </cfRule>
    <cfRule type="expression" dxfId="6421" priority="367" stopIfTrue="1">
      <formula>AN59=CléPersonnelle</formula>
    </cfRule>
    <cfRule type="expression" dxfId="6420" priority="368" stopIfTrue="1">
      <formula>AN59=CléCongés</formula>
    </cfRule>
  </conditionalFormatting>
  <conditionalFormatting sqref="AR59">
    <cfRule type="expression" priority="357" stopIfTrue="1">
      <formula>AR59=""</formula>
    </cfRule>
    <cfRule type="expression" dxfId="6419" priority="358" stopIfTrue="1">
      <formula>AR59=CléPersonnalisée2</formula>
    </cfRule>
    <cfRule type="expression" dxfId="6418" priority="359" stopIfTrue="1">
      <formula>AR59=CléPersonnalisée1</formula>
    </cfRule>
    <cfRule type="expression" dxfId="6417" priority="360" stopIfTrue="1">
      <formula>AR59=CléMaladie</formula>
    </cfRule>
    <cfRule type="expression" dxfId="6416" priority="361" stopIfTrue="1">
      <formula>AR59=CléPersonnelle</formula>
    </cfRule>
    <cfRule type="expression" dxfId="6415" priority="362" stopIfTrue="1">
      <formula>AR59=CléCongés</formula>
    </cfRule>
  </conditionalFormatting>
  <conditionalFormatting sqref="AQ59">
    <cfRule type="expression" priority="351" stopIfTrue="1">
      <formula>AQ59=""</formula>
    </cfRule>
    <cfRule type="expression" dxfId="6414" priority="352" stopIfTrue="1">
      <formula>AQ59=CléPersonnalisée2</formula>
    </cfRule>
    <cfRule type="expression" dxfId="6413" priority="353" stopIfTrue="1">
      <formula>AQ59=CléPersonnalisée1</formula>
    </cfRule>
    <cfRule type="expression" dxfId="6412" priority="354" stopIfTrue="1">
      <formula>AQ59=CléMaladie</formula>
    </cfRule>
    <cfRule type="expression" dxfId="6411" priority="355" stopIfTrue="1">
      <formula>AQ59=CléPersonnelle</formula>
    </cfRule>
    <cfRule type="expression" dxfId="6410" priority="356" stopIfTrue="1">
      <formula>AQ59=CléCongés</formula>
    </cfRule>
  </conditionalFormatting>
  <conditionalFormatting sqref="AQ79">
    <cfRule type="expression" priority="301" stopIfTrue="1">
      <formula>AQ79=""</formula>
    </cfRule>
    <cfRule type="expression" dxfId="6409" priority="302" stopIfTrue="1">
      <formula>AQ79=CléPersonnalisée2</formula>
    </cfRule>
    <cfRule type="expression" dxfId="6408" priority="303" stopIfTrue="1">
      <formula>AQ79=CléPersonnalisée1</formula>
    </cfRule>
    <cfRule type="expression" dxfId="6407" priority="304" stopIfTrue="1">
      <formula>AQ79=CléMaladie</formula>
    </cfRule>
    <cfRule type="expression" dxfId="6406" priority="305" stopIfTrue="1">
      <formula>AQ79=CléPersonnelle</formula>
    </cfRule>
    <cfRule type="expression" dxfId="6405" priority="306" stopIfTrue="1">
      <formula>AQ79=CléCongés</formula>
    </cfRule>
  </conditionalFormatting>
  <conditionalFormatting sqref="C77:AG79">
    <cfRule type="expression" priority="344" stopIfTrue="1">
      <formula>C77=""</formula>
    </cfRule>
    <cfRule type="expression" dxfId="6404" priority="345" stopIfTrue="1">
      <formula>C77=CléPersonnalisée2</formula>
    </cfRule>
    <cfRule type="expression" dxfId="6403" priority="346" stopIfTrue="1">
      <formula>C77=CléPersonnalisée1</formula>
    </cfRule>
    <cfRule type="expression" dxfId="6402" priority="347" stopIfTrue="1">
      <formula>C77=CléMaladie</formula>
    </cfRule>
    <cfRule type="expression" dxfId="6401" priority="348" stopIfTrue="1">
      <formula>C77=CléPersonnelle</formula>
    </cfRule>
    <cfRule type="expression" dxfId="6400" priority="349" stopIfTrue="1">
      <formula>C77=CléCongés</formula>
    </cfRule>
  </conditionalFormatting>
  <conditionalFormatting sqref="AH79">
    <cfRule type="dataBar" priority="350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{70F2BAAF-F7B6-476D-BB1F-6F00C4032154}</x14:id>
        </ext>
      </extLst>
    </cfRule>
  </conditionalFormatting>
  <conditionalFormatting sqref="AI79:AL79 AJ77:AL78">
    <cfRule type="expression" priority="338" stopIfTrue="1">
      <formula>AI77=""</formula>
    </cfRule>
    <cfRule type="expression" dxfId="6399" priority="339" stopIfTrue="1">
      <formula>AI77=CléPersonnalisée2</formula>
    </cfRule>
    <cfRule type="expression" dxfId="6398" priority="340" stopIfTrue="1">
      <formula>AI77=CléPersonnalisée1</formula>
    </cfRule>
    <cfRule type="expression" dxfId="6397" priority="341" stopIfTrue="1">
      <formula>AI77=CléMaladie</formula>
    </cfRule>
    <cfRule type="expression" dxfId="6396" priority="342" stopIfTrue="1">
      <formula>AI77=CléPersonnelle</formula>
    </cfRule>
    <cfRule type="expression" dxfId="6395" priority="343" stopIfTrue="1">
      <formula>AI77=CléCongés</formula>
    </cfRule>
  </conditionalFormatting>
  <conditionalFormatting sqref="AM77:AP78">
    <cfRule type="expression" priority="332" stopIfTrue="1">
      <formula>AM77=""</formula>
    </cfRule>
    <cfRule type="expression" dxfId="6394" priority="333" stopIfTrue="1">
      <formula>AM77=CléPersonnalisée2</formula>
    </cfRule>
    <cfRule type="expression" dxfId="6393" priority="334" stopIfTrue="1">
      <formula>AM77=CléPersonnalisée1</formula>
    </cfRule>
    <cfRule type="expression" dxfId="6392" priority="335" stopIfTrue="1">
      <formula>AM77=CléMaladie</formula>
    </cfRule>
    <cfRule type="expression" dxfId="6391" priority="336" stopIfTrue="1">
      <formula>AM77=CléPersonnelle</formula>
    </cfRule>
    <cfRule type="expression" dxfId="6390" priority="337" stopIfTrue="1">
      <formula>AM77=CléCongés</formula>
    </cfRule>
  </conditionalFormatting>
  <conditionalFormatting sqref="AQ77:AR78">
    <cfRule type="expression" priority="326" stopIfTrue="1">
      <formula>AQ77=""</formula>
    </cfRule>
    <cfRule type="expression" dxfId="6389" priority="327" stopIfTrue="1">
      <formula>AQ77=CléPersonnalisée2</formula>
    </cfRule>
    <cfRule type="expression" dxfId="6388" priority="328" stopIfTrue="1">
      <formula>AQ77=CléPersonnalisée1</formula>
    </cfRule>
    <cfRule type="expression" dxfId="6387" priority="329" stopIfTrue="1">
      <formula>AQ77=CléMaladie</formula>
    </cfRule>
    <cfRule type="expression" dxfId="6386" priority="330" stopIfTrue="1">
      <formula>AQ77=CléPersonnelle</formula>
    </cfRule>
    <cfRule type="expression" dxfId="6385" priority="331" stopIfTrue="1">
      <formula>AQ77=CléCongés</formula>
    </cfRule>
  </conditionalFormatting>
  <conditionalFormatting sqref="AM79">
    <cfRule type="expression" priority="320" stopIfTrue="1">
      <formula>AM79=""</formula>
    </cfRule>
    <cfRule type="expression" dxfId="6384" priority="321" stopIfTrue="1">
      <formula>AM79=CléPersonnalisée2</formula>
    </cfRule>
    <cfRule type="expression" dxfId="6383" priority="322" stopIfTrue="1">
      <formula>AM79=CléPersonnalisée1</formula>
    </cfRule>
    <cfRule type="expression" dxfId="6382" priority="323" stopIfTrue="1">
      <formula>AM79=CléMaladie</formula>
    </cfRule>
    <cfRule type="expression" dxfId="6381" priority="324" stopIfTrue="1">
      <formula>AM79=CléPersonnelle</formula>
    </cfRule>
    <cfRule type="expression" dxfId="6380" priority="325" stopIfTrue="1">
      <formula>AM79=CléCongés</formula>
    </cfRule>
  </conditionalFormatting>
  <conditionalFormatting sqref="AH77:AH78">
    <cfRule type="dataBar" priority="319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{7425A74C-0D23-4096-9E38-5AB1303A53E4}</x14:id>
        </ext>
      </extLst>
    </cfRule>
  </conditionalFormatting>
  <conditionalFormatting sqref="AI77:AI78">
    <cfRule type="expression" priority="313" stopIfTrue="1">
      <formula>AI77=""</formula>
    </cfRule>
    <cfRule type="expression" dxfId="6379" priority="314" stopIfTrue="1">
      <formula>AI77=CléPersonnalisée2</formula>
    </cfRule>
    <cfRule type="expression" dxfId="6378" priority="315" stopIfTrue="1">
      <formula>AI77=CléPersonnalisée1</formula>
    </cfRule>
    <cfRule type="expression" dxfId="6377" priority="316" stopIfTrue="1">
      <formula>AI77=CléMaladie</formula>
    </cfRule>
    <cfRule type="expression" dxfId="6376" priority="317" stopIfTrue="1">
      <formula>AI77=CléPersonnelle</formula>
    </cfRule>
    <cfRule type="expression" dxfId="6375" priority="318" stopIfTrue="1">
      <formula>AI77=CléCongés</formula>
    </cfRule>
  </conditionalFormatting>
  <conditionalFormatting sqref="AR79">
    <cfRule type="expression" priority="307" stopIfTrue="1">
      <formula>AR79=""</formula>
    </cfRule>
    <cfRule type="expression" dxfId="6374" priority="308" stopIfTrue="1">
      <formula>AR79=CléPersonnalisée2</formula>
    </cfRule>
    <cfRule type="expression" dxfId="6373" priority="309" stopIfTrue="1">
      <formula>AR79=CléPersonnalisée1</formula>
    </cfRule>
    <cfRule type="expression" dxfId="6372" priority="310" stopIfTrue="1">
      <formula>AR79=CléMaladie</formula>
    </cfRule>
    <cfRule type="expression" dxfId="6371" priority="311" stopIfTrue="1">
      <formula>AR79=CléPersonnelle</formula>
    </cfRule>
    <cfRule type="expression" dxfId="6370" priority="312" stopIfTrue="1">
      <formula>AR79=CléCongés</formula>
    </cfRule>
  </conditionalFormatting>
  <conditionalFormatting sqref="AO79">
    <cfRule type="expression" priority="295" stopIfTrue="1">
      <formula>AO79=""</formula>
    </cfRule>
    <cfRule type="expression" dxfId="6369" priority="296" stopIfTrue="1">
      <formula>AO79=CléPersonnalisée2</formula>
    </cfRule>
    <cfRule type="expression" dxfId="6368" priority="297" stopIfTrue="1">
      <formula>AO79=CléPersonnalisée1</formula>
    </cfRule>
    <cfRule type="expression" dxfId="6367" priority="298" stopIfTrue="1">
      <formula>AO79=CléMaladie</formula>
    </cfRule>
    <cfRule type="expression" dxfId="6366" priority="299" stopIfTrue="1">
      <formula>AO79=CléPersonnelle</formula>
    </cfRule>
    <cfRule type="expression" dxfId="6365" priority="300" stopIfTrue="1">
      <formula>AO79=CléCongés</formula>
    </cfRule>
  </conditionalFormatting>
  <conditionalFormatting sqref="AN79">
    <cfRule type="expression" priority="289" stopIfTrue="1">
      <formula>AN79=""</formula>
    </cfRule>
    <cfRule type="expression" dxfId="6364" priority="290" stopIfTrue="1">
      <formula>AN79=CléPersonnalisée2</formula>
    </cfRule>
    <cfRule type="expression" dxfId="6363" priority="291" stopIfTrue="1">
      <formula>AN79=CléPersonnalisée1</formula>
    </cfRule>
    <cfRule type="expression" dxfId="6362" priority="292" stopIfTrue="1">
      <formula>AN79=CléMaladie</formula>
    </cfRule>
    <cfRule type="expression" dxfId="6361" priority="293" stopIfTrue="1">
      <formula>AN79=CléPersonnelle</formula>
    </cfRule>
    <cfRule type="expression" dxfId="6360" priority="294" stopIfTrue="1">
      <formula>AN79=CléCongés</formula>
    </cfRule>
  </conditionalFormatting>
  <conditionalFormatting sqref="K5:L6">
    <cfRule type="expression" priority="283" stopIfTrue="1">
      <formula>K5=""</formula>
    </cfRule>
    <cfRule type="expression" dxfId="6359" priority="284" stopIfTrue="1">
      <formula>K5=CléPersonnalisée2</formula>
    </cfRule>
    <cfRule type="expression" dxfId="6358" priority="285" stopIfTrue="1">
      <formula>K5=CléPersonnalisée1</formula>
    </cfRule>
    <cfRule type="expression" dxfId="6357" priority="286" stopIfTrue="1">
      <formula>K5=CléMaladie</formula>
    </cfRule>
    <cfRule type="expression" dxfId="6356" priority="287" stopIfTrue="1">
      <formula>K5=CléPersonnelle</formula>
    </cfRule>
    <cfRule type="expression" dxfId="6355" priority="288" stopIfTrue="1">
      <formula>K5=CléCongés</formula>
    </cfRule>
  </conditionalFormatting>
  <conditionalFormatting sqref="AP7">
    <cfRule type="expression" priority="277" stopIfTrue="1">
      <formula>AP7=""</formula>
    </cfRule>
    <cfRule type="expression" dxfId="6354" priority="278" stopIfTrue="1">
      <formula>AP7=CléPersonnalisée2</formula>
    </cfRule>
    <cfRule type="expression" dxfId="6353" priority="279" stopIfTrue="1">
      <formula>AP7=CléPersonnalisée1</formula>
    </cfRule>
    <cfRule type="expression" dxfId="6352" priority="280" stopIfTrue="1">
      <formula>AP7=CléMaladie</formula>
    </cfRule>
    <cfRule type="expression" dxfId="6351" priority="281" stopIfTrue="1">
      <formula>AP7=CléPersonnelle</formula>
    </cfRule>
    <cfRule type="expression" dxfId="6350" priority="282" stopIfTrue="1">
      <formula>AP7=CléCongés</formula>
    </cfRule>
  </conditionalFormatting>
  <conditionalFormatting sqref="AP11">
    <cfRule type="expression" priority="271" stopIfTrue="1">
      <formula>AP11=""</formula>
    </cfRule>
    <cfRule type="expression" dxfId="6349" priority="272" stopIfTrue="1">
      <formula>AP11=CléPersonnalisée2</formula>
    </cfRule>
    <cfRule type="expression" dxfId="6348" priority="273" stopIfTrue="1">
      <formula>AP11=CléPersonnalisée1</formula>
    </cfRule>
    <cfRule type="expression" dxfId="6347" priority="274" stopIfTrue="1">
      <formula>AP11=CléMaladie</formula>
    </cfRule>
    <cfRule type="expression" dxfId="6346" priority="275" stopIfTrue="1">
      <formula>AP11=CléPersonnelle</formula>
    </cfRule>
    <cfRule type="expression" dxfId="6345" priority="276" stopIfTrue="1">
      <formula>AP11=CléCongés</formula>
    </cfRule>
  </conditionalFormatting>
  <conditionalFormatting sqref="AP15">
    <cfRule type="expression" priority="265" stopIfTrue="1">
      <formula>AP15=""</formula>
    </cfRule>
    <cfRule type="expression" dxfId="6344" priority="266" stopIfTrue="1">
      <formula>AP15=CléPersonnalisée2</formula>
    </cfRule>
    <cfRule type="expression" dxfId="6343" priority="267" stopIfTrue="1">
      <formula>AP15=CléPersonnalisée1</formula>
    </cfRule>
    <cfRule type="expression" dxfId="6342" priority="268" stopIfTrue="1">
      <formula>AP15=CléMaladie</formula>
    </cfRule>
    <cfRule type="expression" dxfId="6341" priority="269" stopIfTrue="1">
      <formula>AP15=CléPersonnelle</formula>
    </cfRule>
    <cfRule type="expression" dxfId="6340" priority="270" stopIfTrue="1">
      <formula>AP15=CléCongés</formula>
    </cfRule>
  </conditionalFormatting>
  <conditionalFormatting sqref="AP19">
    <cfRule type="expression" priority="259" stopIfTrue="1">
      <formula>AP19=""</formula>
    </cfRule>
    <cfRule type="expression" dxfId="6339" priority="260" stopIfTrue="1">
      <formula>AP19=CléPersonnalisée2</formula>
    </cfRule>
    <cfRule type="expression" dxfId="6338" priority="261" stopIfTrue="1">
      <formula>AP19=CléPersonnalisée1</formula>
    </cfRule>
    <cfRule type="expression" dxfId="6337" priority="262" stopIfTrue="1">
      <formula>AP19=CléMaladie</formula>
    </cfRule>
    <cfRule type="expression" dxfId="6336" priority="263" stopIfTrue="1">
      <formula>AP19=CléPersonnelle</formula>
    </cfRule>
    <cfRule type="expression" dxfId="6335" priority="264" stopIfTrue="1">
      <formula>AP19=CléCongés</formula>
    </cfRule>
  </conditionalFormatting>
  <conditionalFormatting sqref="AP23">
    <cfRule type="expression" priority="253" stopIfTrue="1">
      <formula>AP23=""</formula>
    </cfRule>
    <cfRule type="expression" dxfId="6334" priority="254" stopIfTrue="1">
      <formula>AP23=CléPersonnalisée2</formula>
    </cfRule>
    <cfRule type="expression" dxfId="6333" priority="255" stopIfTrue="1">
      <formula>AP23=CléPersonnalisée1</formula>
    </cfRule>
    <cfRule type="expression" dxfId="6332" priority="256" stopIfTrue="1">
      <formula>AP23=CléMaladie</formula>
    </cfRule>
    <cfRule type="expression" dxfId="6331" priority="257" stopIfTrue="1">
      <formula>AP23=CléPersonnelle</formula>
    </cfRule>
    <cfRule type="expression" dxfId="6330" priority="258" stopIfTrue="1">
      <formula>AP23=CléCongés</formula>
    </cfRule>
  </conditionalFormatting>
  <conditionalFormatting sqref="AP27">
    <cfRule type="expression" priority="247" stopIfTrue="1">
      <formula>AP27=""</formula>
    </cfRule>
    <cfRule type="expression" dxfId="6329" priority="248" stopIfTrue="1">
      <formula>AP27=CléPersonnalisée2</formula>
    </cfRule>
    <cfRule type="expression" dxfId="6328" priority="249" stopIfTrue="1">
      <formula>AP27=CléPersonnalisée1</formula>
    </cfRule>
    <cfRule type="expression" dxfId="6327" priority="250" stopIfTrue="1">
      <formula>AP27=CléMaladie</formula>
    </cfRule>
    <cfRule type="expression" dxfId="6326" priority="251" stopIfTrue="1">
      <formula>AP27=CléPersonnelle</formula>
    </cfRule>
    <cfRule type="expression" dxfId="6325" priority="252" stopIfTrue="1">
      <formula>AP27=CléCongés</formula>
    </cfRule>
  </conditionalFormatting>
  <conditionalFormatting sqref="AP31">
    <cfRule type="expression" priority="241" stopIfTrue="1">
      <formula>AP31=""</formula>
    </cfRule>
    <cfRule type="expression" dxfId="6324" priority="242" stopIfTrue="1">
      <formula>AP31=CléPersonnalisée2</formula>
    </cfRule>
    <cfRule type="expression" dxfId="6323" priority="243" stopIfTrue="1">
      <formula>AP31=CléPersonnalisée1</formula>
    </cfRule>
    <cfRule type="expression" dxfId="6322" priority="244" stopIfTrue="1">
      <formula>AP31=CléMaladie</formula>
    </cfRule>
    <cfRule type="expression" dxfId="6321" priority="245" stopIfTrue="1">
      <formula>AP31=CléPersonnelle</formula>
    </cfRule>
    <cfRule type="expression" dxfId="6320" priority="246" stopIfTrue="1">
      <formula>AP31=CléCongés</formula>
    </cfRule>
  </conditionalFormatting>
  <conditionalFormatting sqref="AP35">
    <cfRule type="expression" priority="235" stopIfTrue="1">
      <formula>AP35=""</formula>
    </cfRule>
    <cfRule type="expression" dxfId="6319" priority="236" stopIfTrue="1">
      <formula>AP35=CléPersonnalisée2</formula>
    </cfRule>
    <cfRule type="expression" dxfId="6318" priority="237" stopIfTrue="1">
      <formula>AP35=CléPersonnalisée1</formula>
    </cfRule>
    <cfRule type="expression" dxfId="6317" priority="238" stopIfTrue="1">
      <formula>AP35=CléMaladie</formula>
    </cfRule>
    <cfRule type="expression" dxfId="6316" priority="239" stopIfTrue="1">
      <formula>AP35=CléPersonnelle</formula>
    </cfRule>
    <cfRule type="expression" dxfId="6315" priority="240" stopIfTrue="1">
      <formula>AP35=CléCongés</formula>
    </cfRule>
  </conditionalFormatting>
  <conditionalFormatting sqref="AP39">
    <cfRule type="expression" priority="229" stopIfTrue="1">
      <formula>AP39=""</formula>
    </cfRule>
    <cfRule type="expression" dxfId="6314" priority="230" stopIfTrue="1">
      <formula>AP39=CléPersonnalisée2</formula>
    </cfRule>
    <cfRule type="expression" dxfId="6313" priority="231" stopIfTrue="1">
      <formula>AP39=CléPersonnalisée1</formula>
    </cfRule>
    <cfRule type="expression" dxfId="6312" priority="232" stopIfTrue="1">
      <formula>AP39=CléMaladie</formula>
    </cfRule>
    <cfRule type="expression" dxfId="6311" priority="233" stopIfTrue="1">
      <formula>AP39=CléPersonnelle</formula>
    </cfRule>
    <cfRule type="expression" dxfId="6310" priority="234" stopIfTrue="1">
      <formula>AP39=CléCongés</formula>
    </cfRule>
  </conditionalFormatting>
  <conditionalFormatting sqref="AP43">
    <cfRule type="expression" priority="223" stopIfTrue="1">
      <formula>AP43=""</formula>
    </cfRule>
    <cfRule type="expression" dxfId="6309" priority="224" stopIfTrue="1">
      <formula>AP43=CléPersonnalisée2</formula>
    </cfRule>
    <cfRule type="expression" dxfId="6308" priority="225" stopIfTrue="1">
      <formula>AP43=CléPersonnalisée1</formula>
    </cfRule>
    <cfRule type="expression" dxfId="6307" priority="226" stopIfTrue="1">
      <formula>AP43=CléMaladie</formula>
    </cfRule>
    <cfRule type="expression" dxfId="6306" priority="227" stopIfTrue="1">
      <formula>AP43=CléPersonnelle</formula>
    </cfRule>
    <cfRule type="expression" dxfId="6305" priority="228" stopIfTrue="1">
      <formula>AP43=CléCongés</formula>
    </cfRule>
  </conditionalFormatting>
  <conditionalFormatting sqref="AP47">
    <cfRule type="expression" priority="217" stopIfTrue="1">
      <formula>AP47=""</formula>
    </cfRule>
    <cfRule type="expression" dxfId="6304" priority="218" stopIfTrue="1">
      <formula>AP47=CléPersonnalisée2</formula>
    </cfRule>
    <cfRule type="expression" dxfId="6303" priority="219" stopIfTrue="1">
      <formula>AP47=CléPersonnalisée1</formula>
    </cfRule>
    <cfRule type="expression" dxfId="6302" priority="220" stopIfTrue="1">
      <formula>AP47=CléMaladie</formula>
    </cfRule>
    <cfRule type="expression" dxfId="6301" priority="221" stopIfTrue="1">
      <formula>AP47=CléPersonnelle</formula>
    </cfRule>
    <cfRule type="expression" dxfId="6300" priority="222" stopIfTrue="1">
      <formula>AP47=CléCongés</formula>
    </cfRule>
  </conditionalFormatting>
  <conditionalFormatting sqref="AP51">
    <cfRule type="expression" priority="211" stopIfTrue="1">
      <formula>AP51=""</formula>
    </cfRule>
    <cfRule type="expression" dxfId="6299" priority="212" stopIfTrue="1">
      <formula>AP51=CléPersonnalisée2</formula>
    </cfRule>
    <cfRule type="expression" dxfId="6298" priority="213" stopIfTrue="1">
      <formula>AP51=CléPersonnalisée1</formula>
    </cfRule>
    <cfRule type="expression" dxfId="6297" priority="214" stopIfTrue="1">
      <formula>AP51=CléMaladie</formula>
    </cfRule>
    <cfRule type="expression" dxfId="6296" priority="215" stopIfTrue="1">
      <formula>AP51=CléPersonnelle</formula>
    </cfRule>
    <cfRule type="expression" dxfId="6295" priority="216" stopIfTrue="1">
      <formula>AP51=CléCongés</formula>
    </cfRule>
  </conditionalFormatting>
  <conditionalFormatting sqref="AP55">
    <cfRule type="expression" priority="205" stopIfTrue="1">
      <formula>AP55=""</formula>
    </cfRule>
    <cfRule type="expression" dxfId="6294" priority="206" stopIfTrue="1">
      <formula>AP55=CléPersonnalisée2</formula>
    </cfRule>
    <cfRule type="expression" dxfId="6293" priority="207" stopIfTrue="1">
      <formula>AP55=CléPersonnalisée1</formula>
    </cfRule>
    <cfRule type="expression" dxfId="6292" priority="208" stopIfTrue="1">
      <formula>AP55=CléMaladie</formula>
    </cfRule>
    <cfRule type="expression" dxfId="6291" priority="209" stopIfTrue="1">
      <formula>AP55=CléPersonnelle</formula>
    </cfRule>
    <cfRule type="expression" dxfId="6290" priority="210" stopIfTrue="1">
      <formula>AP55=CléCongés</formula>
    </cfRule>
  </conditionalFormatting>
  <conditionalFormatting sqref="AP59">
    <cfRule type="expression" priority="199" stopIfTrue="1">
      <formula>AP59=""</formula>
    </cfRule>
    <cfRule type="expression" dxfId="6289" priority="200" stopIfTrue="1">
      <formula>AP59=CléPersonnalisée2</formula>
    </cfRule>
    <cfRule type="expression" dxfId="6288" priority="201" stopIfTrue="1">
      <formula>AP59=CléPersonnalisée1</formula>
    </cfRule>
    <cfRule type="expression" dxfId="6287" priority="202" stopIfTrue="1">
      <formula>AP59=CléMaladie</formula>
    </cfRule>
    <cfRule type="expression" dxfId="6286" priority="203" stopIfTrue="1">
      <formula>AP59=CléPersonnelle</formula>
    </cfRule>
    <cfRule type="expression" dxfId="6285" priority="204" stopIfTrue="1">
      <formula>AP59=CléCongés</formula>
    </cfRule>
  </conditionalFormatting>
  <conditionalFormatting sqref="AP63">
    <cfRule type="expression" priority="193" stopIfTrue="1">
      <formula>AP63=""</formula>
    </cfRule>
    <cfRule type="expression" dxfId="6284" priority="194" stopIfTrue="1">
      <formula>AP63=CléPersonnalisée2</formula>
    </cfRule>
    <cfRule type="expression" dxfId="6283" priority="195" stopIfTrue="1">
      <formula>AP63=CléPersonnalisée1</formula>
    </cfRule>
    <cfRule type="expression" dxfId="6282" priority="196" stopIfTrue="1">
      <formula>AP63=CléMaladie</formula>
    </cfRule>
    <cfRule type="expression" dxfId="6281" priority="197" stopIfTrue="1">
      <formula>AP63=CléPersonnelle</formula>
    </cfRule>
    <cfRule type="expression" dxfId="6280" priority="198" stopIfTrue="1">
      <formula>AP63=CléCongés</formula>
    </cfRule>
  </conditionalFormatting>
  <conditionalFormatting sqref="AP67">
    <cfRule type="expression" priority="187" stopIfTrue="1">
      <formula>AP67=""</formula>
    </cfRule>
    <cfRule type="expression" dxfId="6279" priority="188" stopIfTrue="1">
      <formula>AP67=CléPersonnalisée2</formula>
    </cfRule>
    <cfRule type="expression" dxfId="6278" priority="189" stopIfTrue="1">
      <formula>AP67=CléPersonnalisée1</formula>
    </cfRule>
    <cfRule type="expression" dxfId="6277" priority="190" stopIfTrue="1">
      <formula>AP67=CléMaladie</formula>
    </cfRule>
    <cfRule type="expression" dxfId="6276" priority="191" stopIfTrue="1">
      <formula>AP67=CléPersonnelle</formula>
    </cfRule>
    <cfRule type="expression" dxfId="6275" priority="192" stopIfTrue="1">
      <formula>AP67=CléCongés</formula>
    </cfRule>
  </conditionalFormatting>
  <conditionalFormatting sqref="AP71">
    <cfRule type="expression" priority="181" stopIfTrue="1">
      <formula>AP71=""</formula>
    </cfRule>
    <cfRule type="expression" dxfId="6274" priority="182" stopIfTrue="1">
      <formula>AP71=CléPersonnalisée2</formula>
    </cfRule>
    <cfRule type="expression" dxfId="6273" priority="183" stopIfTrue="1">
      <formula>AP71=CléPersonnalisée1</formula>
    </cfRule>
    <cfRule type="expression" dxfId="6272" priority="184" stopIfTrue="1">
      <formula>AP71=CléMaladie</formula>
    </cfRule>
    <cfRule type="expression" dxfId="6271" priority="185" stopIfTrue="1">
      <formula>AP71=CléPersonnelle</formula>
    </cfRule>
    <cfRule type="expression" dxfId="6270" priority="186" stopIfTrue="1">
      <formula>AP71=CléCongés</formula>
    </cfRule>
  </conditionalFormatting>
  <conditionalFormatting sqref="AP75">
    <cfRule type="expression" priority="175" stopIfTrue="1">
      <formula>AP75=""</formula>
    </cfRule>
    <cfRule type="expression" dxfId="6269" priority="176" stopIfTrue="1">
      <formula>AP75=CléPersonnalisée2</formula>
    </cfRule>
    <cfRule type="expression" dxfId="6268" priority="177" stopIfTrue="1">
      <formula>AP75=CléPersonnalisée1</formula>
    </cfRule>
    <cfRule type="expression" dxfId="6267" priority="178" stopIfTrue="1">
      <formula>AP75=CléMaladie</formula>
    </cfRule>
    <cfRule type="expression" dxfId="6266" priority="179" stopIfTrue="1">
      <formula>AP75=CléPersonnelle</formula>
    </cfRule>
    <cfRule type="expression" dxfId="6265" priority="180" stopIfTrue="1">
      <formula>AP75=CléCongés</formula>
    </cfRule>
  </conditionalFormatting>
  <conditionalFormatting sqref="AP79">
    <cfRule type="expression" priority="169" stopIfTrue="1">
      <formula>AP79=""</formula>
    </cfRule>
    <cfRule type="expression" dxfId="6264" priority="170" stopIfTrue="1">
      <formula>AP79=CléPersonnalisée2</formula>
    </cfRule>
    <cfRule type="expression" dxfId="6263" priority="171" stopIfTrue="1">
      <formula>AP79=CléPersonnalisée1</formula>
    </cfRule>
    <cfRule type="expression" dxfId="6262" priority="172" stopIfTrue="1">
      <formula>AP79=CléMaladie</formula>
    </cfRule>
    <cfRule type="expression" dxfId="6261" priority="173" stopIfTrue="1">
      <formula>AP79=CléPersonnelle</formula>
    </cfRule>
    <cfRule type="expression" dxfId="6260" priority="174" stopIfTrue="1">
      <formula>AP79=CléCongés</formula>
    </cfRule>
  </conditionalFormatting>
  <conditionalFormatting sqref="AP83">
    <cfRule type="expression" priority="163" stopIfTrue="1">
      <formula>AP83=""</formula>
    </cfRule>
    <cfRule type="expression" dxfId="6259" priority="164" stopIfTrue="1">
      <formula>AP83=CléPersonnalisée2</formula>
    </cfRule>
    <cfRule type="expression" dxfId="6258" priority="165" stopIfTrue="1">
      <formula>AP83=CléPersonnalisée1</formula>
    </cfRule>
    <cfRule type="expression" dxfId="6257" priority="166" stopIfTrue="1">
      <formula>AP83=CléMaladie</formula>
    </cfRule>
    <cfRule type="expression" dxfId="6256" priority="167" stopIfTrue="1">
      <formula>AP83=CléPersonnelle</formula>
    </cfRule>
    <cfRule type="expression" dxfId="6255" priority="168" stopIfTrue="1">
      <formula>AP83=CléCongés</formula>
    </cfRule>
  </conditionalFormatting>
  <conditionalFormatting sqref="AP87">
    <cfRule type="expression" priority="157" stopIfTrue="1">
      <formula>AP87=""</formula>
    </cfRule>
    <cfRule type="expression" dxfId="6254" priority="158" stopIfTrue="1">
      <formula>AP87=CléPersonnalisée2</formula>
    </cfRule>
    <cfRule type="expression" dxfId="6253" priority="159" stopIfTrue="1">
      <formula>AP87=CléPersonnalisée1</formula>
    </cfRule>
    <cfRule type="expression" dxfId="6252" priority="160" stopIfTrue="1">
      <formula>AP87=CléMaladie</formula>
    </cfRule>
    <cfRule type="expression" dxfId="6251" priority="161" stopIfTrue="1">
      <formula>AP87=CléPersonnelle</formula>
    </cfRule>
    <cfRule type="expression" dxfId="6250" priority="162" stopIfTrue="1">
      <formula>AP87=CléCongés</formula>
    </cfRule>
  </conditionalFormatting>
  <conditionalFormatting sqref="AP91">
    <cfRule type="expression" priority="151" stopIfTrue="1">
      <formula>AP91=""</formula>
    </cfRule>
    <cfRule type="expression" dxfId="6249" priority="152" stopIfTrue="1">
      <formula>AP91=CléPersonnalisée2</formula>
    </cfRule>
    <cfRule type="expression" dxfId="6248" priority="153" stopIfTrue="1">
      <formula>AP91=CléPersonnalisée1</formula>
    </cfRule>
    <cfRule type="expression" dxfId="6247" priority="154" stopIfTrue="1">
      <formula>AP91=CléMaladie</formula>
    </cfRule>
    <cfRule type="expression" dxfId="6246" priority="155" stopIfTrue="1">
      <formula>AP91=CléPersonnelle</formula>
    </cfRule>
    <cfRule type="expression" dxfId="6245" priority="156" stopIfTrue="1">
      <formula>AP91=CléCongés</formula>
    </cfRule>
  </conditionalFormatting>
  <conditionalFormatting sqref="AP95">
    <cfRule type="expression" priority="145" stopIfTrue="1">
      <formula>AP95=""</formula>
    </cfRule>
    <cfRule type="expression" dxfId="6244" priority="146" stopIfTrue="1">
      <formula>AP95=CléPersonnalisée2</formula>
    </cfRule>
    <cfRule type="expression" dxfId="6243" priority="147" stopIfTrue="1">
      <formula>AP95=CléPersonnalisée1</formula>
    </cfRule>
    <cfRule type="expression" dxfId="6242" priority="148" stopIfTrue="1">
      <formula>AP95=CléMaladie</formula>
    </cfRule>
    <cfRule type="expression" dxfId="6241" priority="149" stopIfTrue="1">
      <formula>AP95=CléPersonnelle</formula>
    </cfRule>
    <cfRule type="expression" dxfId="6240" priority="150" stopIfTrue="1">
      <formula>AP95=CléCongés</formula>
    </cfRule>
  </conditionalFormatting>
  <conditionalFormatting sqref="AP99">
    <cfRule type="expression" priority="139" stopIfTrue="1">
      <formula>AP99=""</formula>
    </cfRule>
    <cfRule type="expression" dxfId="6239" priority="140" stopIfTrue="1">
      <formula>AP99=CléPersonnalisée2</formula>
    </cfRule>
    <cfRule type="expression" dxfId="6238" priority="141" stopIfTrue="1">
      <formula>AP99=CléPersonnalisée1</formula>
    </cfRule>
    <cfRule type="expression" dxfId="6237" priority="142" stopIfTrue="1">
      <formula>AP99=CléMaladie</formula>
    </cfRule>
    <cfRule type="expression" dxfId="6236" priority="143" stopIfTrue="1">
      <formula>AP99=CléPersonnelle</formula>
    </cfRule>
    <cfRule type="expression" dxfId="6235" priority="144" stopIfTrue="1">
      <formula>AP99=CléCongés</formula>
    </cfRule>
  </conditionalFormatting>
  <conditionalFormatting sqref="AP103">
    <cfRule type="expression" priority="133" stopIfTrue="1">
      <formula>AP103=""</formula>
    </cfRule>
    <cfRule type="expression" dxfId="6234" priority="134" stopIfTrue="1">
      <formula>AP103=CléPersonnalisée2</formula>
    </cfRule>
    <cfRule type="expression" dxfId="6233" priority="135" stopIfTrue="1">
      <formula>AP103=CléPersonnalisée1</formula>
    </cfRule>
    <cfRule type="expression" dxfId="6232" priority="136" stopIfTrue="1">
      <formula>AP103=CléMaladie</formula>
    </cfRule>
    <cfRule type="expression" dxfId="6231" priority="137" stopIfTrue="1">
      <formula>AP103=CléPersonnelle</formula>
    </cfRule>
    <cfRule type="expression" dxfId="6230" priority="138" stopIfTrue="1">
      <formula>AP103=CléCongés</formula>
    </cfRule>
  </conditionalFormatting>
  <conditionalFormatting sqref="AP107">
    <cfRule type="expression" priority="127" stopIfTrue="1">
      <formula>AP107=""</formula>
    </cfRule>
    <cfRule type="expression" dxfId="6229" priority="128" stopIfTrue="1">
      <formula>AP107=CléPersonnalisée2</formula>
    </cfRule>
    <cfRule type="expression" dxfId="6228" priority="129" stopIfTrue="1">
      <formula>AP107=CléPersonnalisée1</formula>
    </cfRule>
    <cfRule type="expression" dxfId="6227" priority="130" stopIfTrue="1">
      <formula>AP107=CléMaladie</formula>
    </cfRule>
    <cfRule type="expression" dxfId="6226" priority="131" stopIfTrue="1">
      <formula>AP107=CléPersonnelle</formula>
    </cfRule>
    <cfRule type="expression" dxfId="6225" priority="132" stopIfTrue="1">
      <formula>AP107=CléCongés</formula>
    </cfRule>
  </conditionalFormatting>
  <conditionalFormatting sqref="AP111">
    <cfRule type="expression" priority="121" stopIfTrue="1">
      <formula>AP111=""</formula>
    </cfRule>
    <cfRule type="expression" dxfId="6224" priority="122" stopIfTrue="1">
      <formula>AP111=CléPersonnalisée2</formula>
    </cfRule>
    <cfRule type="expression" dxfId="6223" priority="123" stopIfTrue="1">
      <formula>AP111=CléPersonnalisée1</formula>
    </cfRule>
    <cfRule type="expression" dxfId="6222" priority="124" stopIfTrue="1">
      <formula>AP111=CléMaladie</formula>
    </cfRule>
    <cfRule type="expression" dxfId="6221" priority="125" stopIfTrue="1">
      <formula>AP111=CléPersonnelle</formula>
    </cfRule>
    <cfRule type="expression" dxfId="6220" priority="126" stopIfTrue="1">
      <formula>AP111=CléCongés</formula>
    </cfRule>
  </conditionalFormatting>
  <conditionalFormatting sqref="AP115">
    <cfRule type="expression" priority="115" stopIfTrue="1">
      <formula>AP115=""</formula>
    </cfRule>
    <cfRule type="expression" dxfId="6219" priority="116" stopIfTrue="1">
      <formula>AP115=CléPersonnalisée2</formula>
    </cfRule>
    <cfRule type="expression" dxfId="6218" priority="117" stopIfTrue="1">
      <formula>AP115=CléPersonnalisée1</formula>
    </cfRule>
    <cfRule type="expression" dxfId="6217" priority="118" stopIfTrue="1">
      <formula>AP115=CléMaladie</formula>
    </cfRule>
    <cfRule type="expression" dxfId="6216" priority="119" stopIfTrue="1">
      <formula>AP115=CléPersonnelle</formula>
    </cfRule>
    <cfRule type="expression" dxfId="6215" priority="120" stopIfTrue="1">
      <formula>AP115=CléCongés</formula>
    </cfRule>
  </conditionalFormatting>
  <conditionalFormatting sqref="AP123">
    <cfRule type="expression" priority="109" stopIfTrue="1">
      <formula>AP123=""</formula>
    </cfRule>
    <cfRule type="expression" dxfId="6214" priority="110" stopIfTrue="1">
      <formula>AP123=CléPersonnalisée2</formula>
    </cfRule>
    <cfRule type="expression" dxfId="6213" priority="111" stopIfTrue="1">
      <formula>AP123=CléPersonnalisée1</formula>
    </cfRule>
    <cfRule type="expression" dxfId="6212" priority="112" stopIfTrue="1">
      <formula>AP123=CléMaladie</formula>
    </cfRule>
    <cfRule type="expression" dxfId="6211" priority="113" stopIfTrue="1">
      <formula>AP123=CléPersonnelle</formula>
    </cfRule>
    <cfRule type="expression" dxfId="6210" priority="114" stopIfTrue="1">
      <formula>AP123=CléCongés</formula>
    </cfRule>
  </conditionalFormatting>
  <conditionalFormatting sqref="AM95">
    <cfRule type="expression" priority="103" stopIfTrue="1">
      <formula>AM95=""</formula>
    </cfRule>
    <cfRule type="expression" dxfId="6209" priority="104" stopIfTrue="1">
      <formula>AM95=CléPersonnalisée2</formula>
    </cfRule>
    <cfRule type="expression" dxfId="6208" priority="105" stopIfTrue="1">
      <formula>AM95=CléPersonnalisée1</formula>
    </cfRule>
    <cfRule type="expression" dxfId="6207" priority="106" stopIfTrue="1">
      <formula>AM95=CléMaladie</formula>
    </cfRule>
    <cfRule type="expression" dxfId="6206" priority="107" stopIfTrue="1">
      <formula>AM95=CléPersonnelle</formula>
    </cfRule>
    <cfRule type="expression" dxfId="6205" priority="108" stopIfTrue="1">
      <formula>AM95=CléCongés</formula>
    </cfRule>
  </conditionalFormatting>
  <conditionalFormatting sqref="AO115">
    <cfRule type="expression" priority="97" stopIfTrue="1">
      <formula>AO115=""</formula>
    </cfRule>
    <cfRule type="expression" dxfId="6204" priority="98" stopIfTrue="1">
      <formula>AO115=CléPersonnalisée2</formula>
    </cfRule>
    <cfRule type="expression" dxfId="6203" priority="99" stopIfTrue="1">
      <formula>AO115=CléPersonnalisée1</formula>
    </cfRule>
    <cfRule type="expression" dxfId="6202" priority="100" stopIfTrue="1">
      <formula>AO115=CléMaladie</formula>
    </cfRule>
    <cfRule type="expression" dxfId="6201" priority="101" stopIfTrue="1">
      <formula>AO115=CléPersonnelle</formula>
    </cfRule>
    <cfRule type="expression" dxfId="6200" priority="102" stopIfTrue="1">
      <formula>AO115=CléCongés</formula>
    </cfRule>
  </conditionalFormatting>
  <conditionalFormatting sqref="AP119">
    <cfRule type="expression" priority="91" stopIfTrue="1">
      <formula>AP119=""</formula>
    </cfRule>
    <cfRule type="expression" dxfId="6199" priority="92" stopIfTrue="1">
      <formula>AP119=CléPersonnalisée2</formula>
    </cfRule>
    <cfRule type="expression" dxfId="6198" priority="93" stopIfTrue="1">
      <formula>AP119=CléPersonnalisée1</formula>
    </cfRule>
    <cfRule type="expression" dxfId="6197" priority="94" stopIfTrue="1">
      <formula>AP119=CléMaladie</formula>
    </cfRule>
    <cfRule type="expression" dxfId="6196" priority="95" stopIfTrue="1">
      <formula>AP119=CléPersonnelle</formula>
    </cfRule>
    <cfRule type="expression" dxfId="6195" priority="96" stopIfTrue="1">
      <formula>AP119=CléCongés</formula>
    </cfRule>
  </conditionalFormatting>
  <conditionalFormatting sqref="H45:I46">
    <cfRule type="expression" priority="85" stopIfTrue="1">
      <formula>H45=""</formula>
    </cfRule>
    <cfRule type="expression" dxfId="6194" priority="86" stopIfTrue="1">
      <formula>H45=CléPersonnalisée2</formula>
    </cfRule>
    <cfRule type="expression" dxfId="6193" priority="87" stopIfTrue="1">
      <formula>H45=CléPersonnalisée1</formula>
    </cfRule>
    <cfRule type="expression" dxfId="6192" priority="88" stopIfTrue="1">
      <formula>H45=CléMaladie</formula>
    </cfRule>
    <cfRule type="expression" dxfId="6191" priority="89" stopIfTrue="1">
      <formula>H45=CléPersonnelle</formula>
    </cfRule>
    <cfRule type="expression" dxfId="6190" priority="90" stopIfTrue="1">
      <formula>H45=CléCongés</formula>
    </cfRule>
  </conditionalFormatting>
  <conditionalFormatting sqref="H47:I47">
    <cfRule type="expression" priority="79" stopIfTrue="1">
      <formula>H47=""</formula>
    </cfRule>
    <cfRule type="expression" dxfId="6189" priority="80" stopIfTrue="1">
      <formula>H47=CléPersonnalisée2</formula>
    </cfRule>
    <cfRule type="expression" dxfId="6188" priority="81" stopIfTrue="1">
      <formula>H47=CléPersonnalisée1</formula>
    </cfRule>
    <cfRule type="expression" dxfId="6187" priority="82" stopIfTrue="1">
      <formula>H47=CléMaladie</formula>
    </cfRule>
    <cfRule type="expression" dxfId="6186" priority="83" stopIfTrue="1">
      <formula>H47=CléPersonnelle</formula>
    </cfRule>
    <cfRule type="expression" dxfId="6185" priority="84" stopIfTrue="1">
      <formula>H47=CléCongés</formula>
    </cfRule>
  </conditionalFormatting>
  <conditionalFormatting sqref="D81:G82">
    <cfRule type="expression" priority="73" stopIfTrue="1">
      <formula>D81=""</formula>
    </cfRule>
    <cfRule type="expression" dxfId="6184" priority="74" stopIfTrue="1">
      <formula>D81=CléPersonnalisée2</formula>
    </cfRule>
    <cfRule type="expression" dxfId="6183" priority="75" stopIfTrue="1">
      <formula>D81=CléPersonnalisée1</formula>
    </cfRule>
    <cfRule type="expression" dxfId="6182" priority="76" stopIfTrue="1">
      <formula>D81=CléMaladie</formula>
    </cfRule>
    <cfRule type="expression" dxfId="6181" priority="77" stopIfTrue="1">
      <formula>D81=CléPersonnelle</formula>
    </cfRule>
    <cfRule type="expression" dxfId="6180" priority="78" stopIfTrue="1">
      <formula>D81=CléCongés</formula>
    </cfRule>
  </conditionalFormatting>
  <conditionalFormatting sqref="D83:G83">
    <cfRule type="expression" priority="67" stopIfTrue="1">
      <formula>D83=""</formula>
    </cfRule>
    <cfRule type="expression" dxfId="6179" priority="68" stopIfTrue="1">
      <formula>D83=CléPersonnalisée2</formula>
    </cfRule>
    <cfRule type="expression" dxfId="6178" priority="69" stopIfTrue="1">
      <formula>D83=CléPersonnalisée1</formula>
    </cfRule>
    <cfRule type="expression" dxfId="6177" priority="70" stopIfTrue="1">
      <formula>D83=CléMaladie</formula>
    </cfRule>
    <cfRule type="expression" dxfId="6176" priority="71" stopIfTrue="1">
      <formula>D83=CléPersonnelle</formula>
    </cfRule>
    <cfRule type="expression" dxfId="6175" priority="72" stopIfTrue="1">
      <formula>D83=CléCongés</formula>
    </cfRule>
  </conditionalFormatting>
  <conditionalFormatting sqref="D89:E90">
    <cfRule type="expression" priority="61" stopIfTrue="1">
      <formula>D89=""</formula>
    </cfRule>
    <cfRule type="expression" dxfId="6174" priority="62" stopIfTrue="1">
      <formula>D89=CléPersonnalisée2</formula>
    </cfRule>
    <cfRule type="expression" dxfId="6173" priority="63" stopIfTrue="1">
      <formula>D89=CléPersonnalisée1</formula>
    </cfRule>
    <cfRule type="expression" dxfId="6172" priority="64" stopIfTrue="1">
      <formula>D89=CléMaladie</formula>
    </cfRule>
    <cfRule type="expression" dxfId="6171" priority="65" stopIfTrue="1">
      <formula>D89=CléPersonnelle</formula>
    </cfRule>
    <cfRule type="expression" dxfId="6170" priority="66" stopIfTrue="1">
      <formula>D89=CléCongés</formula>
    </cfRule>
  </conditionalFormatting>
  <conditionalFormatting sqref="D91:E91">
    <cfRule type="expression" priority="55" stopIfTrue="1">
      <formula>D91=""</formula>
    </cfRule>
    <cfRule type="expression" dxfId="6169" priority="56" stopIfTrue="1">
      <formula>D91=CléPersonnalisée2</formula>
    </cfRule>
    <cfRule type="expression" dxfId="6168" priority="57" stopIfTrue="1">
      <formula>D91=CléPersonnalisée1</formula>
    </cfRule>
    <cfRule type="expression" dxfId="6167" priority="58" stopIfTrue="1">
      <formula>D91=CléMaladie</formula>
    </cfRule>
    <cfRule type="expression" dxfId="6166" priority="59" stopIfTrue="1">
      <formula>D91=CléPersonnelle</formula>
    </cfRule>
    <cfRule type="expression" dxfId="6165" priority="60" stopIfTrue="1">
      <formula>D91=CléCongés</formula>
    </cfRule>
  </conditionalFormatting>
  <conditionalFormatting sqref="D101:E102">
    <cfRule type="expression" priority="49" stopIfTrue="1">
      <formula>D101=""</formula>
    </cfRule>
    <cfRule type="expression" dxfId="6164" priority="50" stopIfTrue="1">
      <formula>D101=CléPersonnalisée2</formula>
    </cfRule>
    <cfRule type="expression" dxfId="6163" priority="51" stopIfTrue="1">
      <formula>D101=CléPersonnalisée1</formula>
    </cfRule>
    <cfRule type="expression" dxfId="6162" priority="52" stopIfTrue="1">
      <formula>D101=CléMaladie</formula>
    </cfRule>
    <cfRule type="expression" dxfId="6161" priority="53" stopIfTrue="1">
      <formula>D101=CléPersonnelle</formula>
    </cfRule>
    <cfRule type="expression" dxfId="6160" priority="54" stopIfTrue="1">
      <formula>D101=CléCongés</formula>
    </cfRule>
  </conditionalFormatting>
  <conditionalFormatting sqref="D103:E103">
    <cfRule type="expression" priority="43" stopIfTrue="1">
      <formula>D103=""</formula>
    </cfRule>
    <cfRule type="expression" dxfId="6159" priority="44" stopIfTrue="1">
      <formula>D103=CléPersonnalisée2</formula>
    </cfRule>
    <cfRule type="expression" dxfId="6158" priority="45" stopIfTrue="1">
      <formula>D103=CléPersonnalisée1</formula>
    </cfRule>
    <cfRule type="expression" dxfId="6157" priority="46" stopIfTrue="1">
      <formula>D103=CléMaladie</formula>
    </cfRule>
    <cfRule type="expression" dxfId="6156" priority="47" stopIfTrue="1">
      <formula>D103=CléPersonnelle</formula>
    </cfRule>
    <cfRule type="expression" dxfId="6155" priority="48" stopIfTrue="1">
      <formula>D103=CléCongés</formula>
    </cfRule>
  </conditionalFormatting>
  <conditionalFormatting sqref="AM97:AP98">
    <cfRule type="expression" priority="37" stopIfTrue="1">
      <formula>AM97=""</formula>
    </cfRule>
    <cfRule type="expression" dxfId="6154" priority="38" stopIfTrue="1">
      <formula>AM97=CléPersonnalisée2</formula>
    </cfRule>
    <cfRule type="expression" dxfId="6153" priority="39" stopIfTrue="1">
      <formula>AM97=CléPersonnalisée1</formula>
    </cfRule>
    <cfRule type="expression" dxfId="6152" priority="40" stopIfTrue="1">
      <formula>AM97=CléMaladie</formula>
    </cfRule>
    <cfRule type="expression" dxfId="6151" priority="41" stopIfTrue="1">
      <formula>AM97=CléPersonnelle</formula>
    </cfRule>
    <cfRule type="expression" dxfId="6150" priority="42" stopIfTrue="1">
      <formula>AM97=CléCongés</formula>
    </cfRule>
  </conditionalFormatting>
  <conditionalFormatting sqref="AQ97:AR98">
    <cfRule type="expression" priority="31" stopIfTrue="1">
      <formula>AQ97=""</formula>
    </cfRule>
    <cfRule type="expression" dxfId="6149" priority="32" stopIfTrue="1">
      <formula>AQ97=CléPersonnalisée2</formula>
    </cfRule>
    <cfRule type="expression" dxfId="6148" priority="33" stopIfTrue="1">
      <formula>AQ97=CléPersonnalisée1</formula>
    </cfRule>
    <cfRule type="expression" dxfId="6147" priority="34" stopIfTrue="1">
      <formula>AQ97=CléMaladie</formula>
    </cfRule>
    <cfRule type="expression" dxfId="6146" priority="35" stopIfTrue="1">
      <formula>AQ97=CléPersonnelle</formula>
    </cfRule>
    <cfRule type="expression" dxfId="6145" priority="36" stopIfTrue="1">
      <formula>AQ97=CléCongés</formula>
    </cfRule>
  </conditionalFormatting>
  <conditionalFormatting sqref="AM101:AP102">
    <cfRule type="expression" priority="25" stopIfTrue="1">
      <formula>AM101=""</formula>
    </cfRule>
    <cfRule type="expression" dxfId="6144" priority="26" stopIfTrue="1">
      <formula>AM101=CléPersonnalisée2</formula>
    </cfRule>
    <cfRule type="expression" dxfId="6143" priority="27" stopIfTrue="1">
      <formula>AM101=CléPersonnalisée1</formula>
    </cfRule>
    <cfRule type="expression" dxfId="6142" priority="28" stopIfTrue="1">
      <formula>AM101=CléMaladie</formula>
    </cfRule>
    <cfRule type="expression" dxfId="6141" priority="29" stopIfTrue="1">
      <formula>AM101=CléPersonnelle</formula>
    </cfRule>
    <cfRule type="expression" dxfId="6140" priority="30" stopIfTrue="1">
      <formula>AM101=CléCongés</formula>
    </cfRule>
  </conditionalFormatting>
  <conditionalFormatting sqref="AQ101:AR102">
    <cfRule type="expression" priority="19" stopIfTrue="1">
      <formula>AQ101=""</formula>
    </cfRule>
    <cfRule type="expression" dxfId="6139" priority="20" stopIfTrue="1">
      <formula>AQ101=CléPersonnalisée2</formula>
    </cfRule>
    <cfRule type="expression" dxfId="6138" priority="21" stopIfTrue="1">
      <formula>AQ101=CléPersonnalisée1</formula>
    </cfRule>
    <cfRule type="expression" dxfId="6137" priority="22" stopIfTrue="1">
      <formula>AQ101=CléMaladie</formula>
    </cfRule>
    <cfRule type="expression" dxfId="6136" priority="23" stopIfTrue="1">
      <formula>AQ101=CléPersonnelle</formula>
    </cfRule>
    <cfRule type="expression" dxfId="6135" priority="24" stopIfTrue="1">
      <formula>AQ101=CléCongés</formula>
    </cfRule>
  </conditionalFormatting>
  <conditionalFormatting sqref="AS13 AS17 AS21 AS25 AS29 AS33 AS37 AS41 AS45 AS49 AS53 AS57 AS61 AS65 AS69 AS73 AS77 AS81 AS85 AS89 AS93 AS97 AS101 AS105 AS109 AS113 AS117 AS121">
    <cfRule type="expression" priority="13" stopIfTrue="1">
      <formula>AS13=""</formula>
    </cfRule>
    <cfRule type="expression" dxfId="84" priority="14" stopIfTrue="1">
      <formula>AS13=CléPersonnalisée2</formula>
    </cfRule>
    <cfRule type="expression" dxfId="83" priority="15" stopIfTrue="1">
      <formula>AS13=CléPersonnalisée1</formula>
    </cfRule>
    <cfRule type="expression" dxfId="82" priority="16" stopIfTrue="1">
      <formula>AS13=CléMaladie</formula>
    </cfRule>
    <cfRule type="expression" dxfId="81" priority="17" stopIfTrue="1">
      <formula>AS13=CléPersonnelle</formula>
    </cfRule>
    <cfRule type="expression" dxfId="80" priority="18" stopIfTrue="1">
      <formula>AS13=CléCongés</formula>
    </cfRule>
  </conditionalFormatting>
  <conditionalFormatting sqref="AS9">
    <cfRule type="expression" priority="7" stopIfTrue="1">
      <formula>AS9=""</formula>
    </cfRule>
    <cfRule type="expression" dxfId="79" priority="8" stopIfTrue="1">
      <formula>AS9=CléPersonnalisée2</formula>
    </cfRule>
    <cfRule type="expression" dxfId="78" priority="9" stopIfTrue="1">
      <formula>AS9=CléPersonnalisée1</formula>
    </cfRule>
    <cfRule type="expression" dxfId="77" priority="10" stopIfTrue="1">
      <formula>AS9=CléMaladie</formula>
    </cfRule>
    <cfRule type="expression" dxfId="76" priority="11" stopIfTrue="1">
      <formula>AS9=CléPersonnelle</formula>
    </cfRule>
    <cfRule type="expression" dxfId="75" priority="12" stopIfTrue="1">
      <formula>AS9=CléCongés</formula>
    </cfRule>
  </conditionalFormatting>
  <conditionalFormatting sqref="AS5">
    <cfRule type="expression" priority="1" stopIfTrue="1">
      <formula>AS5=""</formula>
    </cfRule>
    <cfRule type="expression" dxfId="74" priority="2" stopIfTrue="1">
      <formula>AS5=CléPersonnalisée2</formula>
    </cfRule>
    <cfRule type="expression" dxfId="73" priority="3" stopIfTrue="1">
      <formula>AS5=CléPersonnalisée1</formula>
    </cfRule>
    <cfRule type="expression" dxfId="72" priority="4" stopIfTrue="1">
      <formula>AS5=CléMaladie</formula>
    </cfRule>
    <cfRule type="expression" dxfId="71" priority="5" stopIfTrue="1">
      <formula>AS5=CléPersonnelle</formula>
    </cfRule>
    <cfRule type="expression" dxfId="70" priority="6" stopIfTrue="1">
      <formula>AS5=CléCongés</formula>
    </cfRule>
  </conditionalFormatting>
  <printOptions horizontalCentered="1"/>
  <pageMargins left="0.25" right="0.25" top="0.75" bottom="0.75" header="0.3" footer="0.3"/>
  <pageSetup scale="67" fitToHeight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5E7C62B-D906-4461-93C7-86706CEFD6E8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AH5:AH6 AH9:AH11</xm:sqref>
        </x14:conditionalFormatting>
        <x14:conditionalFormatting xmlns:xm="http://schemas.microsoft.com/office/excel/2006/main">
          <x14:cfRule type="dataBar" id="{16B63B3C-0F28-48FE-A102-7BA23C7134B7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AH27</xm:sqref>
        </x14:conditionalFormatting>
        <x14:conditionalFormatting xmlns:xm="http://schemas.microsoft.com/office/excel/2006/main">
          <x14:cfRule type="dataBar" id="{87CCCF6C-7470-4580-8CA4-FD5BC60E6357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AH31</xm:sqref>
        </x14:conditionalFormatting>
        <x14:conditionalFormatting xmlns:xm="http://schemas.microsoft.com/office/excel/2006/main">
          <x14:cfRule type="dataBar" id="{BAA31412-DE19-48ED-8D52-C33A23C88D64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AH35</xm:sqref>
        </x14:conditionalFormatting>
        <x14:conditionalFormatting xmlns:xm="http://schemas.microsoft.com/office/excel/2006/main">
          <x14:cfRule type="dataBar" id="{6D167B45-7E46-49F2-93AE-094DC3C76064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AH39</xm:sqref>
        </x14:conditionalFormatting>
        <x14:conditionalFormatting xmlns:xm="http://schemas.microsoft.com/office/excel/2006/main">
          <x14:cfRule type="dataBar" id="{002E87B2-56C4-4E64-96A4-46E4D496E49E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AH43</xm:sqref>
        </x14:conditionalFormatting>
        <x14:conditionalFormatting xmlns:xm="http://schemas.microsoft.com/office/excel/2006/main">
          <x14:cfRule type="dataBar" id="{5F5C8B4E-9C8B-4DA9-8B07-3565CE7D6A97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AH47</xm:sqref>
        </x14:conditionalFormatting>
        <x14:conditionalFormatting xmlns:xm="http://schemas.microsoft.com/office/excel/2006/main">
          <x14:cfRule type="dataBar" id="{FF1DB262-446C-44CF-807B-BB3053F2F3FD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AH51</xm:sqref>
        </x14:conditionalFormatting>
        <x14:conditionalFormatting xmlns:xm="http://schemas.microsoft.com/office/excel/2006/main">
          <x14:cfRule type="dataBar" id="{F9E10466-C923-42ED-814B-3D0394E4DABF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AH55</xm:sqref>
        </x14:conditionalFormatting>
        <x14:conditionalFormatting xmlns:xm="http://schemas.microsoft.com/office/excel/2006/main">
          <x14:cfRule type="dataBar" id="{DFDC488D-5E68-4C8D-8D1C-03A7A6DE75E5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AH63</xm:sqref>
        </x14:conditionalFormatting>
        <x14:conditionalFormatting xmlns:xm="http://schemas.microsoft.com/office/excel/2006/main">
          <x14:cfRule type="dataBar" id="{886A26FB-C4D1-4CD4-B5A9-3C4DA7096270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AH71</xm:sqref>
        </x14:conditionalFormatting>
        <x14:conditionalFormatting xmlns:xm="http://schemas.microsoft.com/office/excel/2006/main">
          <x14:cfRule type="dataBar" id="{9F0D57BB-740A-4BCF-9CB5-48002BAB46D6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AH19</xm:sqref>
        </x14:conditionalFormatting>
        <x14:conditionalFormatting xmlns:xm="http://schemas.microsoft.com/office/excel/2006/main">
          <x14:cfRule type="dataBar" id="{F31657EE-CCD9-489C-ACC1-4562415C4334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AH23</xm:sqref>
        </x14:conditionalFormatting>
        <x14:conditionalFormatting xmlns:xm="http://schemas.microsoft.com/office/excel/2006/main">
          <x14:cfRule type="dataBar" id="{C3E8B6DB-DE4C-449A-93CD-83F2512812CD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AH17:AH18</xm:sqref>
        </x14:conditionalFormatting>
        <x14:conditionalFormatting xmlns:xm="http://schemas.microsoft.com/office/excel/2006/main">
          <x14:cfRule type="dataBar" id="{1B2FEE41-491E-4D57-A469-C3B843C4735A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AH21:AH22</xm:sqref>
        </x14:conditionalFormatting>
        <x14:conditionalFormatting xmlns:xm="http://schemas.microsoft.com/office/excel/2006/main">
          <x14:cfRule type="dataBar" id="{E0D8E229-8FFC-4749-B525-B31DFC82AF36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AH25:AH26</xm:sqref>
        </x14:conditionalFormatting>
        <x14:conditionalFormatting xmlns:xm="http://schemas.microsoft.com/office/excel/2006/main">
          <x14:cfRule type="dataBar" id="{182C2BAE-D0D4-4992-8F7B-47983439E57A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AH29:AH30</xm:sqref>
        </x14:conditionalFormatting>
        <x14:conditionalFormatting xmlns:xm="http://schemas.microsoft.com/office/excel/2006/main">
          <x14:cfRule type="dataBar" id="{A1B02F61-26D1-4815-B92B-C25472F5A460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AH33:AH34</xm:sqref>
        </x14:conditionalFormatting>
        <x14:conditionalFormatting xmlns:xm="http://schemas.microsoft.com/office/excel/2006/main">
          <x14:cfRule type="dataBar" id="{2C0A5640-DE57-48D2-8C07-56CBA06A9387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AH37:AH38</xm:sqref>
        </x14:conditionalFormatting>
        <x14:conditionalFormatting xmlns:xm="http://schemas.microsoft.com/office/excel/2006/main">
          <x14:cfRule type="dataBar" id="{E455E273-C605-48E7-9D71-3A8CD1FB721E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AH41:AH42</xm:sqref>
        </x14:conditionalFormatting>
        <x14:conditionalFormatting xmlns:xm="http://schemas.microsoft.com/office/excel/2006/main">
          <x14:cfRule type="dataBar" id="{B8D1295E-628F-49E4-ACE9-5A3CD52F6FB1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AH45:AH46</xm:sqref>
        </x14:conditionalFormatting>
        <x14:conditionalFormatting xmlns:xm="http://schemas.microsoft.com/office/excel/2006/main">
          <x14:cfRule type="dataBar" id="{B0E7E143-A443-4754-B775-9737862377CF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AH49:AH50</xm:sqref>
        </x14:conditionalFormatting>
        <x14:conditionalFormatting xmlns:xm="http://schemas.microsoft.com/office/excel/2006/main">
          <x14:cfRule type="dataBar" id="{8D08DC84-E2A9-4F53-AA3B-CE2C85D04C42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AH53:AH54</xm:sqref>
        </x14:conditionalFormatting>
        <x14:conditionalFormatting xmlns:xm="http://schemas.microsoft.com/office/excel/2006/main">
          <x14:cfRule type="dataBar" id="{7C1141D0-6AC1-4A72-BBD4-AFD905CDEE07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AH61:AH62</xm:sqref>
        </x14:conditionalFormatting>
        <x14:conditionalFormatting xmlns:xm="http://schemas.microsoft.com/office/excel/2006/main">
          <x14:cfRule type="dataBar" id="{1565EDF3-63BE-433A-A125-A1CDD1357345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AH69:AH70</xm:sqref>
        </x14:conditionalFormatting>
        <x14:conditionalFormatting xmlns:xm="http://schemas.microsoft.com/office/excel/2006/main">
          <x14:cfRule type="dataBar" id="{7A597FDD-F7AC-4F6F-8D7A-63E0945A006C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AH7</xm:sqref>
        </x14:conditionalFormatting>
        <x14:conditionalFormatting xmlns:xm="http://schemas.microsoft.com/office/excel/2006/main">
          <x14:cfRule type="dataBar" id="{263E1B54-A1E6-428A-9B9B-A923AA2EDA4C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AH67</xm:sqref>
        </x14:conditionalFormatting>
        <x14:conditionalFormatting xmlns:xm="http://schemas.microsoft.com/office/excel/2006/main">
          <x14:cfRule type="dataBar" id="{4DF24890-215A-4AEE-9D5C-1018D93E785E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AH65:AH66</xm:sqref>
        </x14:conditionalFormatting>
        <x14:conditionalFormatting xmlns:xm="http://schemas.microsoft.com/office/excel/2006/main">
          <x14:cfRule type="dataBar" id="{F0D273CD-88EA-4C71-A35E-CC922FC07F54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AH75</xm:sqref>
        </x14:conditionalFormatting>
        <x14:conditionalFormatting xmlns:xm="http://schemas.microsoft.com/office/excel/2006/main">
          <x14:cfRule type="dataBar" id="{B4145531-6517-49C7-98E4-99C0CE533F98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AH73:AH74</xm:sqref>
        </x14:conditionalFormatting>
        <x14:conditionalFormatting xmlns:xm="http://schemas.microsoft.com/office/excel/2006/main">
          <x14:cfRule type="dataBar" id="{578CD1C4-B3AE-4BF1-AF9B-0496D0DA865C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AH83</xm:sqref>
        </x14:conditionalFormatting>
        <x14:conditionalFormatting xmlns:xm="http://schemas.microsoft.com/office/excel/2006/main">
          <x14:cfRule type="dataBar" id="{24999688-0365-448A-A698-648C8F868E9D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AH81:AH82</xm:sqref>
        </x14:conditionalFormatting>
        <x14:conditionalFormatting xmlns:xm="http://schemas.microsoft.com/office/excel/2006/main">
          <x14:cfRule type="dataBar" id="{A7D15CF5-9E60-4FA1-9CE9-19E192BD1D30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AH87</xm:sqref>
        </x14:conditionalFormatting>
        <x14:conditionalFormatting xmlns:xm="http://schemas.microsoft.com/office/excel/2006/main">
          <x14:cfRule type="dataBar" id="{C5226931-D253-415E-B20D-060D374E4278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AH85:AH86</xm:sqref>
        </x14:conditionalFormatting>
        <x14:conditionalFormatting xmlns:xm="http://schemas.microsoft.com/office/excel/2006/main">
          <x14:cfRule type="dataBar" id="{F7770946-C50F-432A-95B3-77DB27C36394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AH91</xm:sqref>
        </x14:conditionalFormatting>
        <x14:conditionalFormatting xmlns:xm="http://schemas.microsoft.com/office/excel/2006/main">
          <x14:cfRule type="dataBar" id="{2DF45C09-64FB-4ED8-9F6C-ABBDD1A4712B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AH89:AH90</xm:sqref>
        </x14:conditionalFormatting>
        <x14:conditionalFormatting xmlns:xm="http://schemas.microsoft.com/office/excel/2006/main">
          <x14:cfRule type="dataBar" id="{0631F20E-B27C-4DC7-B077-FFE15D09F357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AH101:AH103 AH95 AH97:AH99</xm:sqref>
        </x14:conditionalFormatting>
        <x14:conditionalFormatting xmlns:xm="http://schemas.microsoft.com/office/excel/2006/main">
          <x14:cfRule type="dataBar" id="{2966FEBE-F6BB-4985-9F83-0CFCD2C5CE64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AH93:AH94</xm:sqref>
        </x14:conditionalFormatting>
        <x14:conditionalFormatting xmlns:xm="http://schemas.microsoft.com/office/excel/2006/main">
          <x14:cfRule type="dataBar" id="{E4EDF9EA-EDFF-4439-9F28-EE00A4307154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AH111</xm:sqref>
        </x14:conditionalFormatting>
        <x14:conditionalFormatting xmlns:xm="http://schemas.microsoft.com/office/excel/2006/main">
          <x14:cfRule type="dataBar" id="{413CE509-4CC7-4F49-B789-8BF70F9F184F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AH109:AH110</xm:sqref>
        </x14:conditionalFormatting>
        <x14:conditionalFormatting xmlns:xm="http://schemas.microsoft.com/office/excel/2006/main">
          <x14:cfRule type="dataBar" id="{00191D18-6800-407B-9C81-9A9AA5F59C18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AH123</xm:sqref>
        </x14:conditionalFormatting>
        <x14:conditionalFormatting xmlns:xm="http://schemas.microsoft.com/office/excel/2006/main">
          <x14:cfRule type="dataBar" id="{797D2712-3892-4E03-9D1F-98AB1F5C15C7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AH121:AH122</xm:sqref>
        </x14:conditionalFormatting>
        <x14:conditionalFormatting xmlns:xm="http://schemas.microsoft.com/office/excel/2006/main">
          <x14:cfRule type="dataBar" id="{452D9EF0-47A2-415B-92A8-DF29FBDF55FE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AH115</xm:sqref>
        </x14:conditionalFormatting>
        <x14:conditionalFormatting xmlns:xm="http://schemas.microsoft.com/office/excel/2006/main">
          <x14:cfRule type="dataBar" id="{E9C17846-4344-4893-B383-6BEB7CC4BF5F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AH113:AH114</xm:sqref>
        </x14:conditionalFormatting>
        <x14:conditionalFormatting xmlns:xm="http://schemas.microsoft.com/office/excel/2006/main">
          <x14:cfRule type="dataBar" id="{2A105CDD-BF19-4709-AF44-C6B27F574058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AH15</xm:sqref>
        </x14:conditionalFormatting>
        <x14:conditionalFormatting xmlns:xm="http://schemas.microsoft.com/office/excel/2006/main">
          <x14:cfRule type="dataBar" id="{5A68C022-BD67-4715-AB83-DB690B3571D0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AH13:AH14</xm:sqref>
        </x14:conditionalFormatting>
        <x14:conditionalFormatting xmlns:xm="http://schemas.microsoft.com/office/excel/2006/main">
          <x14:cfRule type="dataBar" id="{A89DA638-7943-418F-B159-5D30357A12C1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AH119</xm:sqref>
        </x14:conditionalFormatting>
        <x14:conditionalFormatting xmlns:xm="http://schemas.microsoft.com/office/excel/2006/main">
          <x14:cfRule type="dataBar" id="{3770342C-2EB7-431C-A133-F46FA49FE91B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AH117:AH118</xm:sqref>
        </x14:conditionalFormatting>
        <x14:conditionalFormatting xmlns:xm="http://schemas.microsoft.com/office/excel/2006/main">
          <x14:cfRule type="dataBar" id="{23799C01-440A-4559-9635-FFB73E382FC2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AH107</xm:sqref>
        </x14:conditionalFormatting>
        <x14:conditionalFormatting xmlns:xm="http://schemas.microsoft.com/office/excel/2006/main">
          <x14:cfRule type="dataBar" id="{DD5BF924-CD0D-47C0-A00D-961A41E0FE81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AH105:AH106</xm:sqref>
        </x14:conditionalFormatting>
        <x14:conditionalFormatting xmlns:xm="http://schemas.microsoft.com/office/excel/2006/main">
          <x14:cfRule type="dataBar" id="{2B703EF6-370E-48DF-BA60-FE9DDC1C15FB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AH59</xm:sqref>
        </x14:conditionalFormatting>
        <x14:conditionalFormatting xmlns:xm="http://schemas.microsoft.com/office/excel/2006/main">
          <x14:cfRule type="dataBar" id="{34A3DB86-D51C-4A8A-B64C-CA1522C5249E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AH57:AH58</xm:sqref>
        </x14:conditionalFormatting>
        <x14:conditionalFormatting xmlns:xm="http://schemas.microsoft.com/office/excel/2006/main">
          <x14:cfRule type="dataBar" id="{70F2BAAF-F7B6-476D-BB1F-6F00C4032154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AH79</xm:sqref>
        </x14:conditionalFormatting>
        <x14:conditionalFormatting xmlns:xm="http://schemas.microsoft.com/office/excel/2006/main">
          <x14:cfRule type="dataBar" id="{7425A74C-0D23-4096-9E38-5AB1303A53E4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AH77:AH78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2" tint="-0.89999084444715716"/>
    <pageSetUpPr fitToPage="1"/>
  </sheetPr>
  <dimension ref="A1:AS1514"/>
  <sheetViews>
    <sheetView showGridLines="0" topLeftCell="K4" zoomScale="85" zoomScaleNormal="85" workbookViewId="0">
      <selection activeCell="AS7" sqref="AS7"/>
    </sheetView>
  </sheetViews>
  <sheetFormatPr baseColWidth="10" defaultColWidth="9.140625" defaultRowHeight="15" customHeight="1" x14ac:dyDescent="0.25"/>
  <cols>
    <col min="1" max="1" width="24.28515625" style="96" customWidth="1"/>
    <col min="2" max="2" width="6" style="96" customWidth="1"/>
    <col min="3" max="22" width="4" style="93" customWidth="1"/>
    <col min="23" max="23" width="4.42578125" style="93" customWidth="1"/>
    <col min="24" max="26" width="4" style="93" customWidth="1"/>
    <col min="27" max="27" width="4.42578125" style="93" customWidth="1"/>
    <col min="28" max="28" width="4.42578125" style="93" bestFit="1" customWidth="1"/>
    <col min="29" max="32" width="4" style="93" customWidth="1"/>
    <col min="33" max="33" width="4.42578125" style="93" bestFit="1" customWidth="1"/>
    <col min="34" max="34" width="10.7109375" style="94" customWidth="1"/>
    <col min="35" max="35" width="5.5703125" style="93" customWidth="1"/>
    <col min="36" max="36" width="5" style="75" customWidth="1"/>
    <col min="37" max="37" width="4.7109375" style="75" customWidth="1"/>
    <col min="38" max="38" width="4.5703125" style="75" customWidth="1"/>
    <col min="39" max="39" width="7" style="75" customWidth="1"/>
    <col min="40" max="40" width="8.85546875" style="75" customWidth="1"/>
    <col min="41" max="41" width="8.140625" style="75" customWidth="1"/>
    <col min="42" max="42" width="4.5703125" style="75" customWidth="1"/>
    <col min="43" max="43" width="7.28515625" style="75" customWidth="1"/>
    <col min="44" max="44" width="7" style="75" customWidth="1"/>
    <col min="45" max="45" width="13.140625" style="75" customWidth="1"/>
    <col min="46" max="16384" width="9.140625" style="75"/>
  </cols>
  <sheetData>
    <row r="1" spans="1:45" s="8" customFormat="1" ht="50.25" customHeight="1" thickBot="1" x14ac:dyDescent="0.3">
      <c r="A1" s="1" t="s">
        <v>0</v>
      </c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3"/>
      <c r="AE1" s="3"/>
      <c r="AF1" s="4"/>
      <c r="AG1" s="5"/>
      <c r="AH1" s="5"/>
      <c r="AI1" s="6"/>
      <c r="AJ1" s="7"/>
      <c r="AK1" s="7"/>
      <c r="AL1" s="7"/>
      <c r="AM1" s="7"/>
      <c r="AN1" s="7"/>
      <c r="AO1" s="7"/>
      <c r="AP1" s="7"/>
      <c r="AQ1" s="7"/>
      <c r="AR1" s="7"/>
    </row>
    <row r="2" spans="1:45" s="18" customFormat="1" ht="30" customHeight="1" x14ac:dyDescent="0.35">
      <c r="A2" s="109">
        <v>43159</v>
      </c>
      <c r="B2" s="10"/>
      <c r="C2" s="11" t="s">
        <v>1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2">
        <v>2018</v>
      </c>
      <c r="AI2" s="13" t="s">
        <v>2</v>
      </c>
      <c r="AJ2" s="14"/>
      <c r="AK2" s="14"/>
      <c r="AL2" s="15"/>
      <c r="AM2" s="13" t="s">
        <v>3</v>
      </c>
      <c r="AN2" s="14"/>
      <c r="AO2" s="14"/>
      <c r="AP2" s="15"/>
      <c r="AQ2" s="16" t="s">
        <v>4</v>
      </c>
      <c r="AR2" s="17"/>
    </row>
    <row r="3" spans="1:45" s="27" customFormat="1" ht="15.75" customHeight="1" thickBot="1" x14ac:dyDescent="0.35">
      <c r="A3" s="110">
        <v>43132</v>
      </c>
      <c r="B3" s="10"/>
      <c r="C3" s="20" t="str">
        <f>TEXT(WEEKDAY(DATE(CalendrierAnnée,2,1),1),"jjj")</f>
        <v>jeu</v>
      </c>
      <c r="D3" s="21" t="str">
        <f>TEXT(WEEKDAY(DATE(CalendrierAnnée,2,2),1),"jjj")</f>
        <v>ven</v>
      </c>
      <c r="E3" s="21" t="str">
        <f>TEXT(WEEKDAY(DATE(CalendrierAnnée,2,3),1),"jjj")</f>
        <v>sam</v>
      </c>
      <c r="F3" s="21" t="str">
        <f>TEXT(WEEKDAY(DATE(CalendrierAnnée,2,4),1),"jjj")</f>
        <v>dim</v>
      </c>
      <c r="G3" s="21" t="str">
        <f>TEXT(WEEKDAY(DATE(CalendrierAnnée,2,5),1),"jjj")</f>
        <v>lun</v>
      </c>
      <c r="H3" s="21" t="str">
        <f>TEXT(WEEKDAY(DATE(CalendrierAnnée,2,6),1),"jjj")</f>
        <v>mar</v>
      </c>
      <c r="I3" s="21" t="str">
        <f>TEXT(WEEKDAY(DATE(CalendrierAnnée,2,7),1),"jjj")</f>
        <v>mer</v>
      </c>
      <c r="J3" s="21" t="str">
        <f>TEXT(WEEKDAY(DATE(CalendrierAnnée,2,8),1),"jjj")</f>
        <v>jeu</v>
      </c>
      <c r="K3" s="21" t="str">
        <f>TEXT(WEEKDAY(DATE(CalendrierAnnée,2,9),1),"jjj")</f>
        <v>ven</v>
      </c>
      <c r="L3" s="21" t="str">
        <f>TEXT(WEEKDAY(DATE(CalendrierAnnée,2,10),1),"jjj")</f>
        <v>sam</v>
      </c>
      <c r="M3" s="21" t="str">
        <f>TEXT(WEEKDAY(DATE(CalendrierAnnée,2,11),1),"jjj")</f>
        <v>dim</v>
      </c>
      <c r="N3" s="21" t="str">
        <f>TEXT(WEEKDAY(DATE(CalendrierAnnée,2,12),1),"jjj")</f>
        <v>lun</v>
      </c>
      <c r="O3" s="21" t="str">
        <f>TEXT(WEEKDAY(DATE(CalendrierAnnée,2,13),1),"jjj")</f>
        <v>mar</v>
      </c>
      <c r="P3" s="21" t="str">
        <f>TEXT(WEEKDAY(DATE(CalendrierAnnée,2,14),1),"jjj")</f>
        <v>mer</v>
      </c>
      <c r="Q3" s="21" t="str">
        <f>TEXT(WEEKDAY(DATE(CalendrierAnnée,2,15),1),"jjj")</f>
        <v>jeu</v>
      </c>
      <c r="R3" s="21" t="str">
        <f>TEXT(WEEKDAY(DATE(CalendrierAnnée,2,16),1),"jjj")</f>
        <v>ven</v>
      </c>
      <c r="S3" s="21" t="str">
        <f>TEXT(WEEKDAY(DATE(CalendrierAnnée,2,17),1),"jjj")</f>
        <v>sam</v>
      </c>
      <c r="T3" s="21" t="str">
        <f>TEXT(WEEKDAY(DATE(CalendrierAnnée,2,18),1),"jjj")</f>
        <v>dim</v>
      </c>
      <c r="U3" s="21" t="str">
        <f>TEXT(WEEKDAY(DATE(CalendrierAnnée,2,19),1),"jjj")</f>
        <v>lun</v>
      </c>
      <c r="V3" s="21" t="str">
        <f>TEXT(WEEKDAY(DATE(CalendrierAnnée,2,20),1),"jjj")</f>
        <v>mar</v>
      </c>
      <c r="W3" s="21" t="str">
        <f>TEXT(WEEKDAY(DATE(CalendrierAnnée,2,21),1),"jjj")</f>
        <v>mer</v>
      </c>
      <c r="X3" s="21" t="str">
        <f>TEXT(WEEKDAY(DATE(CalendrierAnnée,2,22),1),"jjj")</f>
        <v>jeu</v>
      </c>
      <c r="Y3" s="21" t="str">
        <f>TEXT(WEEKDAY(DATE(CalendrierAnnée,2,23),1),"jjj")</f>
        <v>ven</v>
      </c>
      <c r="Z3" s="21" t="str">
        <f>TEXT(WEEKDAY(DATE(CalendrierAnnée,2,24),1),"jjj")</f>
        <v>sam</v>
      </c>
      <c r="AA3" s="21" t="str">
        <f>TEXT(WEEKDAY(DATE(CalendrierAnnée,2,25),1),"jjj")</f>
        <v>dim</v>
      </c>
      <c r="AB3" s="21" t="str">
        <f>TEXT(WEEKDAY(DATE(CalendrierAnnée,2,26),1),"jjj")</f>
        <v>lun</v>
      </c>
      <c r="AC3" s="21" t="str">
        <f>TEXT(WEEKDAY(DATE(CalendrierAnnée,2,27),1),"jjj")</f>
        <v>mar</v>
      </c>
      <c r="AD3" s="21" t="str">
        <f>TEXT(WEEKDAY(DATE(CalendrierAnnée,2,28),1),"jjj")</f>
        <v>mer</v>
      </c>
      <c r="AE3" s="21"/>
      <c r="AF3" s="21"/>
      <c r="AG3" s="111"/>
      <c r="AH3" s="12"/>
      <c r="AI3" s="22"/>
      <c r="AJ3" s="23"/>
      <c r="AK3" s="23"/>
      <c r="AL3" s="24"/>
      <c r="AM3" s="22"/>
      <c r="AN3" s="23"/>
      <c r="AO3" s="23"/>
      <c r="AP3" s="24"/>
      <c r="AQ3" s="25"/>
      <c r="AR3" s="26"/>
    </row>
    <row r="4" spans="1:45" s="40" customFormat="1" ht="63.75" customHeight="1" x14ac:dyDescent="0.25">
      <c r="A4" s="28" t="s">
        <v>22</v>
      </c>
      <c r="B4" s="29"/>
      <c r="C4" s="99" t="s">
        <v>25</v>
      </c>
      <c r="D4" s="32" t="s">
        <v>26</v>
      </c>
      <c r="E4" s="32" t="s">
        <v>27</v>
      </c>
      <c r="F4" s="32" t="s">
        <v>28</v>
      </c>
      <c r="G4" s="32" t="s">
        <v>29</v>
      </c>
      <c r="H4" s="32" t="s">
        <v>30</v>
      </c>
      <c r="I4" s="32" t="s">
        <v>31</v>
      </c>
      <c r="J4" s="32" t="s">
        <v>32</v>
      </c>
      <c r="K4" s="32" t="s">
        <v>33</v>
      </c>
      <c r="L4" s="32" t="s">
        <v>34</v>
      </c>
      <c r="M4" s="32" t="s">
        <v>35</v>
      </c>
      <c r="N4" s="32" t="s">
        <v>36</v>
      </c>
      <c r="O4" s="32" t="s">
        <v>37</v>
      </c>
      <c r="P4" s="32" t="s">
        <v>38</v>
      </c>
      <c r="Q4" s="32" t="s">
        <v>39</v>
      </c>
      <c r="R4" s="32" t="s">
        <v>40</v>
      </c>
      <c r="S4" s="32" t="s">
        <v>41</v>
      </c>
      <c r="T4" s="32" t="s">
        <v>42</v>
      </c>
      <c r="U4" s="32" t="s">
        <v>43</v>
      </c>
      <c r="V4" s="32" t="s">
        <v>44</v>
      </c>
      <c r="W4" s="32" t="s">
        <v>45</v>
      </c>
      <c r="X4" s="32" t="s">
        <v>46</v>
      </c>
      <c r="Y4" s="32" t="s">
        <v>47</v>
      </c>
      <c r="Z4" s="32" t="s">
        <v>48</v>
      </c>
      <c r="AA4" s="32" t="s">
        <v>49</v>
      </c>
      <c r="AB4" s="32" t="s">
        <v>50</v>
      </c>
      <c r="AC4" s="32" t="s">
        <v>51</v>
      </c>
      <c r="AD4" s="32" t="s">
        <v>52</v>
      </c>
      <c r="AE4" s="32"/>
      <c r="AF4" s="32"/>
      <c r="AG4" s="32"/>
      <c r="AH4" s="33" t="s">
        <v>6</v>
      </c>
      <c r="AI4" s="34" t="s">
        <v>7</v>
      </c>
      <c r="AJ4" s="35" t="s">
        <v>8</v>
      </c>
      <c r="AK4" s="36" t="s">
        <v>9</v>
      </c>
      <c r="AL4" s="37" t="s">
        <v>10</v>
      </c>
      <c r="AM4" s="38" t="s">
        <v>11</v>
      </c>
      <c r="AN4" s="38" t="s">
        <v>12</v>
      </c>
      <c r="AO4" s="38" t="s">
        <v>13</v>
      </c>
      <c r="AP4" s="39" t="s">
        <v>14</v>
      </c>
      <c r="AQ4" s="34" t="s">
        <v>7</v>
      </c>
      <c r="AR4" s="35" t="s">
        <v>8</v>
      </c>
      <c r="AS4" s="39" t="s">
        <v>56</v>
      </c>
    </row>
    <row r="5" spans="1:45" s="40" customFormat="1" ht="12.95" customHeight="1" x14ac:dyDescent="0.25">
      <c r="A5" s="41"/>
      <c r="B5" s="42" t="s">
        <v>15</v>
      </c>
      <c r="C5" s="67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43"/>
      <c r="AH5" s="44">
        <f>COUNTA(Février!$C5:$AG5)</f>
        <v>0</v>
      </c>
      <c r="AI5" s="45">
        <f>(COUNTIFS(Février!$C5:$AG5,("cp")))/2+Janvier!AI5</f>
        <v>8</v>
      </c>
      <c r="AJ5" s="45">
        <f>COUNTIFS(Février!$C5:$AG5,"RTT")/2+Janvier!AJ5</f>
        <v>0</v>
      </c>
      <c r="AK5" s="45">
        <f>COUNTIFS(Février!$C5:$AG5,"m")/2+Janvier!AK5</f>
        <v>0</v>
      </c>
      <c r="AL5" s="45">
        <f>COUNTIFS(Février!$C5:$AG5,"a")/2+Janvier!AL5</f>
        <v>0</v>
      </c>
      <c r="AM5" s="46"/>
      <c r="AN5" s="47"/>
      <c r="AO5" s="47"/>
      <c r="AP5" s="46"/>
      <c r="AQ5" s="47"/>
      <c r="AR5" s="47"/>
      <c r="AS5" s="47"/>
    </row>
    <row r="6" spans="1:45" s="40" customFormat="1" ht="12.95" customHeight="1" x14ac:dyDescent="0.25">
      <c r="A6" s="48">
        <v>41722</v>
      </c>
      <c r="B6" s="42" t="s">
        <v>16</v>
      </c>
      <c r="C6" s="67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3"/>
      <c r="AH6" s="44">
        <f>COUNTA(Février!$C6:$AG6)</f>
        <v>0</v>
      </c>
      <c r="AI6" s="45">
        <f>(COUNTIFS(Février!$C6:$AG6,("cp")))/2+Janvier!AI6</f>
        <v>8</v>
      </c>
      <c r="AJ6" s="45">
        <f>COUNTIFS(Février!$C6:$AG6,"RTT")/2+Janvier!AJ6</f>
        <v>0</v>
      </c>
      <c r="AK6" s="45">
        <f>COUNTIFS(Février!$C6:$AG6,"m")/2+Janvier!AK6</f>
        <v>0</v>
      </c>
      <c r="AL6" s="45">
        <f>COUNTIFS(Février!$C6:$AG6,"a")/2+Janvier!AL6</f>
        <v>0</v>
      </c>
      <c r="AM6" s="46"/>
      <c r="AN6" s="47"/>
      <c r="AO6" s="47"/>
      <c r="AP6" s="46"/>
      <c r="AQ6" s="47"/>
      <c r="AR6" s="47"/>
      <c r="AS6" s="101"/>
    </row>
    <row r="7" spans="1:45" s="40" customFormat="1" ht="12.95" customHeight="1" x14ac:dyDescent="0.25">
      <c r="A7" s="41"/>
      <c r="B7" s="42"/>
      <c r="C7" s="49" t="str">
        <f t="shared" ref="C7:AG7" si="0">IF(C5&gt;0,C5,IF(C6&gt;0,C6,""))</f>
        <v/>
      </c>
      <c r="D7" s="49" t="str">
        <f t="shared" si="0"/>
        <v/>
      </c>
      <c r="E7" s="49" t="str">
        <f t="shared" si="0"/>
        <v/>
      </c>
      <c r="F7" s="49" t="str">
        <f t="shared" si="0"/>
        <v/>
      </c>
      <c r="G7" s="49" t="str">
        <f t="shared" si="0"/>
        <v/>
      </c>
      <c r="H7" s="49" t="str">
        <f t="shared" si="0"/>
        <v/>
      </c>
      <c r="I7" s="49" t="str">
        <f t="shared" si="0"/>
        <v/>
      </c>
      <c r="J7" s="49" t="str">
        <f t="shared" si="0"/>
        <v/>
      </c>
      <c r="K7" s="49" t="str">
        <f t="shared" si="0"/>
        <v/>
      </c>
      <c r="L7" s="49" t="str">
        <f t="shared" si="0"/>
        <v/>
      </c>
      <c r="M7" s="49" t="str">
        <f t="shared" si="0"/>
        <v/>
      </c>
      <c r="N7" s="49" t="str">
        <f t="shared" si="0"/>
        <v/>
      </c>
      <c r="O7" s="49" t="str">
        <f t="shared" si="0"/>
        <v/>
      </c>
      <c r="P7" s="49" t="str">
        <f t="shared" si="0"/>
        <v/>
      </c>
      <c r="Q7" s="49" t="str">
        <f t="shared" si="0"/>
        <v/>
      </c>
      <c r="R7" s="49" t="str">
        <f t="shared" si="0"/>
        <v/>
      </c>
      <c r="S7" s="49" t="str">
        <f t="shared" si="0"/>
        <v/>
      </c>
      <c r="T7" s="49" t="str">
        <f t="shared" si="0"/>
        <v/>
      </c>
      <c r="U7" s="49" t="str">
        <f t="shared" si="0"/>
        <v/>
      </c>
      <c r="V7" s="49" t="str">
        <f t="shared" si="0"/>
        <v/>
      </c>
      <c r="W7" s="49" t="str">
        <f t="shared" si="0"/>
        <v/>
      </c>
      <c r="X7" s="49" t="str">
        <f t="shared" si="0"/>
        <v/>
      </c>
      <c r="Y7" s="49" t="str">
        <f t="shared" si="0"/>
        <v/>
      </c>
      <c r="Z7" s="49" t="str">
        <f t="shared" si="0"/>
        <v/>
      </c>
      <c r="AA7" s="49" t="str">
        <f t="shared" si="0"/>
        <v/>
      </c>
      <c r="AB7" s="49" t="str">
        <f t="shared" si="0"/>
        <v/>
      </c>
      <c r="AC7" s="49" t="str">
        <f t="shared" si="0"/>
        <v/>
      </c>
      <c r="AD7" s="49" t="str">
        <f t="shared" si="0"/>
        <v/>
      </c>
      <c r="AE7" s="49" t="str">
        <f t="shared" si="0"/>
        <v/>
      </c>
      <c r="AF7" s="49" t="str">
        <f t="shared" si="0"/>
        <v/>
      </c>
      <c r="AG7" s="49" t="str">
        <f t="shared" si="0"/>
        <v/>
      </c>
      <c r="AH7" s="44">
        <f>SUM(AH5:AH6)</f>
        <v>0</v>
      </c>
      <c r="AI7" s="45">
        <f>SUM(AI5:AI6)</f>
        <v>16</v>
      </c>
      <c r="AJ7" s="45">
        <f>SUM(AJ5:AJ6)</f>
        <v>0</v>
      </c>
      <c r="AK7" s="45">
        <f>SUM(AK5:AK6)</f>
        <v>0</v>
      </c>
      <c r="AL7" s="45">
        <f>SUM(AL5:AL6)</f>
        <v>0</v>
      </c>
      <c r="AM7" s="50">
        <f>Juin!AM7</f>
        <v>9.15</v>
      </c>
      <c r="AN7" s="51">
        <f>IF(A6="","",IF(A6&gt;NomMois,0,IF(A6&lt;$A$3,2.08,(NETWORKDAYS(A6,$A$2)/21.66667)*2.08)))</f>
        <v>2.08</v>
      </c>
      <c r="AO7" s="51">
        <f>IF( AN7="",0,+AN7+Janvier!AO7)</f>
        <v>18.72</v>
      </c>
      <c r="AP7" s="112">
        <f>IF(A6="","",IF(A6&gt;NomMois,0,IF(A6&lt;$A$3,1.5,(NETWORKDAYS(A6,$A$2)/21.66667)*1.5)))+Janvier!AP7</f>
        <v>3</v>
      </c>
      <c r="AQ7" s="45">
        <f>+AM7-AI7</f>
        <v>-6.85</v>
      </c>
      <c r="AR7" s="45">
        <f>+IF(AP7="","",AP7-AJ7)</f>
        <v>3</v>
      </c>
      <c r="AS7" s="102">
        <f>+AO7+AQ7</f>
        <v>11.87</v>
      </c>
    </row>
    <row r="8" spans="1:45" s="40" customFormat="1" ht="6.75" customHeight="1" x14ac:dyDescent="0.25">
      <c r="A8" s="52"/>
      <c r="B8" s="53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  <c r="AF8" s="52"/>
      <c r="AG8" s="52"/>
      <c r="AH8" s="54"/>
      <c r="AI8" s="54"/>
      <c r="AJ8" s="54"/>
      <c r="AK8" s="54"/>
      <c r="AL8" s="54"/>
      <c r="AM8" s="52"/>
      <c r="AN8" s="55"/>
      <c r="AO8" s="55"/>
      <c r="AP8" s="56"/>
      <c r="AQ8" s="58"/>
      <c r="AR8" s="58"/>
      <c r="AS8" s="65"/>
    </row>
    <row r="9" spans="1:45" s="40" customFormat="1" ht="12.95" customHeight="1" x14ac:dyDescent="0.25">
      <c r="A9" s="41"/>
      <c r="B9" s="42" t="s">
        <v>15</v>
      </c>
      <c r="C9" s="67"/>
      <c r="D9" s="43"/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  <c r="AA9" s="43"/>
      <c r="AB9" s="43"/>
      <c r="AC9" s="43"/>
      <c r="AD9" s="43"/>
      <c r="AE9" s="43"/>
      <c r="AF9" s="43"/>
      <c r="AG9" s="43"/>
      <c r="AH9" s="44">
        <f>COUNTA(Février!$C9:$AG9)</f>
        <v>0</v>
      </c>
      <c r="AI9" s="45">
        <f>(COUNTIFS(Février!$C9:$AG9,("cp")))/2+Janvier!AI9</f>
        <v>3.5</v>
      </c>
      <c r="AJ9" s="45">
        <f>COUNTIFS(Février!$C9:$AG9,"RTT")/2+Janvier!AJ9</f>
        <v>0</v>
      </c>
      <c r="AK9" s="45">
        <f>COUNTIFS(Février!$C9:$AG9,"m")/2+Janvier!AK9</f>
        <v>0</v>
      </c>
      <c r="AL9" s="45">
        <f>COUNTIFS(Février!$C9:$AG9,"a")/2+Janvier!AL9</f>
        <v>0</v>
      </c>
      <c r="AM9" s="46"/>
      <c r="AN9" s="47"/>
      <c r="AO9" s="47"/>
      <c r="AP9" s="46"/>
      <c r="AQ9" s="47"/>
      <c r="AR9" s="47"/>
      <c r="AS9" s="47"/>
    </row>
    <row r="10" spans="1:45" s="40" customFormat="1" ht="12.95" customHeight="1" x14ac:dyDescent="0.25">
      <c r="A10" s="48">
        <v>42740</v>
      </c>
      <c r="B10" s="42" t="s">
        <v>16</v>
      </c>
      <c r="C10" s="67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3"/>
      <c r="AG10" s="43"/>
      <c r="AH10" s="44">
        <f>COUNTA(Février!$C10:$AG10)</f>
        <v>0</v>
      </c>
      <c r="AI10" s="45">
        <f>(COUNTIFS(Février!$C10:$AG10,("cp")))/2+Janvier!AI10</f>
        <v>3.5</v>
      </c>
      <c r="AJ10" s="45">
        <f>COUNTIFS(Février!$C10:$AG10,"RTT")/2+Janvier!AJ10</f>
        <v>0</v>
      </c>
      <c r="AK10" s="45">
        <f>COUNTIFS(Février!$C10:$AG10,"m")/2+Janvier!AK10</f>
        <v>0</v>
      </c>
      <c r="AL10" s="45">
        <f>COUNTIFS(Février!$C10:$AG10,"a")/2+Janvier!AL10</f>
        <v>0</v>
      </c>
      <c r="AM10" s="46"/>
      <c r="AN10" s="47"/>
      <c r="AO10" s="47"/>
      <c r="AP10" s="46"/>
      <c r="AQ10" s="47"/>
      <c r="AR10" s="47"/>
      <c r="AS10" s="101"/>
    </row>
    <row r="11" spans="1:45" s="40" customFormat="1" ht="12.95" customHeight="1" x14ac:dyDescent="0.25">
      <c r="A11" s="41"/>
      <c r="B11" s="42"/>
      <c r="C11" s="49" t="str">
        <f t="shared" ref="C11:AG11" si="1">IF(C9&gt;0,C9,IF(C10&gt;0,C10,""))</f>
        <v/>
      </c>
      <c r="D11" s="49" t="str">
        <f t="shared" si="1"/>
        <v/>
      </c>
      <c r="E11" s="49" t="str">
        <f t="shared" si="1"/>
        <v/>
      </c>
      <c r="F11" s="49" t="str">
        <f t="shared" si="1"/>
        <v/>
      </c>
      <c r="G11" s="49" t="str">
        <f t="shared" si="1"/>
        <v/>
      </c>
      <c r="H11" s="49" t="str">
        <f t="shared" si="1"/>
        <v/>
      </c>
      <c r="I11" s="49" t="str">
        <f t="shared" si="1"/>
        <v/>
      </c>
      <c r="J11" s="49" t="str">
        <f t="shared" si="1"/>
        <v/>
      </c>
      <c r="K11" s="49" t="str">
        <f t="shared" si="1"/>
        <v/>
      </c>
      <c r="L11" s="49" t="str">
        <f t="shared" si="1"/>
        <v/>
      </c>
      <c r="M11" s="49" t="str">
        <f t="shared" si="1"/>
        <v/>
      </c>
      <c r="N11" s="49" t="str">
        <f t="shared" si="1"/>
        <v/>
      </c>
      <c r="O11" s="49" t="str">
        <f t="shared" si="1"/>
        <v/>
      </c>
      <c r="P11" s="49" t="str">
        <f t="shared" si="1"/>
        <v/>
      </c>
      <c r="Q11" s="49" t="str">
        <f t="shared" si="1"/>
        <v/>
      </c>
      <c r="R11" s="49" t="str">
        <f t="shared" si="1"/>
        <v/>
      </c>
      <c r="S11" s="49" t="str">
        <f t="shared" si="1"/>
        <v/>
      </c>
      <c r="T11" s="49" t="str">
        <f t="shared" si="1"/>
        <v/>
      </c>
      <c r="U11" s="49" t="str">
        <f t="shared" si="1"/>
        <v/>
      </c>
      <c r="V11" s="49" t="str">
        <f t="shared" si="1"/>
        <v/>
      </c>
      <c r="W11" s="49" t="str">
        <f t="shared" si="1"/>
        <v/>
      </c>
      <c r="X11" s="49" t="str">
        <f t="shared" si="1"/>
        <v/>
      </c>
      <c r="Y11" s="49" t="str">
        <f t="shared" si="1"/>
        <v/>
      </c>
      <c r="Z11" s="49" t="str">
        <f t="shared" si="1"/>
        <v/>
      </c>
      <c r="AA11" s="49" t="str">
        <f t="shared" si="1"/>
        <v/>
      </c>
      <c r="AB11" s="49" t="str">
        <f t="shared" si="1"/>
        <v/>
      </c>
      <c r="AC11" s="49" t="str">
        <f t="shared" si="1"/>
        <v/>
      </c>
      <c r="AD11" s="49" t="str">
        <f t="shared" si="1"/>
        <v/>
      </c>
      <c r="AE11" s="49" t="str">
        <f t="shared" si="1"/>
        <v/>
      </c>
      <c r="AF11" s="49" t="str">
        <f t="shared" si="1"/>
        <v/>
      </c>
      <c r="AG11" s="49" t="str">
        <f t="shared" si="1"/>
        <v/>
      </c>
      <c r="AH11" s="44">
        <f>SUM(AH9:AH10)</f>
        <v>0</v>
      </c>
      <c r="AI11" s="45">
        <f>SUM(AI9:AI10)</f>
        <v>7</v>
      </c>
      <c r="AJ11" s="45">
        <f>SUM(AJ9:AJ10)</f>
        <v>0</v>
      </c>
      <c r="AK11" s="45">
        <f>SUM(AK9:AK10)</f>
        <v>0</v>
      </c>
      <c r="AL11" s="45">
        <f>SUM(AL9:AL10)</f>
        <v>0</v>
      </c>
      <c r="AM11" s="50">
        <f>Juin!AM11</f>
        <v>10.32</v>
      </c>
      <c r="AN11" s="51">
        <f>IF(A10="","",IF(A10&gt;NomMois,0,IF(A10&lt;$A$3,2.08,(NETWORKDAYS(A10,$A$2)/21.66667)*2.08)))</f>
        <v>2.08</v>
      </c>
      <c r="AO11" s="51">
        <f>IF( AN11="",0,+AN11+Janvier!AO11)</f>
        <v>18.72</v>
      </c>
      <c r="AP11" s="50">
        <f>IF(A10="","",IF(A10&gt;NomMois,0,IF(A10&lt;$A$3,1.5,(NETWORKDAYS(A10,$A$2)/21.66667)*1.5)))+Janvier!AP11</f>
        <v>3</v>
      </c>
      <c r="AQ11" s="45">
        <f>+AM11-AI11</f>
        <v>3.3200000000000003</v>
      </c>
      <c r="AR11" s="45">
        <f>+IF(AP11="","",AP11-AJ11)</f>
        <v>3</v>
      </c>
      <c r="AS11" s="102">
        <f>+AO11+AQ11</f>
        <v>22.04</v>
      </c>
    </row>
    <row r="12" spans="1:45" s="63" customFormat="1" ht="6.75" customHeight="1" x14ac:dyDescent="0.25">
      <c r="A12" s="60"/>
      <c r="B12" s="53"/>
      <c r="C12" s="60"/>
      <c r="D12" s="60"/>
      <c r="E12" s="60"/>
      <c r="F12" s="60"/>
      <c r="G12" s="60"/>
      <c r="H12" s="60"/>
      <c r="I12" s="60"/>
      <c r="J12" s="60"/>
      <c r="K12" s="60"/>
      <c r="L12" s="60"/>
      <c r="M12" s="60"/>
      <c r="N12" s="60"/>
      <c r="O12" s="60"/>
      <c r="P12" s="60"/>
      <c r="Q12" s="60"/>
      <c r="R12" s="60"/>
      <c r="S12" s="60"/>
      <c r="T12" s="60"/>
      <c r="U12" s="60"/>
      <c r="V12" s="60"/>
      <c r="W12" s="60"/>
      <c r="X12" s="60"/>
      <c r="Y12" s="60"/>
      <c r="Z12" s="60"/>
      <c r="AA12" s="60"/>
      <c r="AB12" s="60"/>
      <c r="AC12" s="60"/>
      <c r="AD12" s="60"/>
      <c r="AE12" s="60"/>
      <c r="AF12" s="60"/>
      <c r="AG12" s="60"/>
      <c r="AH12" s="61"/>
      <c r="AI12" s="61"/>
      <c r="AJ12" s="61"/>
      <c r="AK12" s="61"/>
      <c r="AL12" s="61"/>
      <c r="AM12" s="60"/>
      <c r="AN12" s="61"/>
      <c r="AO12" s="61"/>
      <c r="AP12" s="60"/>
      <c r="AQ12" s="61"/>
      <c r="AR12" s="61"/>
      <c r="AS12" s="65"/>
    </row>
    <row r="13" spans="1:45" s="79" customFormat="1" ht="12.95" customHeight="1" x14ac:dyDescent="0.25">
      <c r="A13" s="41"/>
      <c r="B13" s="42" t="s">
        <v>15</v>
      </c>
      <c r="C13" s="67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43"/>
      <c r="AB13" s="43"/>
      <c r="AC13" s="43"/>
      <c r="AD13" s="43"/>
      <c r="AE13" s="43"/>
      <c r="AF13" s="43"/>
      <c r="AG13" s="43"/>
      <c r="AH13" s="44">
        <f>COUNTA(Février!$C13:$AG13)</f>
        <v>0</v>
      </c>
      <c r="AI13" s="45">
        <f>(COUNTIFS(Février!$C13:$AG13,("cp")))/2+Janvier!AI13</f>
        <v>0.5</v>
      </c>
      <c r="AJ13" s="45">
        <f>COUNTIFS(Février!$C13:$AG13,"RTT")/2+Janvier!AJ13</f>
        <v>0</v>
      </c>
      <c r="AK13" s="45">
        <f>COUNTIFS(Février!$C13:$AG13,"m")/2+Janvier!AK13</f>
        <v>0</v>
      </c>
      <c r="AL13" s="45">
        <f>COUNTIFS(Février!$C13:$AG13,"a")/2+Janvier!AL13</f>
        <v>1.5</v>
      </c>
      <c r="AM13" s="46"/>
      <c r="AN13" s="47"/>
      <c r="AO13" s="47"/>
      <c r="AP13" s="46"/>
      <c r="AQ13" s="47"/>
      <c r="AR13" s="47"/>
      <c r="AS13" s="47"/>
    </row>
    <row r="14" spans="1:45" s="79" customFormat="1" ht="12.95" customHeight="1" x14ac:dyDescent="0.25">
      <c r="A14" s="48"/>
      <c r="B14" s="42" t="s">
        <v>16</v>
      </c>
      <c r="C14" s="67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4">
        <f>COUNTA(Février!$C14:$AG14)</f>
        <v>0</v>
      </c>
      <c r="AI14" s="45">
        <f>(COUNTIFS(Février!$C14:$AG14,("cp")))/2+Janvier!AI14</f>
        <v>0.5</v>
      </c>
      <c r="AJ14" s="45">
        <f>COUNTIFS(Février!$C14:$AG14,"RTT")/2+Janvier!AJ14</f>
        <v>0</v>
      </c>
      <c r="AK14" s="45">
        <f>COUNTIFS(Février!$C14:$AG14,"m")/2+Janvier!AK14</f>
        <v>0</v>
      </c>
      <c r="AL14" s="45">
        <f>COUNTIFS(Février!$C14:$AG14,"a")/2+Janvier!AL14</f>
        <v>1</v>
      </c>
      <c r="AM14" s="46"/>
      <c r="AN14" s="47"/>
      <c r="AO14" s="47"/>
      <c r="AP14" s="46"/>
      <c r="AQ14" s="47"/>
      <c r="AR14" s="47"/>
      <c r="AS14" s="101">
        <v>43014</v>
      </c>
    </row>
    <row r="15" spans="1:45" s="79" customFormat="1" ht="12.95" customHeight="1" x14ac:dyDescent="0.25">
      <c r="A15" s="41"/>
      <c r="B15" s="42"/>
      <c r="C15" s="49" t="str">
        <f t="shared" ref="C15:AG15" si="2">IF(C13&gt;0,C13,IF(C14&gt;0,C14,""))</f>
        <v/>
      </c>
      <c r="D15" s="49" t="str">
        <f t="shared" si="2"/>
        <v/>
      </c>
      <c r="E15" s="49" t="str">
        <f t="shared" si="2"/>
        <v/>
      </c>
      <c r="F15" s="49" t="str">
        <f t="shared" si="2"/>
        <v/>
      </c>
      <c r="G15" s="49" t="str">
        <f t="shared" si="2"/>
        <v/>
      </c>
      <c r="H15" s="49" t="str">
        <f t="shared" si="2"/>
        <v/>
      </c>
      <c r="I15" s="49" t="str">
        <f t="shared" si="2"/>
        <v/>
      </c>
      <c r="J15" s="49" t="str">
        <f t="shared" si="2"/>
        <v/>
      </c>
      <c r="K15" s="49" t="str">
        <f t="shared" si="2"/>
        <v/>
      </c>
      <c r="L15" s="49" t="str">
        <f t="shared" si="2"/>
        <v/>
      </c>
      <c r="M15" s="49" t="str">
        <f t="shared" si="2"/>
        <v/>
      </c>
      <c r="N15" s="49" t="str">
        <f t="shared" si="2"/>
        <v/>
      </c>
      <c r="O15" s="49" t="str">
        <f t="shared" si="2"/>
        <v/>
      </c>
      <c r="P15" s="49" t="str">
        <f t="shared" si="2"/>
        <v/>
      </c>
      <c r="Q15" s="49" t="str">
        <f t="shared" si="2"/>
        <v/>
      </c>
      <c r="R15" s="49" t="str">
        <f t="shared" si="2"/>
        <v/>
      </c>
      <c r="S15" s="49" t="str">
        <f t="shared" si="2"/>
        <v/>
      </c>
      <c r="T15" s="49" t="str">
        <f t="shared" si="2"/>
        <v/>
      </c>
      <c r="U15" s="49" t="str">
        <f t="shared" si="2"/>
        <v/>
      </c>
      <c r="V15" s="49" t="str">
        <f t="shared" si="2"/>
        <v/>
      </c>
      <c r="W15" s="49" t="str">
        <f t="shared" si="2"/>
        <v/>
      </c>
      <c r="X15" s="49" t="str">
        <f t="shared" si="2"/>
        <v/>
      </c>
      <c r="Y15" s="49" t="str">
        <f t="shared" si="2"/>
        <v/>
      </c>
      <c r="Z15" s="49" t="str">
        <f t="shared" si="2"/>
        <v/>
      </c>
      <c r="AA15" s="49" t="str">
        <f t="shared" si="2"/>
        <v/>
      </c>
      <c r="AB15" s="49" t="str">
        <f t="shared" si="2"/>
        <v/>
      </c>
      <c r="AC15" s="49" t="str">
        <f t="shared" si="2"/>
        <v/>
      </c>
      <c r="AD15" s="49" t="str">
        <f t="shared" si="2"/>
        <v/>
      </c>
      <c r="AE15" s="49" t="str">
        <f t="shared" si="2"/>
        <v/>
      </c>
      <c r="AF15" s="49" t="str">
        <f t="shared" si="2"/>
        <v/>
      </c>
      <c r="AG15" s="49" t="str">
        <f t="shared" si="2"/>
        <v/>
      </c>
      <c r="AH15" s="44">
        <f>SUM(AH13:AH14)</f>
        <v>0</v>
      </c>
      <c r="AI15" s="45">
        <f>SUM(AI13:AI14)</f>
        <v>1</v>
      </c>
      <c r="AJ15" s="45">
        <f>SUM(AJ13:AJ14)</f>
        <v>0</v>
      </c>
      <c r="AK15" s="45">
        <f>SUM(AK13:AK14)</f>
        <v>0</v>
      </c>
      <c r="AL15" s="45">
        <f>SUM(AL13:AL14)</f>
        <v>2.5</v>
      </c>
      <c r="AM15" s="50">
        <f>Juin!AM15</f>
        <v>0</v>
      </c>
      <c r="AN15" s="51" t="str">
        <f>IF(A14="","",IF(A14&gt;NomMois,0,IF(A14&lt;$A$3,2.08,(NETWORKDAYS(A14,$A$2)/21.66667)*2.08)))</f>
        <v/>
      </c>
      <c r="AO15" s="51">
        <f>IF( AN15="",0,+AN15+Janvier!AO15)</f>
        <v>0</v>
      </c>
      <c r="AP15" s="50" t="e">
        <f>IF(A14="","",IF(A14&gt;NomMois,0,IF(A14&lt;$A$3,1.5,(NETWORKDAYS(A14,$A$2)/21.66667)*1.5)))+Janvier!AP15</f>
        <v>#VALUE!</v>
      </c>
      <c r="AQ15" s="45">
        <f>+AM15-AI15</f>
        <v>-1</v>
      </c>
      <c r="AR15" s="45" t="e">
        <f>+IF(AP15="","",AP15-AJ15)</f>
        <v>#VALUE!</v>
      </c>
      <c r="AS15" s="102">
        <f>+AO15+AQ15</f>
        <v>-1</v>
      </c>
    </row>
    <row r="16" spans="1:45" s="63" customFormat="1" ht="6.75" customHeight="1" x14ac:dyDescent="0.25">
      <c r="A16" s="60"/>
      <c r="B16" s="42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  <c r="N16" s="64"/>
      <c r="O16" s="64"/>
      <c r="P16" s="64"/>
      <c r="Q16" s="64"/>
      <c r="R16" s="64"/>
      <c r="S16" s="64"/>
      <c r="T16" s="64"/>
      <c r="U16" s="64"/>
      <c r="V16" s="64"/>
      <c r="W16" s="64"/>
      <c r="X16" s="64"/>
      <c r="Y16" s="64"/>
      <c r="Z16" s="64"/>
      <c r="AA16" s="64"/>
      <c r="AB16" s="64"/>
      <c r="AC16" s="64"/>
      <c r="AD16" s="64"/>
      <c r="AE16" s="64"/>
      <c r="AF16" s="64"/>
      <c r="AG16" s="64"/>
      <c r="AH16" s="65"/>
      <c r="AI16" s="65"/>
      <c r="AJ16" s="65"/>
      <c r="AK16" s="65"/>
      <c r="AL16" s="65"/>
      <c r="AM16" s="64"/>
      <c r="AN16" s="65"/>
      <c r="AO16" s="65"/>
      <c r="AP16" s="64"/>
      <c r="AQ16" s="65"/>
      <c r="AR16" s="65"/>
      <c r="AS16" s="65"/>
    </row>
    <row r="17" spans="1:45" s="63" customFormat="1" ht="12.95" customHeight="1" x14ac:dyDescent="0.25">
      <c r="A17" s="41"/>
      <c r="B17" s="42" t="s">
        <v>15</v>
      </c>
      <c r="C17" s="67"/>
      <c r="D17" s="67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4">
        <f>COUNTA(Février!$C17:$AG17)</f>
        <v>0</v>
      </c>
      <c r="AI17" s="45">
        <f>(COUNTIFS(Février!$C17:$AG17,("cp")))/2+Janvier!AI17</f>
        <v>8.5</v>
      </c>
      <c r="AJ17" s="45">
        <f>COUNTIFS(Février!$C17:$AG17,"RTT")/2+Janvier!AJ17</f>
        <v>0</v>
      </c>
      <c r="AK17" s="45">
        <f>COUNTIFS(Février!$C17:$AG17,"m")/2+Janvier!AK17</f>
        <v>0</v>
      </c>
      <c r="AL17" s="45">
        <f>COUNTIFS(Février!$C17:$AG17,"a")/2+Janvier!AL17</f>
        <v>0</v>
      </c>
      <c r="AM17" s="46"/>
      <c r="AN17" s="47"/>
      <c r="AO17" s="47"/>
      <c r="AP17" s="46"/>
      <c r="AQ17" s="47"/>
      <c r="AR17" s="47"/>
      <c r="AS17" s="47"/>
    </row>
    <row r="18" spans="1:45" s="63" customFormat="1" ht="12.95" customHeight="1" x14ac:dyDescent="0.25">
      <c r="A18" s="48">
        <v>38923</v>
      </c>
      <c r="B18" s="42" t="s">
        <v>16</v>
      </c>
      <c r="C18" s="67"/>
      <c r="D18" s="67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3"/>
      <c r="AC18" s="43"/>
      <c r="AD18" s="43"/>
      <c r="AE18" s="43"/>
      <c r="AF18" s="43"/>
      <c r="AG18" s="43"/>
      <c r="AH18" s="44">
        <f>COUNTA(Février!$C18:$AG18)</f>
        <v>0</v>
      </c>
      <c r="AI18" s="45">
        <f>(COUNTIFS(Février!$C18:$AG18,("cp")))/2+Janvier!AI18</f>
        <v>8.5</v>
      </c>
      <c r="AJ18" s="45">
        <f>COUNTIFS(Février!$C18:$AG18,"RTT")/2+Janvier!AJ18</f>
        <v>0</v>
      </c>
      <c r="AK18" s="45">
        <f>COUNTIFS(Février!$C18:$AG18,"m")/2+Janvier!AK18</f>
        <v>0</v>
      </c>
      <c r="AL18" s="45">
        <f>COUNTIFS(Février!$C18:$AG18,"a")/2+Janvier!AL18</f>
        <v>0</v>
      </c>
      <c r="AM18" s="46"/>
      <c r="AN18" s="47"/>
      <c r="AO18" s="47"/>
      <c r="AP18" s="46"/>
      <c r="AQ18" s="47"/>
      <c r="AR18" s="47"/>
      <c r="AS18" s="101"/>
    </row>
    <row r="19" spans="1:45" s="63" customFormat="1" ht="12.95" customHeight="1" x14ac:dyDescent="0.25">
      <c r="A19" s="41"/>
      <c r="B19" s="42"/>
      <c r="C19" s="49" t="str">
        <f t="shared" ref="C19:AG19" si="3">IF(C17&gt;0,C17,IF(C18&gt;0,C18,""))</f>
        <v/>
      </c>
      <c r="D19" s="49" t="str">
        <f t="shared" si="3"/>
        <v/>
      </c>
      <c r="E19" s="49" t="str">
        <f t="shared" si="3"/>
        <v/>
      </c>
      <c r="F19" s="49" t="str">
        <f t="shared" si="3"/>
        <v/>
      </c>
      <c r="G19" s="49" t="str">
        <f t="shared" si="3"/>
        <v/>
      </c>
      <c r="H19" s="49" t="str">
        <f t="shared" si="3"/>
        <v/>
      </c>
      <c r="I19" s="49" t="str">
        <f t="shared" si="3"/>
        <v/>
      </c>
      <c r="J19" s="49" t="str">
        <f t="shared" si="3"/>
        <v/>
      </c>
      <c r="K19" s="49" t="str">
        <f t="shared" si="3"/>
        <v/>
      </c>
      <c r="L19" s="49" t="str">
        <f t="shared" si="3"/>
        <v/>
      </c>
      <c r="M19" s="49" t="str">
        <f t="shared" si="3"/>
        <v/>
      </c>
      <c r="N19" s="49" t="str">
        <f t="shared" si="3"/>
        <v/>
      </c>
      <c r="O19" s="49" t="str">
        <f t="shared" si="3"/>
        <v/>
      </c>
      <c r="P19" s="49" t="str">
        <f t="shared" si="3"/>
        <v/>
      </c>
      <c r="Q19" s="49" t="str">
        <f t="shared" si="3"/>
        <v/>
      </c>
      <c r="R19" s="49" t="str">
        <f t="shared" si="3"/>
        <v/>
      </c>
      <c r="S19" s="49" t="str">
        <f t="shared" si="3"/>
        <v/>
      </c>
      <c r="T19" s="49" t="str">
        <f t="shared" si="3"/>
        <v/>
      </c>
      <c r="U19" s="49" t="str">
        <f t="shared" si="3"/>
        <v/>
      </c>
      <c r="V19" s="49" t="str">
        <f t="shared" si="3"/>
        <v/>
      </c>
      <c r="W19" s="49" t="str">
        <f t="shared" si="3"/>
        <v/>
      </c>
      <c r="X19" s="49" t="str">
        <f t="shared" si="3"/>
        <v/>
      </c>
      <c r="Y19" s="49" t="str">
        <f t="shared" si="3"/>
        <v/>
      </c>
      <c r="Z19" s="49" t="str">
        <f t="shared" si="3"/>
        <v/>
      </c>
      <c r="AA19" s="49" t="str">
        <f t="shared" si="3"/>
        <v/>
      </c>
      <c r="AB19" s="49" t="str">
        <f t="shared" si="3"/>
        <v/>
      </c>
      <c r="AC19" s="49" t="str">
        <f t="shared" si="3"/>
        <v/>
      </c>
      <c r="AD19" s="49" t="str">
        <f t="shared" si="3"/>
        <v/>
      </c>
      <c r="AE19" s="49" t="str">
        <f t="shared" si="3"/>
        <v/>
      </c>
      <c r="AF19" s="49" t="str">
        <f t="shared" si="3"/>
        <v/>
      </c>
      <c r="AG19" s="49" t="str">
        <f t="shared" si="3"/>
        <v/>
      </c>
      <c r="AH19" s="44">
        <f>SUM(AH17:AH18)</f>
        <v>0</v>
      </c>
      <c r="AI19" s="45">
        <f>SUM(AI17:AI18)</f>
        <v>17</v>
      </c>
      <c r="AJ19" s="45">
        <f>SUM(AJ17:AJ18)</f>
        <v>0</v>
      </c>
      <c r="AK19" s="45">
        <f>SUM(AK17:AK18)</f>
        <v>0</v>
      </c>
      <c r="AL19" s="45">
        <f>SUM(AL17:AL18)</f>
        <v>0</v>
      </c>
      <c r="AM19" s="50">
        <f>Juin!AM19</f>
        <v>24.54</v>
      </c>
      <c r="AN19" s="51">
        <f>IF(A18="","",IF(A18&gt;NomMois,0,IF(A18&lt;$A$3,2.08,(NETWORKDAYS(A18,$A$2)/21.66667)*2.08)))</f>
        <v>2.08</v>
      </c>
      <c r="AO19" s="51">
        <f>IF( AN19="",0,+AN19+Janvier!AO19)</f>
        <v>18.72</v>
      </c>
      <c r="AP19" s="50">
        <f>IF(A18="","",IF(A18&gt;NomMois,0,IF(A18&lt;$A$3,1.5,(NETWORKDAYS(A18,$A$2)/21.66667)*1.5)))+Janvier!AP19</f>
        <v>3</v>
      </c>
      <c r="AQ19" s="45">
        <f>+AM19-AI19</f>
        <v>7.5399999999999991</v>
      </c>
      <c r="AR19" s="45">
        <f>+IF(AP19="","",AP19-AJ19)</f>
        <v>3</v>
      </c>
      <c r="AS19" s="102">
        <f t="shared" ref="AS19" si="4">+AO19+AQ19</f>
        <v>26.259999999999998</v>
      </c>
    </row>
    <row r="20" spans="1:45" s="63" customFormat="1" ht="6.75" customHeight="1" x14ac:dyDescent="0.25">
      <c r="A20" s="60"/>
      <c r="B20" s="53"/>
      <c r="C20" s="60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0"/>
      <c r="AG20" s="60"/>
      <c r="AH20" s="61"/>
      <c r="AI20" s="61"/>
      <c r="AJ20" s="61"/>
      <c r="AK20" s="61"/>
      <c r="AL20" s="61"/>
      <c r="AM20" s="60"/>
      <c r="AN20" s="61"/>
      <c r="AO20" s="61"/>
      <c r="AP20" s="60"/>
      <c r="AQ20" s="61"/>
      <c r="AR20" s="61"/>
      <c r="AS20" s="65"/>
    </row>
    <row r="21" spans="1:45" s="63" customFormat="1" ht="12.95" customHeight="1" x14ac:dyDescent="0.25">
      <c r="A21" s="41"/>
      <c r="B21" s="42" t="s">
        <v>15</v>
      </c>
      <c r="C21" s="67"/>
      <c r="D21" s="67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43"/>
      <c r="AC21" s="43"/>
      <c r="AD21" s="43"/>
      <c r="AE21" s="43"/>
      <c r="AF21" s="43"/>
      <c r="AG21" s="43"/>
      <c r="AH21" s="44">
        <f>COUNTA(Février!$C21:$AG21)</f>
        <v>0</v>
      </c>
      <c r="AI21" s="45">
        <f>(COUNTIFS(Février!$C21:$AG21,("cp")))/2+Janvier!AI21</f>
        <v>1.5</v>
      </c>
      <c r="AJ21" s="45">
        <f>COUNTIFS(Février!$C21:$AG21,"RTT")/2+Janvier!AJ21</f>
        <v>0</v>
      </c>
      <c r="AK21" s="45">
        <f>COUNTIFS(Février!$C21:$AG21,"m")/2+Janvier!AK21</f>
        <v>0</v>
      </c>
      <c r="AL21" s="45">
        <f>COUNTIFS(Février!$C21:$AG21,"a")/2+Janvier!AL21</f>
        <v>0.5</v>
      </c>
      <c r="AM21" s="46"/>
      <c r="AN21" s="47"/>
      <c r="AO21" s="47"/>
      <c r="AP21" s="46"/>
      <c r="AQ21" s="47"/>
      <c r="AR21" s="47"/>
      <c r="AS21" s="47"/>
    </row>
    <row r="22" spans="1:45" s="63" customFormat="1" ht="12.95" customHeight="1" x14ac:dyDescent="0.25">
      <c r="A22" s="48">
        <v>41824</v>
      </c>
      <c r="B22" s="42" t="s">
        <v>16</v>
      </c>
      <c r="C22" s="67"/>
      <c r="D22" s="67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43"/>
      <c r="AC22" s="43"/>
      <c r="AD22" s="43"/>
      <c r="AE22" s="43"/>
      <c r="AF22" s="43"/>
      <c r="AG22" s="43"/>
      <c r="AH22" s="44">
        <f>COUNTA(Février!$C22:$AG22)</f>
        <v>0</v>
      </c>
      <c r="AI22" s="45">
        <f>(COUNTIFS(Février!$C22:$AG22,("cp")))/2+Janvier!AI22</f>
        <v>1.5</v>
      </c>
      <c r="AJ22" s="45">
        <f>COUNTIFS(Février!$C22:$AG22,"RTT")/2+Janvier!AJ22</f>
        <v>0</v>
      </c>
      <c r="AK22" s="45">
        <f>COUNTIFS(Février!$C22:$AG22,"m")/2+Janvier!AK22</f>
        <v>0</v>
      </c>
      <c r="AL22" s="45">
        <f>COUNTIFS(Février!$C22:$AG22,"a")/2+Janvier!AL22</f>
        <v>0.5</v>
      </c>
      <c r="AM22" s="46"/>
      <c r="AN22" s="47"/>
      <c r="AO22" s="47"/>
      <c r="AP22" s="46"/>
      <c r="AQ22" s="47"/>
      <c r="AR22" s="47"/>
      <c r="AS22" s="101"/>
    </row>
    <row r="23" spans="1:45" s="63" customFormat="1" ht="12.95" customHeight="1" x14ac:dyDescent="0.25">
      <c r="A23" s="41"/>
      <c r="B23" s="42"/>
      <c r="C23" s="49" t="str">
        <f t="shared" ref="C23:AG23" si="5">IF(C21&gt;0,C21,IF(C22&gt;0,C22,""))</f>
        <v/>
      </c>
      <c r="D23" s="49" t="str">
        <f t="shared" si="5"/>
        <v/>
      </c>
      <c r="E23" s="49" t="str">
        <f t="shared" si="5"/>
        <v/>
      </c>
      <c r="F23" s="49" t="str">
        <f t="shared" si="5"/>
        <v/>
      </c>
      <c r="G23" s="49" t="str">
        <f t="shared" si="5"/>
        <v/>
      </c>
      <c r="H23" s="49" t="str">
        <f t="shared" si="5"/>
        <v/>
      </c>
      <c r="I23" s="49" t="str">
        <f t="shared" si="5"/>
        <v/>
      </c>
      <c r="J23" s="49" t="str">
        <f t="shared" si="5"/>
        <v/>
      </c>
      <c r="K23" s="49" t="str">
        <f t="shared" si="5"/>
        <v/>
      </c>
      <c r="L23" s="49" t="str">
        <f t="shared" si="5"/>
        <v/>
      </c>
      <c r="M23" s="49" t="str">
        <f t="shared" si="5"/>
        <v/>
      </c>
      <c r="N23" s="49" t="str">
        <f t="shared" si="5"/>
        <v/>
      </c>
      <c r="O23" s="49" t="str">
        <f t="shared" si="5"/>
        <v/>
      </c>
      <c r="P23" s="49" t="str">
        <f t="shared" si="5"/>
        <v/>
      </c>
      <c r="Q23" s="49" t="str">
        <f t="shared" si="5"/>
        <v/>
      </c>
      <c r="R23" s="49" t="str">
        <f t="shared" si="5"/>
        <v/>
      </c>
      <c r="S23" s="49" t="str">
        <f t="shared" si="5"/>
        <v/>
      </c>
      <c r="T23" s="49" t="str">
        <f t="shared" si="5"/>
        <v/>
      </c>
      <c r="U23" s="49" t="str">
        <f t="shared" si="5"/>
        <v/>
      </c>
      <c r="V23" s="49" t="str">
        <f t="shared" si="5"/>
        <v/>
      </c>
      <c r="W23" s="49" t="str">
        <f t="shared" si="5"/>
        <v/>
      </c>
      <c r="X23" s="49" t="str">
        <f t="shared" si="5"/>
        <v/>
      </c>
      <c r="Y23" s="49" t="str">
        <f t="shared" si="5"/>
        <v/>
      </c>
      <c r="Z23" s="49" t="str">
        <f t="shared" si="5"/>
        <v/>
      </c>
      <c r="AA23" s="49" t="str">
        <f t="shared" si="5"/>
        <v/>
      </c>
      <c r="AB23" s="49" t="str">
        <f t="shared" si="5"/>
        <v/>
      </c>
      <c r="AC23" s="49" t="str">
        <f t="shared" si="5"/>
        <v/>
      </c>
      <c r="AD23" s="49" t="str">
        <f t="shared" si="5"/>
        <v/>
      </c>
      <c r="AE23" s="49" t="str">
        <f t="shared" si="5"/>
        <v/>
      </c>
      <c r="AF23" s="49" t="str">
        <f t="shared" si="5"/>
        <v/>
      </c>
      <c r="AG23" s="49" t="str">
        <f t="shared" si="5"/>
        <v/>
      </c>
      <c r="AH23" s="44">
        <f>SUM(AH21:AH22)</f>
        <v>0</v>
      </c>
      <c r="AI23" s="45">
        <f>SUM(AI21:AI22)</f>
        <v>3</v>
      </c>
      <c r="AJ23" s="45">
        <f>SUM(AJ21:AJ22)</f>
        <v>0</v>
      </c>
      <c r="AK23" s="45">
        <f>SUM(AK21:AK22)</f>
        <v>0</v>
      </c>
      <c r="AL23" s="45">
        <f>SUM(AL21:AL22)</f>
        <v>1</v>
      </c>
      <c r="AM23" s="50">
        <f>Juin!AM23</f>
        <v>11.23</v>
      </c>
      <c r="AN23" s="51">
        <f>IF(A22="","",IF(A22&gt;NomMois,0,IF(A22&lt;$A$3,2.08,(NETWORKDAYS(A22,$A$2)/21.66667)*2.08)))</f>
        <v>2.08</v>
      </c>
      <c r="AO23" s="51">
        <f>IF( AN23="",0,+AN23+Janvier!AO23)</f>
        <v>18.72</v>
      </c>
      <c r="AP23" s="50">
        <f>IF(A22="","",IF(A22&gt;NomMois,0,IF(A22&lt;$A$3,1.5,(NETWORKDAYS(A22,$A$2)/21.66667)*1.5)))+Janvier!AP23</f>
        <v>3</v>
      </c>
      <c r="AQ23" s="45">
        <f>+AM23-AI23</f>
        <v>8.23</v>
      </c>
      <c r="AR23" s="45">
        <f>+IF(AP23="","",AP23-AJ23)</f>
        <v>3</v>
      </c>
      <c r="AS23" s="102">
        <f t="shared" ref="AS23" si="6">+AO23+AQ23</f>
        <v>26.95</v>
      </c>
    </row>
    <row r="24" spans="1:45" s="63" customFormat="1" ht="6.75" customHeight="1" x14ac:dyDescent="0.25">
      <c r="A24" s="60"/>
      <c r="B24" s="53"/>
      <c r="C24" s="60"/>
      <c r="D24" s="60"/>
      <c r="E24" s="60"/>
      <c r="F24" s="60"/>
      <c r="G24" s="60"/>
      <c r="H24" s="60"/>
      <c r="I24" s="60"/>
      <c r="J24" s="60"/>
      <c r="K24" s="60"/>
      <c r="L24" s="60"/>
      <c r="M24" s="60"/>
      <c r="N24" s="60"/>
      <c r="O24" s="60"/>
      <c r="P24" s="60"/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60"/>
      <c r="AD24" s="60"/>
      <c r="AE24" s="60"/>
      <c r="AF24" s="60"/>
      <c r="AG24" s="60"/>
      <c r="AH24" s="61"/>
      <c r="AI24" s="61"/>
      <c r="AJ24" s="61"/>
      <c r="AK24" s="61"/>
      <c r="AL24" s="61"/>
      <c r="AM24" s="60"/>
      <c r="AN24" s="61"/>
      <c r="AO24" s="61"/>
      <c r="AP24" s="60"/>
      <c r="AQ24" s="61"/>
      <c r="AR24" s="61"/>
      <c r="AS24" s="65"/>
    </row>
    <row r="25" spans="1:45" s="63" customFormat="1" ht="12.95" customHeight="1" x14ac:dyDescent="0.25">
      <c r="A25" s="41"/>
      <c r="B25" s="42" t="s">
        <v>15</v>
      </c>
      <c r="C25" s="67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  <c r="AA25" s="43"/>
      <c r="AB25" s="43"/>
      <c r="AC25" s="43"/>
      <c r="AD25" s="43"/>
      <c r="AE25" s="43"/>
      <c r="AF25" s="43"/>
      <c r="AG25" s="43"/>
      <c r="AH25" s="44">
        <f>COUNTA(Février!$C25:$AG25)</f>
        <v>0</v>
      </c>
      <c r="AI25" s="45">
        <f>(COUNTIFS(Février!$C25:$AG25,("cp")))/2+Janvier!AI25</f>
        <v>3.5</v>
      </c>
      <c r="AJ25" s="45">
        <f>COUNTIFS(Février!$C25:$AG25,"RTT")/2+Janvier!AJ25</f>
        <v>0</v>
      </c>
      <c r="AK25" s="45">
        <f>COUNTIFS(Février!$C25:$AG25,"m")/2+Janvier!AK25</f>
        <v>0</v>
      </c>
      <c r="AL25" s="45">
        <f>COUNTIFS(Février!$C25:$AG25,"a")/2+Janvier!AL25</f>
        <v>0</v>
      </c>
      <c r="AM25" s="46"/>
      <c r="AN25" s="47"/>
      <c r="AO25" s="47"/>
      <c r="AP25" s="46"/>
      <c r="AQ25" s="47"/>
      <c r="AR25" s="47"/>
      <c r="AS25" s="47"/>
    </row>
    <row r="26" spans="1:45" s="63" customFormat="1" ht="12.95" customHeight="1" x14ac:dyDescent="0.25">
      <c r="A26" s="48">
        <v>38626</v>
      </c>
      <c r="B26" s="42" t="s">
        <v>16</v>
      </c>
      <c r="C26" s="67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43"/>
      <c r="AB26" s="43"/>
      <c r="AC26" s="43"/>
      <c r="AD26" s="43"/>
      <c r="AE26" s="43"/>
      <c r="AF26" s="43"/>
      <c r="AG26" s="43"/>
      <c r="AH26" s="44">
        <f>COUNTA(Février!$C26:$AG26)</f>
        <v>0</v>
      </c>
      <c r="AI26" s="45">
        <f>(COUNTIFS(Février!$C26:$AG26,("cp")))/2+Janvier!AI26</f>
        <v>3.5</v>
      </c>
      <c r="AJ26" s="45">
        <f>COUNTIFS(Février!$C26:$AG26,"RTT")/2+Janvier!AJ26</f>
        <v>0</v>
      </c>
      <c r="AK26" s="45">
        <f>COUNTIFS(Février!$C26:$AG26,"m")/2+Janvier!AK26</f>
        <v>0</v>
      </c>
      <c r="AL26" s="45">
        <f>COUNTIFS(Février!$C26:$AG26,"a")/2+Janvier!AL26</f>
        <v>0</v>
      </c>
      <c r="AM26" s="46"/>
      <c r="AN26" s="47"/>
      <c r="AO26" s="47"/>
      <c r="AP26" s="46"/>
      <c r="AQ26" s="47"/>
      <c r="AR26" s="47"/>
      <c r="AS26" s="101"/>
    </row>
    <row r="27" spans="1:45" s="63" customFormat="1" ht="12.95" customHeight="1" x14ac:dyDescent="0.25">
      <c r="A27" s="41"/>
      <c r="B27" s="42"/>
      <c r="C27" s="49" t="str">
        <f t="shared" ref="C27:AG27" si="7">IF(C25&gt;0,C25,IF(C26&gt;0,C26,""))</f>
        <v/>
      </c>
      <c r="D27" s="49" t="str">
        <f t="shared" si="7"/>
        <v/>
      </c>
      <c r="E27" s="49" t="str">
        <f t="shared" si="7"/>
        <v/>
      </c>
      <c r="F27" s="49" t="str">
        <f t="shared" si="7"/>
        <v/>
      </c>
      <c r="G27" s="49" t="str">
        <f t="shared" si="7"/>
        <v/>
      </c>
      <c r="H27" s="49" t="str">
        <f t="shared" si="7"/>
        <v/>
      </c>
      <c r="I27" s="49" t="str">
        <f t="shared" si="7"/>
        <v/>
      </c>
      <c r="J27" s="49" t="str">
        <f t="shared" si="7"/>
        <v/>
      </c>
      <c r="K27" s="49" t="str">
        <f t="shared" si="7"/>
        <v/>
      </c>
      <c r="L27" s="49" t="str">
        <f t="shared" si="7"/>
        <v/>
      </c>
      <c r="M27" s="49" t="str">
        <f t="shared" si="7"/>
        <v/>
      </c>
      <c r="N27" s="49" t="str">
        <f t="shared" si="7"/>
        <v/>
      </c>
      <c r="O27" s="49" t="str">
        <f t="shared" si="7"/>
        <v/>
      </c>
      <c r="P27" s="49" t="str">
        <f t="shared" si="7"/>
        <v/>
      </c>
      <c r="Q27" s="49" t="str">
        <f t="shared" si="7"/>
        <v/>
      </c>
      <c r="R27" s="49" t="str">
        <f t="shared" si="7"/>
        <v/>
      </c>
      <c r="S27" s="49" t="str">
        <f t="shared" si="7"/>
        <v/>
      </c>
      <c r="T27" s="49" t="str">
        <f t="shared" si="7"/>
        <v/>
      </c>
      <c r="U27" s="49" t="str">
        <f t="shared" si="7"/>
        <v/>
      </c>
      <c r="V27" s="49" t="str">
        <f t="shared" si="7"/>
        <v/>
      </c>
      <c r="W27" s="49" t="str">
        <f t="shared" si="7"/>
        <v/>
      </c>
      <c r="X27" s="49" t="str">
        <f t="shared" si="7"/>
        <v/>
      </c>
      <c r="Y27" s="49" t="str">
        <f t="shared" si="7"/>
        <v/>
      </c>
      <c r="Z27" s="49" t="str">
        <f t="shared" si="7"/>
        <v/>
      </c>
      <c r="AA27" s="49" t="str">
        <f t="shared" si="7"/>
        <v/>
      </c>
      <c r="AB27" s="49" t="str">
        <f t="shared" si="7"/>
        <v/>
      </c>
      <c r="AC27" s="49" t="str">
        <f t="shared" si="7"/>
        <v/>
      </c>
      <c r="AD27" s="49" t="str">
        <f t="shared" si="7"/>
        <v/>
      </c>
      <c r="AE27" s="49" t="str">
        <f t="shared" si="7"/>
        <v/>
      </c>
      <c r="AF27" s="49" t="str">
        <f t="shared" si="7"/>
        <v/>
      </c>
      <c r="AG27" s="49" t="str">
        <f t="shared" si="7"/>
        <v/>
      </c>
      <c r="AH27" s="44">
        <f>SUM(AH25:AH26)</f>
        <v>0</v>
      </c>
      <c r="AI27" s="45">
        <f>SUM(AI25:AI26)</f>
        <v>7</v>
      </c>
      <c r="AJ27" s="45">
        <f>SUM(AJ25:AJ26)</f>
        <v>0</v>
      </c>
      <c r="AK27" s="45">
        <f>SUM(AK25:AK26)</f>
        <v>0</v>
      </c>
      <c r="AL27" s="45">
        <f>SUM(AL25:AL26)</f>
        <v>0</v>
      </c>
      <c r="AM27" s="50">
        <f>Juin!AM27</f>
        <v>28.7</v>
      </c>
      <c r="AN27" s="51">
        <f>IF(A26="","",IF(A26&gt;NomMois,0,IF(A26&lt;$A$3,2.08,(NETWORKDAYS(A26,$A$2)/21.66667)*2.08)))</f>
        <v>2.08</v>
      </c>
      <c r="AO27" s="51">
        <f>IF( AN27="",0,+AN27+Janvier!AO27)</f>
        <v>18.72</v>
      </c>
      <c r="AP27" s="50">
        <f>IF(A26="","",IF(A26&gt;NomMois,0,IF(A26&lt;$A$3,1.5,(NETWORKDAYS(A26,$A$2)/21.66667)*1.5)))+Janvier!AP27</f>
        <v>3</v>
      </c>
      <c r="AQ27" s="45">
        <f>+AM27-AI27</f>
        <v>21.7</v>
      </c>
      <c r="AR27" s="45">
        <f>+IF(AP27="","",AP27-AJ27)</f>
        <v>3</v>
      </c>
      <c r="AS27" s="102">
        <f t="shared" ref="AS27" si="8">+AO27+AQ27</f>
        <v>40.42</v>
      </c>
    </row>
    <row r="28" spans="1:45" s="63" customFormat="1" ht="6.75" customHeight="1" x14ac:dyDescent="0.25">
      <c r="A28" s="60"/>
      <c r="B28" s="53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1"/>
      <c r="AI28" s="61"/>
      <c r="AJ28" s="61"/>
      <c r="AK28" s="61"/>
      <c r="AL28" s="61"/>
      <c r="AM28" s="60"/>
      <c r="AN28" s="61"/>
      <c r="AO28" s="61"/>
      <c r="AP28" s="60"/>
      <c r="AQ28" s="61"/>
      <c r="AR28" s="61"/>
      <c r="AS28" s="65"/>
    </row>
    <row r="29" spans="1:45" s="63" customFormat="1" ht="12.95" customHeight="1" x14ac:dyDescent="0.25">
      <c r="A29" s="41"/>
      <c r="B29" s="42" t="s">
        <v>15</v>
      </c>
      <c r="C29" s="67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4">
        <f>COUNTA(Février!$C29:$AG29)</f>
        <v>0</v>
      </c>
      <c r="AI29" s="45">
        <f>(COUNTIFS(Février!$C29:$AG29,("cp")))/2+Janvier!AI29</f>
        <v>7.5</v>
      </c>
      <c r="AJ29" s="45">
        <f>COUNTIFS(Février!$C29:$AG29,"RTT")/2+Janvier!AJ29</f>
        <v>0</v>
      </c>
      <c r="AK29" s="45">
        <f>COUNTIFS(Février!$C29:$AG29,"m")/2+Janvier!AK29</f>
        <v>0</v>
      </c>
      <c r="AL29" s="45">
        <f>COUNTIFS(Février!$C29:$AG29,"a")/2+Janvier!AL29</f>
        <v>0</v>
      </c>
      <c r="AM29" s="46"/>
      <c r="AN29" s="47"/>
      <c r="AO29" s="47"/>
      <c r="AP29" s="46"/>
      <c r="AQ29" s="47"/>
      <c r="AR29" s="47"/>
      <c r="AS29" s="47"/>
    </row>
    <row r="30" spans="1:45" s="63" customFormat="1" ht="12.95" customHeight="1" x14ac:dyDescent="0.25">
      <c r="A30" s="48">
        <v>36892</v>
      </c>
      <c r="B30" s="42" t="s">
        <v>16</v>
      </c>
      <c r="C30" s="67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4">
        <f>COUNTA(Février!$C30:$AG30)</f>
        <v>0</v>
      </c>
      <c r="AI30" s="45">
        <f>(COUNTIFS(Février!$C30:$AG30,("cp")))/2+Janvier!AI30</f>
        <v>8</v>
      </c>
      <c r="AJ30" s="45">
        <f>COUNTIFS(Février!$C30:$AG30,"RTT")/2+Janvier!AJ30</f>
        <v>0</v>
      </c>
      <c r="AK30" s="45">
        <f>COUNTIFS(Février!$C30:$AG30,"m")/2+Janvier!AK30</f>
        <v>0</v>
      </c>
      <c r="AL30" s="45">
        <f>COUNTIFS(Février!$C30:$AG30,"a")/2+Janvier!AL30</f>
        <v>0</v>
      </c>
      <c r="AM30" s="46"/>
      <c r="AN30" s="47"/>
      <c r="AO30" s="47"/>
      <c r="AP30" s="46"/>
      <c r="AQ30" s="47"/>
      <c r="AR30" s="47"/>
      <c r="AS30" s="101"/>
    </row>
    <row r="31" spans="1:45" s="63" customFormat="1" ht="12.95" customHeight="1" x14ac:dyDescent="0.25">
      <c r="A31" s="41"/>
      <c r="B31" s="42"/>
      <c r="C31" s="49" t="str">
        <f t="shared" ref="C31:AG31" si="9">IF(C29&gt;0,C29,IF(C30&gt;0,C30,""))</f>
        <v/>
      </c>
      <c r="D31" s="49" t="str">
        <f t="shared" si="9"/>
        <v/>
      </c>
      <c r="E31" s="49" t="str">
        <f t="shared" si="9"/>
        <v/>
      </c>
      <c r="F31" s="49" t="str">
        <f t="shared" si="9"/>
        <v/>
      </c>
      <c r="G31" s="49" t="str">
        <f t="shared" si="9"/>
        <v/>
      </c>
      <c r="H31" s="49" t="str">
        <f t="shared" si="9"/>
        <v/>
      </c>
      <c r="I31" s="49" t="str">
        <f t="shared" si="9"/>
        <v/>
      </c>
      <c r="J31" s="49" t="str">
        <f t="shared" si="9"/>
        <v/>
      </c>
      <c r="K31" s="49" t="str">
        <f t="shared" si="9"/>
        <v/>
      </c>
      <c r="L31" s="49" t="str">
        <f t="shared" si="9"/>
        <v/>
      </c>
      <c r="M31" s="49" t="str">
        <f t="shared" si="9"/>
        <v/>
      </c>
      <c r="N31" s="49" t="str">
        <f t="shared" si="9"/>
        <v/>
      </c>
      <c r="O31" s="49" t="str">
        <f t="shared" si="9"/>
        <v/>
      </c>
      <c r="P31" s="49" t="str">
        <f t="shared" si="9"/>
        <v/>
      </c>
      <c r="Q31" s="49" t="str">
        <f t="shared" si="9"/>
        <v/>
      </c>
      <c r="R31" s="49" t="str">
        <f t="shared" si="9"/>
        <v/>
      </c>
      <c r="S31" s="49" t="str">
        <f t="shared" si="9"/>
        <v/>
      </c>
      <c r="T31" s="49" t="str">
        <f t="shared" si="9"/>
        <v/>
      </c>
      <c r="U31" s="49" t="str">
        <f t="shared" si="9"/>
        <v/>
      </c>
      <c r="V31" s="49" t="str">
        <f t="shared" si="9"/>
        <v/>
      </c>
      <c r="W31" s="49" t="str">
        <f t="shared" si="9"/>
        <v/>
      </c>
      <c r="X31" s="49" t="str">
        <f t="shared" si="9"/>
        <v/>
      </c>
      <c r="Y31" s="49" t="str">
        <f t="shared" si="9"/>
        <v/>
      </c>
      <c r="Z31" s="49" t="str">
        <f t="shared" si="9"/>
        <v/>
      </c>
      <c r="AA31" s="49" t="str">
        <f t="shared" si="9"/>
        <v/>
      </c>
      <c r="AB31" s="49" t="str">
        <f t="shared" si="9"/>
        <v/>
      </c>
      <c r="AC31" s="49" t="str">
        <f t="shared" si="9"/>
        <v/>
      </c>
      <c r="AD31" s="49" t="str">
        <f t="shared" si="9"/>
        <v/>
      </c>
      <c r="AE31" s="49" t="str">
        <f t="shared" si="9"/>
        <v/>
      </c>
      <c r="AF31" s="49" t="str">
        <f t="shared" si="9"/>
        <v/>
      </c>
      <c r="AG31" s="49" t="str">
        <f t="shared" si="9"/>
        <v/>
      </c>
      <c r="AH31" s="44">
        <f>SUM(AH29:AH30)</f>
        <v>0</v>
      </c>
      <c r="AI31" s="45">
        <f>SUM(AI29:AI30)</f>
        <v>15.5</v>
      </c>
      <c r="AJ31" s="45">
        <f>SUM(AJ29:AJ30)</f>
        <v>0</v>
      </c>
      <c r="AK31" s="45">
        <f>SUM(AK29:AK30)</f>
        <v>0</v>
      </c>
      <c r="AL31" s="45">
        <f>SUM(AL29:AL30)</f>
        <v>0</v>
      </c>
      <c r="AM31" s="50">
        <f>Juin!AM31</f>
        <v>30.37</v>
      </c>
      <c r="AN31" s="51">
        <f>IF(A30="","",IF(A30&gt;NomMois,0,IF(A30&lt;$A$3,2.08,(NETWORKDAYS(A30,$A$2)/21.66667)*2.08)))</f>
        <v>2.08</v>
      </c>
      <c r="AO31" s="51">
        <f>IF( AN31="",0,+AN31+Janvier!AO31)</f>
        <v>18.72</v>
      </c>
      <c r="AP31" s="50">
        <f>IF(A30="","",IF(A30&gt;NomMois,0,IF(A30&lt;$A$3,1.5,(NETWORKDAYS(A30,$A$2)/21.66667)*1.5)))+Janvier!AP31</f>
        <v>3</v>
      </c>
      <c r="AQ31" s="45">
        <f>+AM31-AI31</f>
        <v>14.870000000000001</v>
      </c>
      <c r="AR31" s="45">
        <f>+IF(AP31="","",AP31-AJ31)</f>
        <v>3</v>
      </c>
      <c r="AS31" s="102">
        <f t="shared" ref="AS31:AS91" si="10">+AO31+AQ31</f>
        <v>33.590000000000003</v>
      </c>
    </row>
    <row r="32" spans="1:45" s="63" customFormat="1" ht="6.75" customHeight="1" x14ac:dyDescent="0.25">
      <c r="A32" s="60"/>
      <c r="B32" s="53"/>
      <c r="C32" s="60"/>
      <c r="D32" s="60"/>
      <c r="E32" s="60"/>
      <c r="F32" s="60"/>
      <c r="G32" s="60"/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1"/>
      <c r="AI32" s="61"/>
      <c r="AJ32" s="61"/>
      <c r="AK32" s="61"/>
      <c r="AL32" s="61"/>
      <c r="AM32" s="60"/>
      <c r="AN32" s="61"/>
      <c r="AO32" s="61"/>
      <c r="AP32" s="60"/>
      <c r="AQ32" s="69"/>
      <c r="AR32" s="69"/>
      <c r="AS32" s="65"/>
    </row>
    <row r="33" spans="1:45" s="63" customFormat="1" ht="12.95" customHeight="1" x14ac:dyDescent="0.25">
      <c r="A33" s="41"/>
      <c r="B33" s="42" t="s">
        <v>15</v>
      </c>
      <c r="C33" s="67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4">
        <f>COUNTA(Février!$C33:$AG33)</f>
        <v>0</v>
      </c>
      <c r="AI33" s="45">
        <f>(COUNTIFS(Février!$C33:$AG33,("cp")))/2+Janvier!AI33</f>
        <v>8.5</v>
      </c>
      <c r="AJ33" s="45">
        <f>COUNTIFS(Février!$C33:$AG33,"RTT")/2+Janvier!AJ33</f>
        <v>0</v>
      </c>
      <c r="AK33" s="45">
        <f>COUNTIFS(Février!$C33:$AG33,"m")/2+Janvier!AK33</f>
        <v>0</v>
      </c>
      <c r="AL33" s="45">
        <f>COUNTIFS(Février!$C33:$AG33,"a")/2+Janvier!AL33</f>
        <v>0</v>
      </c>
      <c r="AM33" s="46"/>
      <c r="AN33" s="47"/>
      <c r="AO33" s="47"/>
      <c r="AP33" s="46"/>
      <c r="AQ33" s="47"/>
      <c r="AR33" s="47"/>
      <c r="AS33" s="47"/>
    </row>
    <row r="34" spans="1:45" s="63" customFormat="1" ht="12.95" customHeight="1" x14ac:dyDescent="0.25">
      <c r="A34" s="48">
        <v>42110</v>
      </c>
      <c r="B34" s="42" t="s">
        <v>16</v>
      </c>
      <c r="C34" s="67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3"/>
      <c r="AE34" s="43"/>
      <c r="AF34" s="43"/>
      <c r="AG34" s="43"/>
      <c r="AH34" s="44">
        <f>COUNTA(Février!$C34:$AG34)</f>
        <v>0</v>
      </c>
      <c r="AI34" s="45">
        <f>(COUNTIFS(Février!$C34:$AG34,("cp")))/2+Janvier!AI34</f>
        <v>8.5</v>
      </c>
      <c r="AJ34" s="45">
        <f>COUNTIFS(Février!$C34:$AG34,"RTT")/2+Janvier!AJ34</f>
        <v>0</v>
      </c>
      <c r="AK34" s="45">
        <f>COUNTIFS(Février!$C34:$AG34,"m")/2+Janvier!AK34</f>
        <v>0</v>
      </c>
      <c r="AL34" s="45">
        <f>COUNTIFS(Février!$C34:$AG34,"a")/2+Janvier!AL34</f>
        <v>0</v>
      </c>
      <c r="AM34" s="46"/>
      <c r="AN34" s="47"/>
      <c r="AO34" s="47"/>
      <c r="AP34" s="46"/>
      <c r="AQ34" s="47"/>
      <c r="AR34" s="47"/>
      <c r="AS34" s="101"/>
    </row>
    <row r="35" spans="1:45" s="63" customFormat="1" ht="12.95" customHeight="1" x14ac:dyDescent="0.25">
      <c r="A35" s="41"/>
      <c r="B35" s="42"/>
      <c r="C35" s="49" t="str">
        <f t="shared" ref="C35:AG35" si="11">IF(C33&gt;0,C33,IF(C34&gt;0,C34,""))</f>
        <v/>
      </c>
      <c r="D35" s="49" t="str">
        <f t="shared" si="11"/>
        <v/>
      </c>
      <c r="E35" s="49" t="str">
        <f t="shared" si="11"/>
        <v/>
      </c>
      <c r="F35" s="49" t="str">
        <f t="shared" si="11"/>
        <v/>
      </c>
      <c r="G35" s="49" t="str">
        <f t="shared" si="11"/>
        <v/>
      </c>
      <c r="H35" s="49" t="str">
        <f t="shared" si="11"/>
        <v/>
      </c>
      <c r="I35" s="49" t="str">
        <f t="shared" si="11"/>
        <v/>
      </c>
      <c r="J35" s="49" t="str">
        <f t="shared" si="11"/>
        <v/>
      </c>
      <c r="K35" s="49" t="str">
        <f t="shared" si="11"/>
        <v/>
      </c>
      <c r="L35" s="49" t="str">
        <f t="shared" si="11"/>
        <v/>
      </c>
      <c r="M35" s="49" t="str">
        <f t="shared" si="11"/>
        <v/>
      </c>
      <c r="N35" s="49" t="str">
        <f t="shared" si="11"/>
        <v/>
      </c>
      <c r="O35" s="49" t="str">
        <f t="shared" si="11"/>
        <v/>
      </c>
      <c r="P35" s="49" t="str">
        <f t="shared" si="11"/>
        <v/>
      </c>
      <c r="Q35" s="49" t="str">
        <f t="shared" si="11"/>
        <v/>
      </c>
      <c r="R35" s="49" t="str">
        <f t="shared" si="11"/>
        <v/>
      </c>
      <c r="S35" s="49" t="str">
        <f t="shared" si="11"/>
        <v/>
      </c>
      <c r="T35" s="49" t="str">
        <f t="shared" si="11"/>
        <v/>
      </c>
      <c r="U35" s="49" t="str">
        <f t="shared" si="11"/>
        <v/>
      </c>
      <c r="V35" s="49" t="str">
        <f t="shared" si="11"/>
        <v/>
      </c>
      <c r="W35" s="49" t="str">
        <f t="shared" si="11"/>
        <v/>
      </c>
      <c r="X35" s="49" t="str">
        <f t="shared" si="11"/>
        <v/>
      </c>
      <c r="Y35" s="49" t="str">
        <f t="shared" si="11"/>
        <v/>
      </c>
      <c r="Z35" s="49" t="str">
        <f t="shared" si="11"/>
        <v/>
      </c>
      <c r="AA35" s="49" t="str">
        <f t="shared" si="11"/>
        <v/>
      </c>
      <c r="AB35" s="49" t="str">
        <f t="shared" si="11"/>
        <v/>
      </c>
      <c r="AC35" s="49" t="str">
        <f t="shared" si="11"/>
        <v/>
      </c>
      <c r="AD35" s="49" t="str">
        <f t="shared" si="11"/>
        <v/>
      </c>
      <c r="AE35" s="49" t="str">
        <f t="shared" si="11"/>
        <v/>
      </c>
      <c r="AF35" s="49" t="str">
        <f t="shared" si="11"/>
        <v/>
      </c>
      <c r="AG35" s="49" t="str">
        <f t="shared" si="11"/>
        <v/>
      </c>
      <c r="AH35" s="44">
        <f>SUM(AH33:AH34)</f>
        <v>0</v>
      </c>
      <c r="AI35" s="45">
        <f>SUM(AI33:AI34)</f>
        <v>17</v>
      </c>
      <c r="AJ35" s="45">
        <f>SUM(AJ33:AJ34)</f>
        <v>0</v>
      </c>
      <c r="AK35" s="45">
        <f>SUM(AK33:AK34)</f>
        <v>0</v>
      </c>
      <c r="AL35" s="45">
        <f>SUM(AL33:AL34)</f>
        <v>0</v>
      </c>
      <c r="AM35" s="50">
        <f>Juin!AM35</f>
        <v>14.56</v>
      </c>
      <c r="AN35" s="51">
        <f>IF(A34="","",IF(A34&gt;NomMois,0,IF(A34&lt;$A$3,2.08,(NETWORKDAYS(A34,$A$2)/21.66667)*2.08)))</f>
        <v>2.08</v>
      </c>
      <c r="AO35" s="51">
        <f>IF( AN35="",0,+AN35+Janvier!AO35)</f>
        <v>18.72</v>
      </c>
      <c r="AP35" s="50">
        <f>IF(A34="","",IF(A34&gt;NomMois,0,IF(A34&lt;$A$3,1.5,(NETWORKDAYS(A34,$A$2)/21.66667)*1.5)))+Janvier!AP35</f>
        <v>3</v>
      </c>
      <c r="AQ35" s="45">
        <f>+AM35-AI35</f>
        <v>-2.4399999999999995</v>
      </c>
      <c r="AR35" s="45">
        <f>+IF(AP35="","",AP35-AJ35)</f>
        <v>3</v>
      </c>
      <c r="AS35" s="102">
        <f t="shared" si="10"/>
        <v>16.28</v>
      </c>
    </row>
    <row r="36" spans="1:45" s="63" customFormat="1" ht="6.75" customHeight="1" x14ac:dyDescent="0.25">
      <c r="A36" s="60"/>
      <c r="B36" s="53"/>
      <c r="C36" s="60"/>
      <c r="D36" s="60"/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0"/>
      <c r="Z36" s="60"/>
      <c r="AA36" s="60"/>
      <c r="AB36" s="60"/>
      <c r="AC36" s="60"/>
      <c r="AD36" s="60"/>
      <c r="AE36" s="60"/>
      <c r="AF36" s="60"/>
      <c r="AG36" s="60"/>
      <c r="AH36" s="61"/>
      <c r="AI36" s="61"/>
      <c r="AJ36" s="61"/>
      <c r="AK36" s="61"/>
      <c r="AL36" s="61"/>
      <c r="AM36" s="60"/>
      <c r="AN36" s="61"/>
      <c r="AO36" s="61"/>
      <c r="AP36" s="60"/>
      <c r="AQ36" s="61"/>
      <c r="AR36" s="61"/>
      <c r="AS36" s="65"/>
    </row>
    <row r="37" spans="1:45" s="63" customFormat="1" ht="12.95" customHeight="1" x14ac:dyDescent="0.25">
      <c r="A37" s="41"/>
      <c r="B37" s="42" t="s">
        <v>15</v>
      </c>
      <c r="C37" s="67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  <c r="AB37" s="43"/>
      <c r="AC37" s="43"/>
      <c r="AD37" s="43"/>
      <c r="AE37" s="43"/>
      <c r="AF37" s="43"/>
      <c r="AG37" s="43"/>
      <c r="AH37" s="44">
        <f>COUNTA(Février!$C37:$AG37)</f>
        <v>0</v>
      </c>
      <c r="AI37" s="45">
        <f>(COUNTIFS(Février!$C37:$AG37,("cp")))/2+Janvier!AI37</f>
        <v>6</v>
      </c>
      <c r="AJ37" s="45">
        <f>COUNTIFS(Février!$C37:$AG37,"RTT")/2+Janvier!AJ37</f>
        <v>0</v>
      </c>
      <c r="AK37" s="45">
        <f>COUNTIFS(Février!$C37:$AG37,"m")/2+Janvier!AK37</f>
        <v>0</v>
      </c>
      <c r="AL37" s="45">
        <f>COUNTIFS(Février!$C37:$AG37,"a")/2+Janvier!AL37</f>
        <v>0</v>
      </c>
      <c r="AM37" s="46"/>
      <c r="AN37" s="47"/>
      <c r="AO37" s="47"/>
      <c r="AP37" s="46"/>
      <c r="AQ37" s="47"/>
      <c r="AR37" s="47"/>
      <c r="AS37" s="47"/>
    </row>
    <row r="38" spans="1:45" s="63" customFormat="1" ht="12.95" customHeight="1" x14ac:dyDescent="0.25">
      <c r="A38" s="48">
        <v>42373</v>
      </c>
      <c r="B38" s="42" t="s">
        <v>16</v>
      </c>
      <c r="C38" s="67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4">
        <f>COUNTA(Février!$C38:$AG38)</f>
        <v>0</v>
      </c>
      <c r="AI38" s="45">
        <f>(COUNTIFS(Février!$C38:$AG38,("cp")))/2+Janvier!AI38</f>
        <v>6</v>
      </c>
      <c r="AJ38" s="45">
        <f>COUNTIFS(Février!$C38:$AG38,"RTT")/2+Janvier!AJ38</f>
        <v>0</v>
      </c>
      <c r="AK38" s="45">
        <f>COUNTIFS(Février!$C38:$AG38,"m")/2+Janvier!AK38</f>
        <v>0</v>
      </c>
      <c r="AL38" s="45">
        <f>COUNTIFS(Février!$C38:$AG38,"a")/2+Janvier!AL38</f>
        <v>0</v>
      </c>
      <c r="AM38" s="46"/>
      <c r="AN38" s="47"/>
      <c r="AO38" s="47"/>
      <c r="AP38" s="46"/>
      <c r="AQ38" s="47"/>
      <c r="AR38" s="47"/>
      <c r="AS38" s="101"/>
    </row>
    <row r="39" spans="1:45" s="63" customFormat="1" ht="12.95" customHeight="1" x14ac:dyDescent="0.25">
      <c r="A39" s="41"/>
      <c r="B39" s="42"/>
      <c r="C39" s="49" t="str">
        <f t="shared" ref="C39:AG39" si="12">IF(C37&gt;0,C37,IF(C38&gt;0,C38,""))</f>
        <v/>
      </c>
      <c r="D39" s="49" t="str">
        <f t="shared" si="12"/>
        <v/>
      </c>
      <c r="E39" s="49" t="str">
        <f t="shared" si="12"/>
        <v/>
      </c>
      <c r="F39" s="49" t="str">
        <f t="shared" si="12"/>
        <v/>
      </c>
      <c r="G39" s="49" t="str">
        <f t="shared" si="12"/>
        <v/>
      </c>
      <c r="H39" s="49" t="str">
        <f t="shared" si="12"/>
        <v/>
      </c>
      <c r="I39" s="49" t="str">
        <f t="shared" si="12"/>
        <v/>
      </c>
      <c r="J39" s="49" t="str">
        <f t="shared" si="12"/>
        <v/>
      </c>
      <c r="K39" s="49" t="str">
        <f t="shared" si="12"/>
        <v/>
      </c>
      <c r="L39" s="49" t="str">
        <f t="shared" si="12"/>
        <v/>
      </c>
      <c r="M39" s="49" t="str">
        <f t="shared" si="12"/>
        <v/>
      </c>
      <c r="N39" s="49" t="str">
        <f t="shared" si="12"/>
        <v/>
      </c>
      <c r="O39" s="49" t="str">
        <f t="shared" si="12"/>
        <v/>
      </c>
      <c r="P39" s="49" t="str">
        <f t="shared" si="12"/>
        <v/>
      </c>
      <c r="Q39" s="49" t="str">
        <f t="shared" si="12"/>
        <v/>
      </c>
      <c r="R39" s="49" t="str">
        <f t="shared" si="12"/>
        <v/>
      </c>
      <c r="S39" s="49" t="str">
        <f t="shared" si="12"/>
        <v/>
      </c>
      <c r="T39" s="49" t="str">
        <f t="shared" si="12"/>
        <v/>
      </c>
      <c r="U39" s="49" t="str">
        <f t="shared" si="12"/>
        <v/>
      </c>
      <c r="V39" s="49" t="str">
        <f t="shared" si="12"/>
        <v/>
      </c>
      <c r="W39" s="49" t="str">
        <f t="shared" si="12"/>
        <v/>
      </c>
      <c r="X39" s="49" t="str">
        <f t="shared" si="12"/>
        <v/>
      </c>
      <c r="Y39" s="49" t="str">
        <f t="shared" si="12"/>
        <v/>
      </c>
      <c r="Z39" s="49" t="str">
        <f t="shared" si="12"/>
        <v/>
      </c>
      <c r="AA39" s="49" t="str">
        <f t="shared" si="12"/>
        <v/>
      </c>
      <c r="AB39" s="49" t="str">
        <f t="shared" si="12"/>
        <v/>
      </c>
      <c r="AC39" s="49" t="str">
        <f t="shared" si="12"/>
        <v/>
      </c>
      <c r="AD39" s="49" t="str">
        <f t="shared" si="12"/>
        <v/>
      </c>
      <c r="AE39" s="49" t="str">
        <f t="shared" si="12"/>
        <v/>
      </c>
      <c r="AF39" s="49" t="str">
        <f t="shared" si="12"/>
        <v/>
      </c>
      <c r="AG39" s="49" t="str">
        <f t="shared" si="12"/>
        <v/>
      </c>
      <c r="AH39" s="44">
        <f>SUM(AH37:AH38)</f>
        <v>0</v>
      </c>
      <c r="AI39" s="45">
        <f>SUM(AI37:AI38)</f>
        <v>12</v>
      </c>
      <c r="AJ39" s="45">
        <f>SUM(AJ37:AJ38)</f>
        <v>0</v>
      </c>
      <c r="AK39" s="45">
        <f>SUM(AK37:AK38)</f>
        <v>0</v>
      </c>
      <c r="AL39" s="45">
        <f>SUM(AL37:AL38)</f>
        <v>0</v>
      </c>
      <c r="AM39" s="50">
        <f>Juin!AM39</f>
        <v>14.14</v>
      </c>
      <c r="AN39" s="51">
        <f>IF(A38="","",IF(A38&gt;NomMois,0,IF(A38&lt;$A$3,2.08,(NETWORKDAYS(A38,$A$2)/21.66667)*2.08)))</f>
        <v>2.08</v>
      </c>
      <c r="AO39" s="51">
        <f>IF( AN39="",0,+AN39+Janvier!AO39)</f>
        <v>18.72</v>
      </c>
      <c r="AP39" s="50">
        <f>IF(A38="","",IF(A38&gt;NomMois,0,IF(A38&lt;$A$3,1.5,(NETWORKDAYS(A38,$A$2)/21.66667)*1.5)))+Janvier!AP39</f>
        <v>3</v>
      </c>
      <c r="AQ39" s="45">
        <f>+AM39-AI39</f>
        <v>2.1400000000000006</v>
      </c>
      <c r="AR39" s="45">
        <f>+IF(AP39="","",AP39-AJ39)</f>
        <v>3</v>
      </c>
      <c r="AS39" s="102">
        <f t="shared" si="10"/>
        <v>20.86</v>
      </c>
    </row>
    <row r="40" spans="1:45" s="63" customFormat="1" ht="6.75" customHeight="1" x14ac:dyDescent="0.25">
      <c r="A40" s="60"/>
      <c r="B40" s="53"/>
      <c r="C40" s="60"/>
      <c r="D40" s="60"/>
      <c r="E40" s="60"/>
      <c r="F40" s="60"/>
      <c r="G40" s="60"/>
      <c r="H40" s="60"/>
      <c r="I40" s="60"/>
      <c r="J40" s="60"/>
      <c r="K40" s="60"/>
      <c r="L40" s="60"/>
      <c r="M40" s="60"/>
      <c r="N40" s="60"/>
      <c r="O40" s="60"/>
      <c r="P40" s="60"/>
      <c r="Q40" s="60"/>
      <c r="R40" s="60"/>
      <c r="S40" s="60"/>
      <c r="T40" s="60"/>
      <c r="U40" s="60"/>
      <c r="V40" s="60"/>
      <c r="W40" s="60"/>
      <c r="X40" s="60"/>
      <c r="Y40" s="60"/>
      <c r="Z40" s="60"/>
      <c r="AA40" s="60"/>
      <c r="AB40" s="60"/>
      <c r="AC40" s="60"/>
      <c r="AD40" s="60"/>
      <c r="AE40" s="60"/>
      <c r="AF40" s="60"/>
      <c r="AG40" s="60"/>
      <c r="AH40" s="61"/>
      <c r="AI40" s="61"/>
      <c r="AJ40" s="61"/>
      <c r="AK40" s="61"/>
      <c r="AL40" s="61"/>
      <c r="AM40" s="60"/>
      <c r="AN40" s="61"/>
      <c r="AO40" s="61"/>
      <c r="AP40" s="60"/>
      <c r="AQ40" s="61"/>
      <c r="AR40" s="61"/>
      <c r="AS40" s="65"/>
    </row>
    <row r="41" spans="1:45" s="63" customFormat="1" ht="12.95" customHeight="1" x14ac:dyDescent="0.25">
      <c r="A41" s="41"/>
      <c r="B41" s="42" t="s">
        <v>15</v>
      </c>
      <c r="C41" s="67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4">
        <f>COUNTA(Février!$C41:$AG41)</f>
        <v>0</v>
      </c>
      <c r="AI41" s="45">
        <f>(COUNTIFS(Février!$C41:$AG41,("cp")))/2+Janvier!AI41</f>
        <v>7.5</v>
      </c>
      <c r="AJ41" s="45">
        <f>COUNTIFS(Février!$C41:$AG41,"RTT")/2+Janvier!AJ41</f>
        <v>0</v>
      </c>
      <c r="AK41" s="45">
        <f>COUNTIFS(Février!$C41:$AG41,"m")/2+Janvier!AK41</f>
        <v>0</v>
      </c>
      <c r="AL41" s="45">
        <f>COUNTIFS(Février!$C41:$AG41,"a")/2+Janvier!AL41</f>
        <v>0</v>
      </c>
      <c r="AM41" s="46"/>
      <c r="AN41" s="47"/>
      <c r="AO41" s="47"/>
      <c r="AP41" s="46"/>
      <c r="AQ41" s="47"/>
      <c r="AR41" s="47"/>
      <c r="AS41" s="47"/>
    </row>
    <row r="42" spans="1:45" s="63" customFormat="1" ht="12.95" customHeight="1" x14ac:dyDescent="0.25">
      <c r="A42" s="48">
        <v>41821</v>
      </c>
      <c r="B42" s="42" t="s">
        <v>16</v>
      </c>
      <c r="C42" s="67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3"/>
      <c r="AE42" s="43"/>
      <c r="AF42" s="43"/>
      <c r="AG42" s="43"/>
      <c r="AH42" s="44">
        <f>COUNTA(Février!$C42:$AG42)</f>
        <v>0</v>
      </c>
      <c r="AI42" s="45">
        <f>(COUNTIFS(Février!$C42:$AG42,("cp")))/2+Janvier!AI42</f>
        <v>7.5</v>
      </c>
      <c r="AJ42" s="45">
        <f>COUNTIFS(Février!$C42:$AG42,"RTT")/2+Janvier!AJ42</f>
        <v>0</v>
      </c>
      <c r="AK42" s="45">
        <f>COUNTIFS(Février!$C42:$AG42,"m")/2+Janvier!AK42</f>
        <v>0</v>
      </c>
      <c r="AL42" s="45">
        <f>COUNTIFS(Février!$C42:$AG42,"a")/2+Janvier!AL42</f>
        <v>0</v>
      </c>
      <c r="AM42" s="46"/>
      <c r="AN42" s="47"/>
      <c r="AO42" s="47"/>
      <c r="AP42" s="46"/>
      <c r="AQ42" s="47"/>
      <c r="AR42" s="47"/>
      <c r="AS42" s="101"/>
    </row>
    <row r="43" spans="1:45" s="63" customFormat="1" ht="12.95" customHeight="1" x14ac:dyDescent="0.25">
      <c r="A43" s="41"/>
      <c r="B43" s="42"/>
      <c r="C43" s="49" t="str">
        <f t="shared" ref="C43:AG43" si="13">IF(C41&gt;0,C41,IF(C42&gt;0,C42,""))</f>
        <v/>
      </c>
      <c r="D43" s="49" t="str">
        <f t="shared" si="13"/>
        <v/>
      </c>
      <c r="E43" s="49" t="str">
        <f t="shared" si="13"/>
        <v/>
      </c>
      <c r="F43" s="49" t="str">
        <f t="shared" si="13"/>
        <v/>
      </c>
      <c r="G43" s="49" t="str">
        <f t="shared" si="13"/>
        <v/>
      </c>
      <c r="H43" s="49" t="str">
        <f t="shared" si="13"/>
        <v/>
      </c>
      <c r="I43" s="49" t="str">
        <f t="shared" si="13"/>
        <v/>
      </c>
      <c r="J43" s="49" t="str">
        <f t="shared" si="13"/>
        <v/>
      </c>
      <c r="K43" s="49" t="str">
        <f t="shared" si="13"/>
        <v/>
      </c>
      <c r="L43" s="49" t="str">
        <f t="shared" si="13"/>
        <v/>
      </c>
      <c r="M43" s="49" t="str">
        <f t="shared" si="13"/>
        <v/>
      </c>
      <c r="N43" s="49" t="str">
        <f t="shared" si="13"/>
        <v/>
      </c>
      <c r="O43" s="49" t="str">
        <f t="shared" si="13"/>
        <v/>
      </c>
      <c r="P43" s="49" t="str">
        <f t="shared" si="13"/>
        <v/>
      </c>
      <c r="Q43" s="49" t="str">
        <f t="shared" si="13"/>
        <v/>
      </c>
      <c r="R43" s="49" t="str">
        <f t="shared" si="13"/>
        <v/>
      </c>
      <c r="S43" s="49" t="str">
        <f t="shared" si="13"/>
        <v/>
      </c>
      <c r="T43" s="49" t="str">
        <f t="shared" si="13"/>
        <v/>
      </c>
      <c r="U43" s="49" t="str">
        <f t="shared" si="13"/>
        <v/>
      </c>
      <c r="V43" s="49" t="str">
        <f t="shared" si="13"/>
        <v/>
      </c>
      <c r="W43" s="49" t="str">
        <f t="shared" si="13"/>
        <v/>
      </c>
      <c r="X43" s="49" t="str">
        <f t="shared" si="13"/>
        <v/>
      </c>
      <c r="Y43" s="49" t="str">
        <f t="shared" si="13"/>
        <v/>
      </c>
      <c r="Z43" s="49" t="str">
        <f t="shared" si="13"/>
        <v/>
      </c>
      <c r="AA43" s="49" t="str">
        <f t="shared" si="13"/>
        <v/>
      </c>
      <c r="AB43" s="49" t="str">
        <f t="shared" si="13"/>
        <v/>
      </c>
      <c r="AC43" s="49" t="str">
        <f t="shared" si="13"/>
        <v/>
      </c>
      <c r="AD43" s="49" t="str">
        <f t="shared" si="13"/>
        <v/>
      </c>
      <c r="AE43" s="49" t="str">
        <f t="shared" si="13"/>
        <v/>
      </c>
      <c r="AF43" s="49" t="str">
        <f t="shared" si="13"/>
        <v/>
      </c>
      <c r="AG43" s="49" t="str">
        <f t="shared" si="13"/>
        <v/>
      </c>
      <c r="AH43" s="44">
        <f>SUM(AH41:AH42)</f>
        <v>0</v>
      </c>
      <c r="AI43" s="45">
        <f>SUM(AI41:AI42)</f>
        <v>15</v>
      </c>
      <c r="AJ43" s="45">
        <f>SUM(AJ41:AJ42)</f>
        <v>0</v>
      </c>
      <c r="AK43" s="45">
        <f>SUM(AK41:AK42)</f>
        <v>0</v>
      </c>
      <c r="AL43" s="45">
        <f>SUM(AL41:AL42)</f>
        <v>0</v>
      </c>
      <c r="AM43" s="50">
        <f>Juin!AM43</f>
        <v>20.38</v>
      </c>
      <c r="AN43" s="51">
        <f>IF(A42="","",IF(A42&gt;NomMois,0,IF(A42&lt;$A$3,2.08,(NETWORKDAYS(A42,$A$2)/21.66667)*2.08)))</f>
        <v>2.08</v>
      </c>
      <c r="AO43" s="51">
        <f>IF( AN43="",0,+AN43+Janvier!AO43)</f>
        <v>18.72</v>
      </c>
      <c r="AP43" s="50">
        <f>IF(A42="","",IF(A42&gt;NomMois,0,IF(A42&lt;$A$3,1.5,(NETWORKDAYS(A42,$A$2)/21.66667)*1.5)))+Janvier!AP43</f>
        <v>3</v>
      </c>
      <c r="AQ43" s="45">
        <f>+AM43-AI43</f>
        <v>5.379999999999999</v>
      </c>
      <c r="AR43" s="45">
        <f>+IF(AP43="","",AP43-AJ43)</f>
        <v>3</v>
      </c>
      <c r="AS43" s="102">
        <f t="shared" si="10"/>
        <v>24.099999999999998</v>
      </c>
    </row>
    <row r="44" spans="1:45" s="63" customFormat="1" ht="6.75" customHeight="1" x14ac:dyDescent="0.25">
      <c r="A44" s="60"/>
      <c r="B44" s="53"/>
      <c r="C44" s="60"/>
      <c r="D44" s="60"/>
      <c r="E44" s="60"/>
      <c r="F44" s="60"/>
      <c r="G44" s="60"/>
      <c r="H44" s="60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61"/>
      <c r="AI44" s="61"/>
      <c r="AJ44" s="61"/>
      <c r="AK44" s="61"/>
      <c r="AL44" s="61"/>
      <c r="AM44" s="60"/>
      <c r="AN44" s="61"/>
      <c r="AO44" s="61"/>
      <c r="AP44" s="60"/>
      <c r="AQ44" s="69"/>
      <c r="AR44" s="69"/>
      <c r="AS44" s="65"/>
    </row>
    <row r="45" spans="1:45" s="63" customFormat="1" ht="12.95" customHeight="1" x14ac:dyDescent="0.25">
      <c r="A45" s="41"/>
      <c r="B45" s="42" t="s">
        <v>15</v>
      </c>
      <c r="C45" s="67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4">
        <f>COUNTA(Février!$C45:$AG45)</f>
        <v>0</v>
      </c>
      <c r="AI45" s="45">
        <f>(COUNTIFS(Février!$C45:$AG45,("cp")))/2+Janvier!AI45</f>
        <v>5.5</v>
      </c>
      <c r="AJ45" s="45">
        <f>COUNTIFS(Février!$C45:$AG45,"RTT")/2+Janvier!AJ45</f>
        <v>0</v>
      </c>
      <c r="AK45" s="45">
        <f>COUNTIFS(Février!$C45:$AG45,"m")/2+Janvier!AK45</f>
        <v>0</v>
      </c>
      <c r="AL45" s="45">
        <f>COUNTIFS(Février!$C45:$AG45,"a")/2+Janvier!AL45</f>
        <v>0</v>
      </c>
      <c r="AM45" s="46"/>
      <c r="AN45" s="47"/>
      <c r="AO45" s="47"/>
      <c r="AP45" s="46"/>
      <c r="AQ45" s="47"/>
      <c r="AR45" s="47"/>
      <c r="AS45" s="47"/>
    </row>
    <row r="46" spans="1:45" s="63" customFormat="1" ht="12.95" customHeight="1" x14ac:dyDescent="0.25">
      <c r="A46" s="48">
        <v>40575</v>
      </c>
      <c r="B46" s="42" t="s">
        <v>16</v>
      </c>
      <c r="C46" s="67"/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3"/>
      <c r="AC46" s="43"/>
      <c r="AD46" s="43"/>
      <c r="AE46" s="43"/>
      <c r="AF46" s="43"/>
      <c r="AG46" s="43"/>
      <c r="AH46" s="44">
        <f>COUNTA(Février!$C46:$AG46)</f>
        <v>0</v>
      </c>
      <c r="AI46" s="45">
        <f>(COUNTIFS(Février!$C46:$AG46,("cp")))/2+Janvier!AI46</f>
        <v>6</v>
      </c>
      <c r="AJ46" s="45">
        <f>COUNTIFS(Février!$C46:$AG46,"RTT")/2+Janvier!AJ46</f>
        <v>0</v>
      </c>
      <c r="AK46" s="45">
        <f>COUNTIFS(Février!$C46:$AG46,"m")/2+Janvier!AK46</f>
        <v>0</v>
      </c>
      <c r="AL46" s="45">
        <f>COUNTIFS(Février!$C46:$AG46,"a")/2+Janvier!AL46</f>
        <v>0</v>
      </c>
      <c r="AM46" s="46"/>
      <c r="AN46" s="47"/>
      <c r="AO46" s="47"/>
      <c r="AP46" s="46"/>
      <c r="AQ46" s="47"/>
      <c r="AR46" s="47"/>
      <c r="AS46" s="101"/>
    </row>
    <row r="47" spans="1:45" s="63" customFormat="1" ht="12.95" customHeight="1" x14ac:dyDescent="0.25">
      <c r="A47" s="41"/>
      <c r="B47" s="42"/>
      <c r="C47" s="49" t="str">
        <f t="shared" ref="C47:AG47" si="14">IF(C45&gt;0,C45,IF(C46&gt;0,C46,""))</f>
        <v/>
      </c>
      <c r="D47" s="49" t="str">
        <f t="shared" si="14"/>
        <v/>
      </c>
      <c r="E47" s="49" t="str">
        <f t="shared" si="14"/>
        <v/>
      </c>
      <c r="F47" s="49" t="str">
        <f t="shared" si="14"/>
        <v/>
      </c>
      <c r="G47" s="49" t="str">
        <f t="shared" si="14"/>
        <v/>
      </c>
      <c r="H47" s="49" t="str">
        <f t="shared" si="14"/>
        <v/>
      </c>
      <c r="I47" s="49" t="str">
        <f t="shared" si="14"/>
        <v/>
      </c>
      <c r="J47" s="49" t="str">
        <f t="shared" si="14"/>
        <v/>
      </c>
      <c r="K47" s="49" t="str">
        <f t="shared" si="14"/>
        <v/>
      </c>
      <c r="L47" s="49" t="str">
        <f t="shared" si="14"/>
        <v/>
      </c>
      <c r="M47" s="49" t="str">
        <f t="shared" si="14"/>
        <v/>
      </c>
      <c r="N47" s="49" t="str">
        <f t="shared" si="14"/>
        <v/>
      </c>
      <c r="O47" s="49" t="str">
        <f t="shared" si="14"/>
        <v/>
      </c>
      <c r="P47" s="49" t="str">
        <f t="shared" si="14"/>
        <v/>
      </c>
      <c r="Q47" s="49" t="str">
        <f t="shared" si="14"/>
        <v/>
      </c>
      <c r="R47" s="49" t="str">
        <f t="shared" si="14"/>
        <v/>
      </c>
      <c r="S47" s="49" t="str">
        <f t="shared" si="14"/>
        <v/>
      </c>
      <c r="T47" s="49" t="str">
        <f t="shared" si="14"/>
        <v/>
      </c>
      <c r="U47" s="49" t="str">
        <f t="shared" si="14"/>
        <v/>
      </c>
      <c r="V47" s="49" t="str">
        <f t="shared" si="14"/>
        <v/>
      </c>
      <c r="W47" s="49" t="str">
        <f t="shared" si="14"/>
        <v/>
      </c>
      <c r="X47" s="49" t="str">
        <f t="shared" si="14"/>
        <v/>
      </c>
      <c r="Y47" s="49" t="str">
        <f t="shared" si="14"/>
        <v/>
      </c>
      <c r="Z47" s="49" t="str">
        <f t="shared" si="14"/>
        <v/>
      </c>
      <c r="AA47" s="49" t="str">
        <f t="shared" si="14"/>
        <v/>
      </c>
      <c r="AB47" s="49" t="str">
        <f t="shared" si="14"/>
        <v/>
      </c>
      <c r="AC47" s="49" t="str">
        <f t="shared" si="14"/>
        <v/>
      </c>
      <c r="AD47" s="49" t="str">
        <f t="shared" si="14"/>
        <v/>
      </c>
      <c r="AE47" s="49" t="str">
        <f t="shared" si="14"/>
        <v/>
      </c>
      <c r="AF47" s="49" t="str">
        <f t="shared" si="14"/>
        <v/>
      </c>
      <c r="AG47" s="49" t="str">
        <f t="shared" si="14"/>
        <v/>
      </c>
      <c r="AH47" s="44">
        <f>SUM(AH45:AH46)</f>
        <v>0</v>
      </c>
      <c r="AI47" s="45">
        <f>SUM(AI45:AI46)</f>
        <v>11.5</v>
      </c>
      <c r="AJ47" s="45">
        <f>SUM(AJ45:AJ46)</f>
        <v>0</v>
      </c>
      <c r="AK47" s="45">
        <f>SUM(AK45:AK46)</f>
        <v>0</v>
      </c>
      <c r="AL47" s="45">
        <f>SUM(AL45:AL46)</f>
        <v>0</v>
      </c>
      <c r="AM47" s="50">
        <f>Juin!AM47</f>
        <v>24.96</v>
      </c>
      <c r="AN47" s="51">
        <f>IF(A46="","",IF(A46&gt;NomMois,0,IF(A46&lt;$A$3,2.08,(NETWORKDAYS(A46,$A$2)/21.66667)*2.08)))</f>
        <v>2.08</v>
      </c>
      <c r="AO47" s="51">
        <f>IF( AN47="",0,+AN47+Janvier!AO47)</f>
        <v>18.72</v>
      </c>
      <c r="AP47" s="50">
        <f>IF(A46="","",IF(A46&gt;NomMois,0,IF(A46&lt;$A$3,1.5,(NETWORKDAYS(A46,$A$2)/21.66667)*1.5)))+Janvier!AP47</f>
        <v>3</v>
      </c>
      <c r="AQ47" s="45">
        <f>+AM47-AI47</f>
        <v>13.46</v>
      </c>
      <c r="AR47" s="45">
        <f>+IF(AP47="","",AP47-AJ47)</f>
        <v>3</v>
      </c>
      <c r="AS47" s="102">
        <f t="shared" si="10"/>
        <v>32.18</v>
      </c>
    </row>
    <row r="48" spans="1:45" s="63" customFormat="1" ht="6.75" customHeight="1" x14ac:dyDescent="0.25">
      <c r="A48" s="60"/>
      <c r="B48" s="53"/>
      <c r="C48" s="60"/>
      <c r="D48" s="60"/>
      <c r="E48" s="60"/>
      <c r="F48" s="60"/>
      <c r="G48" s="60"/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60"/>
      <c r="Z48" s="60"/>
      <c r="AA48" s="60"/>
      <c r="AB48" s="60"/>
      <c r="AC48" s="60"/>
      <c r="AD48" s="60"/>
      <c r="AE48" s="60"/>
      <c r="AF48" s="60"/>
      <c r="AG48" s="60"/>
      <c r="AH48" s="61"/>
      <c r="AI48" s="61"/>
      <c r="AJ48" s="61"/>
      <c r="AK48" s="61"/>
      <c r="AL48" s="61"/>
      <c r="AM48" s="60"/>
      <c r="AN48" s="61"/>
      <c r="AO48" s="61"/>
      <c r="AP48" s="60"/>
      <c r="AQ48" s="69"/>
      <c r="AR48" s="69"/>
      <c r="AS48" s="65"/>
    </row>
    <row r="49" spans="1:45" s="63" customFormat="1" ht="12.95" customHeight="1" x14ac:dyDescent="0.25">
      <c r="A49" s="41"/>
      <c r="B49" s="42" t="s">
        <v>15</v>
      </c>
      <c r="C49" s="67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  <c r="AA49" s="43"/>
      <c r="AB49" s="43"/>
      <c r="AC49" s="43"/>
      <c r="AD49" s="43"/>
      <c r="AE49" s="43"/>
      <c r="AF49" s="43"/>
      <c r="AG49" s="43"/>
      <c r="AH49" s="44">
        <f>COUNTA(Février!$C49:$AG49)</f>
        <v>0</v>
      </c>
      <c r="AI49" s="45">
        <f>(COUNTIFS(Février!$C49:$AG49,("cp")))/2+Janvier!AI49</f>
        <v>3</v>
      </c>
      <c r="AJ49" s="45">
        <f>COUNTIFS(Février!$C49:$AG49,"RTT")/2+Janvier!AJ49</f>
        <v>0</v>
      </c>
      <c r="AK49" s="45">
        <f>COUNTIFS(Février!$C49:$AG49,"m")/2+Janvier!AK49</f>
        <v>0</v>
      </c>
      <c r="AL49" s="45">
        <f>COUNTIFS(Février!$C49:$AG49,"a")/2+Janvier!AL49</f>
        <v>0</v>
      </c>
      <c r="AM49" s="46"/>
      <c r="AN49" s="47"/>
      <c r="AO49" s="47"/>
      <c r="AP49" s="46"/>
      <c r="AQ49" s="47"/>
      <c r="AR49" s="47"/>
      <c r="AS49" s="47"/>
    </row>
    <row r="50" spans="1:45" s="63" customFormat="1" ht="12.95" customHeight="1" x14ac:dyDescent="0.25">
      <c r="A50" s="48">
        <v>42793</v>
      </c>
      <c r="B50" s="42" t="s">
        <v>16</v>
      </c>
      <c r="C50" s="67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  <c r="AA50" s="43"/>
      <c r="AB50" s="43"/>
      <c r="AC50" s="43"/>
      <c r="AD50" s="43"/>
      <c r="AE50" s="43"/>
      <c r="AF50" s="43"/>
      <c r="AG50" s="43"/>
      <c r="AH50" s="44">
        <f>COUNTA(Février!$C50:$AG50)</f>
        <v>0</v>
      </c>
      <c r="AI50" s="45">
        <f>(COUNTIFS(Février!$C50:$AG50,("cp")))/2+Janvier!AI50</f>
        <v>3</v>
      </c>
      <c r="AJ50" s="45">
        <f>COUNTIFS(Février!$C50:$AG50,"RTT")/2+Janvier!AJ50</f>
        <v>0</v>
      </c>
      <c r="AK50" s="45">
        <f>COUNTIFS(Février!$C50:$AG50,"m")/2+Janvier!AK50</f>
        <v>0</v>
      </c>
      <c r="AL50" s="45">
        <f>COUNTIFS(Février!$C50:$AG50,"a")/2+Janvier!AL50</f>
        <v>0</v>
      </c>
      <c r="AM50" s="46"/>
      <c r="AN50" s="47"/>
      <c r="AO50" s="47"/>
      <c r="AP50" s="46" t="e">
        <f>IF(A49="","",IF(A49&gt;NomMois,0,IF(A49&lt;$A$3,1.5,(NETWORKDAYS(A49,$A$2)/21.66667)*1.5)))+Janvier!AP50</f>
        <v>#VALUE!</v>
      </c>
      <c r="AQ50" s="47"/>
      <c r="AR50" s="47"/>
      <c r="AS50" s="101"/>
    </row>
    <row r="51" spans="1:45" s="63" customFormat="1" ht="12.95" customHeight="1" x14ac:dyDescent="0.25">
      <c r="A51" s="41"/>
      <c r="B51" s="42"/>
      <c r="C51" s="49" t="str">
        <f t="shared" ref="C51:AG51" si="15">IF(C49&gt;0,C49,IF(C50&gt;0,C50,""))</f>
        <v/>
      </c>
      <c r="D51" s="49" t="str">
        <f t="shared" si="15"/>
        <v/>
      </c>
      <c r="E51" s="49" t="str">
        <f t="shared" si="15"/>
        <v/>
      </c>
      <c r="F51" s="49" t="str">
        <f t="shared" si="15"/>
        <v/>
      </c>
      <c r="G51" s="49" t="str">
        <f t="shared" si="15"/>
        <v/>
      </c>
      <c r="H51" s="49" t="str">
        <f t="shared" si="15"/>
        <v/>
      </c>
      <c r="I51" s="49" t="str">
        <f t="shared" si="15"/>
        <v/>
      </c>
      <c r="J51" s="49" t="str">
        <f t="shared" si="15"/>
        <v/>
      </c>
      <c r="K51" s="49" t="str">
        <f t="shared" si="15"/>
        <v/>
      </c>
      <c r="L51" s="49" t="str">
        <f t="shared" si="15"/>
        <v/>
      </c>
      <c r="M51" s="49" t="str">
        <f t="shared" si="15"/>
        <v/>
      </c>
      <c r="N51" s="49" t="str">
        <f t="shared" si="15"/>
        <v/>
      </c>
      <c r="O51" s="49" t="str">
        <f t="shared" si="15"/>
        <v/>
      </c>
      <c r="P51" s="49" t="str">
        <f t="shared" si="15"/>
        <v/>
      </c>
      <c r="Q51" s="49" t="str">
        <f t="shared" si="15"/>
        <v/>
      </c>
      <c r="R51" s="49" t="str">
        <f t="shared" si="15"/>
        <v/>
      </c>
      <c r="S51" s="49" t="str">
        <f t="shared" si="15"/>
        <v/>
      </c>
      <c r="T51" s="49" t="str">
        <f t="shared" si="15"/>
        <v/>
      </c>
      <c r="U51" s="49" t="str">
        <f t="shared" si="15"/>
        <v/>
      </c>
      <c r="V51" s="49" t="str">
        <f t="shared" si="15"/>
        <v/>
      </c>
      <c r="W51" s="49" t="str">
        <f t="shared" si="15"/>
        <v/>
      </c>
      <c r="X51" s="49" t="str">
        <f t="shared" si="15"/>
        <v/>
      </c>
      <c r="Y51" s="49" t="str">
        <f t="shared" si="15"/>
        <v/>
      </c>
      <c r="Z51" s="49" t="str">
        <f t="shared" si="15"/>
        <v/>
      </c>
      <c r="AA51" s="49" t="str">
        <f t="shared" si="15"/>
        <v/>
      </c>
      <c r="AB51" s="49" t="str">
        <f t="shared" si="15"/>
        <v/>
      </c>
      <c r="AC51" s="49" t="str">
        <f t="shared" si="15"/>
        <v/>
      </c>
      <c r="AD51" s="49" t="str">
        <f t="shared" si="15"/>
        <v/>
      </c>
      <c r="AE51" s="49" t="str">
        <f t="shared" si="15"/>
        <v/>
      </c>
      <c r="AF51" s="49" t="str">
        <f t="shared" si="15"/>
        <v/>
      </c>
      <c r="AG51" s="49" t="str">
        <f t="shared" si="15"/>
        <v/>
      </c>
      <c r="AH51" s="44">
        <f>SUM(AH49:AH50)</f>
        <v>0</v>
      </c>
      <c r="AI51" s="45">
        <f>SUM(AI49:AI50)</f>
        <v>6</v>
      </c>
      <c r="AJ51" s="45">
        <f>SUM(AJ49:AJ50)</f>
        <v>0</v>
      </c>
      <c r="AK51" s="45">
        <f>SUM(AK49:AK50)</f>
        <v>0</v>
      </c>
      <c r="AL51" s="45">
        <f>SUM(AL49:AL50)</f>
        <v>0</v>
      </c>
      <c r="AM51" s="50">
        <f>Juin!AM51</f>
        <v>6.41</v>
      </c>
      <c r="AN51" s="51">
        <f>IF(A50="","",IF(A50&gt;NomMois,0,IF(A50&lt;$A$3,2.08,(NETWORKDAYS(A50,$A$2)/21.66667)*2.08)))</f>
        <v>2.08</v>
      </c>
      <c r="AO51" s="51">
        <f>IF( AN51="",0,+AN51+Janvier!AO51)</f>
        <v>18.72</v>
      </c>
      <c r="AP51" s="50">
        <f>IF(A50="","",IF(A50&gt;NomMois,0,IF(A50&lt;$A$3,1.5,(NETWORKDAYS(A50,$A$2)/21.66667)*1.5)))+Janvier!AP51</f>
        <v>3</v>
      </c>
      <c r="AQ51" s="45">
        <f>+AM51-AI51</f>
        <v>0.41000000000000014</v>
      </c>
      <c r="AR51" s="45">
        <f>+IF(AP51="","",AP51-AJ51)</f>
        <v>3</v>
      </c>
      <c r="AS51" s="102">
        <f t="shared" si="10"/>
        <v>19.13</v>
      </c>
    </row>
    <row r="52" spans="1:45" s="63" customFormat="1" ht="6.75" customHeight="1" x14ac:dyDescent="0.25">
      <c r="A52" s="60"/>
      <c r="B52" s="53"/>
      <c r="C52" s="60"/>
      <c r="D52" s="60"/>
      <c r="E52" s="60"/>
      <c r="F52" s="60"/>
      <c r="G52" s="60"/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0"/>
      <c r="W52" s="60"/>
      <c r="X52" s="60"/>
      <c r="Y52" s="60"/>
      <c r="Z52" s="60"/>
      <c r="AA52" s="60"/>
      <c r="AB52" s="60"/>
      <c r="AC52" s="60"/>
      <c r="AD52" s="60"/>
      <c r="AE52" s="60"/>
      <c r="AF52" s="60"/>
      <c r="AG52" s="60"/>
      <c r="AH52" s="61"/>
      <c r="AI52" s="61"/>
      <c r="AJ52" s="61"/>
      <c r="AK52" s="61"/>
      <c r="AL52" s="61"/>
      <c r="AM52" s="60"/>
      <c r="AN52" s="61"/>
      <c r="AO52" s="61"/>
      <c r="AP52" s="60"/>
      <c r="AQ52" s="69"/>
      <c r="AR52" s="69"/>
      <c r="AS52" s="65"/>
    </row>
    <row r="53" spans="1:45" s="63" customFormat="1" ht="12.95" customHeight="1" x14ac:dyDescent="0.25">
      <c r="A53" s="41"/>
      <c r="B53" s="42" t="s">
        <v>15</v>
      </c>
      <c r="C53" s="67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  <c r="AA53" s="43"/>
      <c r="AB53" s="43"/>
      <c r="AC53" s="43"/>
      <c r="AD53" s="43"/>
      <c r="AE53" s="43"/>
      <c r="AF53" s="43"/>
      <c r="AG53" s="43"/>
      <c r="AH53" s="44">
        <f>COUNTA(Février!$C53:$AG53)</f>
        <v>0</v>
      </c>
      <c r="AI53" s="45">
        <f>(COUNTIFS(Février!$C53:$AG53,("cp")))/2+Janvier!AI53</f>
        <v>9</v>
      </c>
      <c r="AJ53" s="45">
        <f>COUNTIFS(Février!$C53:$AG53,"RTT")/2+Janvier!AJ53</f>
        <v>0</v>
      </c>
      <c r="AK53" s="45">
        <f>COUNTIFS(Février!$C53:$AG53,"m")/2+Janvier!AK53</f>
        <v>0</v>
      </c>
      <c r="AL53" s="45">
        <f>COUNTIFS(Février!$C53:$AG53,"a")/2+Janvier!AL53</f>
        <v>0</v>
      </c>
      <c r="AM53" s="46"/>
      <c r="AN53" s="47"/>
      <c r="AO53" s="47"/>
      <c r="AP53" s="46"/>
      <c r="AQ53" s="47"/>
      <c r="AR53" s="47"/>
      <c r="AS53" s="47"/>
    </row>
    <row r="54" spans="1:45" s="63" customFormat="1" ht="12.95" customHeight="1" x14ac:dyDescent="0.25">
      <c r="A54" s="48">
        <v>42660</v>
      </c>
      <c r="B54" s="42" t="s">
        <v>16</v>
      </c>
      <c r="C54" s="67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  <c r="AA54" s="43"/>
      <c r="AB54" s="43"/>
      <c r="AC54" s="43"/>
      <c r="AD54" s="43"/>
      <c r="AE54" s="43"/>
      <c r="AF54" s="43"/>
      <c r="AG54" s="43"/>
      <c r="AH54" s="44">
        <f>COUNTA(Février!$C54:$AG54)</f>
        <v>0</v>
      </c>
      <c r="AI54" s="45">
        <f>(COUNTIFS(Février!$C54:$AG54,("cp")))/2+Janvier!AI54</f>
        <v>9</v>
      </c>
      <c r="AJ54" s="45">
        <f>COUNTIFS(Février!$C54:$AG54,"RTT")/2+Janvier!AJ54</f>
        <v>0</v>
      </c>
      <c r="AK54" s="45">
        <f>COUNTIFS(Février!$C54:$AG54,"m")/2+Janvier!AK54</f>
        <v>0</v>
      </c>
      <c r="AL54" s="45">
        <f>COUNTIFS(Février!$C54:$AG54,"a")/2+Janvier!AL54</f>
        <v>0</v>
      </c>
      <c r="AM54" s="46"/>
      <c r="AN54" s="47"/>
      <c r="AO54" s="47"/>
      <c r="AP54" s="46"/>
      <c r="AQ54" s="47"/>
      <c r="AR54" s="47"/>
      <c r="AS54" s="101"/>
    </row>
    <row r="55" spans="1:45" s="63" customFormat="1" ht="12.95" customHeight="1" x14ac:dyDescent="0.25">
      <c r="A55" s="41"/>
      <c r="B55" s="42"/>
      <c r="C55" s="49" t="str">
        <f t="shared" ref="C55:AG55" si="16">IF(C53&gt;0,C53,IF(C54&gt;0,C54,""))</f>
        <v/>
      </c>
      <c r="D55" s="49" t="str">
        <f t="shared" si="16"/>
        <v/>
      </c>
      <c r="E55" s="49" t="str">
        <f t="shared" si="16"/>
        <v/>
      </c>
      <c r="F55" s="49" t="str">
        <f t="shared" si="16"/>
        <v/>
      </c>
      <c r="G55" s="49" t="str">
        <f t="shared" si="16"/>
        <v/>
      </c>
      <c r="H55" s="49" t="str">
        <f t="shared" si="16"/>
        <v/>
      </c>
      <c r="I55" s="49" t="str">
        <f t="shared" si="16"/>
        <v/>
      </c>
      <c r="J55" s="49" t="str">
        <f t="shared" si="16"/>
        <v/>
      </c>
      <c r="K55" s="49" t="str">
        <f t="shared" si="16"/>
        <v/>
      </c>
      <c r="L55" s="49" t="str">
        <f t="shared" si="16"/>
        <v/>
      </c>
      <c r="M55" s="49" t="str">
        <f t="shared" si="16"/>
        <v/>
      </c>
      <c r="N55" s="49" t="str">
        <f t="shared" si="16"/>
        <v/>
      </c>
      <c r="O55" s="49" t="str">
        <f t="shared" si="16"/>
        <v/>
      </c>
      <c r="P55" s="49" t="str">
        <f t="shared" si="16"/>
        <v/>
      </c>
      <c r="Q55" s="49" t="str">
        <f t="shared" si="16"/>
        <v/>
      </c>
      <c r="R55" s="49" t="str">
        <f t="shared" si="16"/>
        <v/>
      </c>
      <c r="S55" s="49" t="str">
        <f t="shared" si="16"/>
        <v/>
      </c>
      <c r="T55" s="49" t="str">
        <f t="shared" si="16"/>
        <v/>
      </c>
      <c r="U55" s="49" t="str">
        <f t="shared" si="16"/>
        <v/>
      </c>
      <c r="V55" s="49" t="str">
        <f t="shared" si="16"/>
        <v/>
      </c>
      <c r="W55" s="49" t="str">
        <f t="shared" si="16"/>
        <v/>
      </c>
      <c r="X55" s="49" t="str">
        <f t="shared" si="16"/>
        <v/>
      </c>
      <c r="Y55" s="49" t="str">
        <f t="shared" si="16"/>
        <v/>
      </c>
      <c r="Z55" s="49" t="str">
        <f t="shared" si="16"/>
        <v/>
      </c>
      <c r="AA55" s="49" t="str">
        <f t="shared" si="16"/>
        <v/>
      </c>
      <c r="AB55" s="49" t="str">
        <f t="shared" si="16"/>
        <v/>
      </c>
      <c r="AC55" s="49" t="str">
        <f t="shared" si="16"/>
        <v/>
      </c>
      <c r="AD55" s="49" t="str">
        <f t="shared" si="16"/>
        <v/>
      </c>
      <c r="AE55" s="49" t="str">
        <f t="shared" si="16"/>
        <v/>
      </c>
      <c r="AF55" s="49" t="str">
        <f t="shared" si="16"/>
        <v/>
      </c>
      <c r="AG55" s="49" t="str">
        <f t="shared" si="16"/>
        <v/>
      </c>
      <c r="AH55" s="44">
        <f>SUM(AH53:AH54)</f>
        <v>0</v>
      </c>
      <c r="AI55" s="45">
        <f>SUM(AI53:AI54)</f>
        <v>18</v>
      </c>
      <c r="AJ55" s="45">
        <f>SUM(AJ53:AJ54)</f>
        <v>0</v>
      </c>
      <c r="AK55" s="45">
        <f>SUM(AK53:AK54)</f>
        <v>0</v>
      </c>
      <c r="AL55" s="45">
        <f>SUM(AL53:AL54)</f>
        <v>0</v>
      </c>
      <c r="AM55" s="50">
        <f>Juin!AM55</f>
        <v>15.68</v>
      </c>
      <c r="AN55" s="51">
        <f>IF(A54="","",IF(A54&gt;NomMois,0,IF(A54&lt;$A$3,2.08,(NETWORKDAYS(A54,$A$2)/21.66667)*2.08)))</f>
        <v>2.08</v>
      </c>
      <c r="AO55" s="51">
        <f>IF( AN55="",0,+AN55+Janvier!AO55)</f>
        <v>18.72</v>
      </c>
      <c r="AP55" s="50">
        <f>IF(A54="","",IF(A54&gt;NomMois,0,IF(A54&lt;$A$3,1.5,(NETWORKDAYS(A54,$A$2)/21.66667)*1.5)))+Janvier!AP55</f>
        <v>3</v>
      </c>
      <c r="AQ55" s="45">
        <f>+AM55-AI55</f>
        <v>-2.3200000000000003</v>
      </c>
      <c r="AR55" s="45">
        <f>+IF(AP55="","",AP55-AJ55)</f>
        <v>3</v>
      </c>
      <c r="AS55" s="102">
        <f t="shared" si="10"/>
        <v>16.399999999999999</v>
      </c>
    </row>
    <row r="56" spans="1:45" s="63" customFormat="1" ht="6.75" customHeight="1" x14ac:dyDescent="0.25">
      <c r="A56" s="60"/>
      <c r="B56" s="53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60"/>
      <c r="X56" s="60"/>
      <c r="Y56" s="60"/>
      <c r="Z56" s="60"/>
      <c r="AA56" s="60"/>
      <c r="AB56" s="60"/>
      <c r="AC56" s="60"/>
      <c r="AD56" s="60"/>
      <c r="AE56" s="60"/>
      <c r="AF56" s="60"/>
      <c r="AG56" s="60"/>
      <c r="AH56" s="61"/>
      <c r="AI56" s="61"/>
      <c r="AJ56" s="61"/>
      <c r="AK56" s="61"/>
      <c r="AL56" s="61"/>
      <c r="AM56" s="60"/>
      <c r="AN56" s="61"/>
      <c r="AO56" s="61"/>
      <c r="AP56" s="60"/>
      <c r="AQ56" s="69"/>
      <c r="AR56" s="69"/>
      <c r="AS56" s="65"/>
    </row>
    <row r="57" spans="1:45" s="63" customFormat="1" ht="12.95" customHeight="1" x14ac:dyDescent="0.25">
      <c r="A57" s="41"/>
      <c r="B57" s="42" t="s">
        <v>15</v>
      </c>
      <c r="C57" s="67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3"/>
      <c r="AB57" s="43"/>
      <c r="AC57" s="43"/>
      <c r="AD57" s="43"/>
      <c r="AE57" s="43"/>
      <c r="AF57" s="43"/>
      <c r="AG57" s="43"/>
      <c r="AH57" s="44">
        <f>COUNTA(Février!$C57:$AG57)</f>
        <v>0</v>
      </c>
      <c r="AI57" s="45">
        <f>(COUNTIFS(Février!$C57:$AG57,("cp")))/2+Janvier!AI57</f>
        <v>0</v>
      </c>
      <c r="AJ57" s="45">
        <f>COUNTIFS(Février!$C57:$AG57,"RTT")/2+Janvier!AJ57</f>
        <v>0</v>
      </c>
      <c r="AK57" s="45">
        <f>COUNTIFS(Février!$C57:$AG57,"m")/2+Janvier!AK57</f>
        <v>0</v>
      </c>
      <c r="AL57" s="45">
        <f>COUNTIFS(Février!$C57:$AG57,"a")/2+Janvier!AL57</f>
        <v>0</v>
      </c>
      <c r="AM57" s="46"/>
      <c r="AN57" s="47"/>
      <c r="AO57" s="47"/>
      <c r="AP57" s="46"/>
      <c r="AQ57" s="47"/>
      <c r="AR57" s="47"/>
      <c r="AS57" s="47"/>
    </row>
    <row r="58" spans="1:45" s="63" customFormat="1" ht="12.95" customHeight="1" x14ac:dyDescent="0.25">
      <c r="A58" s="48">
        <v>42975</v>
      </c>
      <c r="B58" s="42" t="s">
        <v>16</v>
      </c>
      <c r="C58" s="67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3"/>
      <c r="AB58" s="43"/>
      <c r="AC58" s="43"/>
      <c r="AD58" s="43"/>
      <c r="AE58" s="43"/>
      <c r="AF58" s="43"/>
      <c r="AG58" s="43"/>
      <c r="AH58" s="44">
        <f>COUNTA(Février!$C58:$AG58)</f>
        <v>0</v>
      </c>
      <c r="AI58" s="45">
        <f>(COUNTIFS(Février!$C58:$AG58,("cp")))/2+Janvier!AI58</f>
        <v>0</v>
      </c>
      <c r="AJ58" s="45">
        <f>COUNTIFS(Février!$C58:$AG58,"RTT")/2+Janvier!AJ58</f>
        <v>0</v>
      </c>
      <c r="AK58" s="45">
        <f>COUNTIFS(Février!$C58:$AG58,"m")/2+Janvier!AK58</f>
        <v>0</v>
      </c>
      <c r="AL58" s="45">
        <f>COUNTIFS(Février!$C58:$AG58,"a")/2+Janvier!AL58</f>
        <v>0</v>
      </c>
      <c r="AM58" s="46"/>
      <c r="AN58" s="47"/>
      <c r="AO58" s="47"/>
      <c r="AP58" s="46"/>
      <c r="AQ58" s="47"/>
      <c r="AR58" s="47"/>
      <c r="AS58" s="101"/>
    </row>
    <row r="59" spans="1:45" s="63" customFormat="1" ht="12.95" customHeight="1" x14ac:dyDescent="0.25">
      <c r="A59" s="41"/>
      <c r="B59" s="42"/>
      <c r="C59" s="49" t="str">
        <f t="shared" ref="C59:AG59" si="17">IF(C57&gt;0,C57,IF(C58&gt;0,C58,""))</f>
        <v/>
      </c>
      <c r="D59" s="49" t="str">
        <f t="shared" si="17"/>
        <v/>
      </c>
      <c r="E59" s="49" t="str">
        <f t="shared" si="17"/>
        <v/>
      </c>
      <c r="F59" s="49" t="str">
        <f t="shared" si="17"/>
        <v/>
      </c>
      <c r="G59" s="49" t="str">
        <f t="shared" si="17"/>
        <v/>
      </c>
      <c r="H59" s="49" t="str">
        <f t="shared" si="17"/>
        <v/>
      </c>
      <c r="I59" s="49" t="str">
        <f t="shared" si="17"/>
        <v/>
      </c>
      <c r="J59" s="49" t="str">
        <f t="shared" si="17"/>
        <v/>
      </c>
      <c r="K59" s="49" t="str">
        <f t="shared" si="17"/>
        <v/>
      </c>
      <c r="L59" s="49" t="str">
        <f t="shared" si="17"/>
        <v/>
      </c>
      <c r="M59" s="49" t="str">
        <f t="shared" si="17"/>
        <v/>
      </c>
      <c r="N59" s="49" t="str">
        <f t="shared" si="17"/>
        <v/>
      </c>
      <c r="O59" s="49" t="str">
        <f t="shared" si="17"/>
        <v/>
      </c>
      <c r="P59" s="49" t="str">
        <f t="shared" si="17"/>
        <v/>
      </c>
      <c r="Q59" s="49" t="str">
        <f t="shared" si="17"/>
        <v/>
      </c>
      <c r="R59" s="49" t="str">
        <f t="shared" si="17"/>
        <v/>
      </c>
      <c r="S59" s="49" t="str">
        <f t="shared" si="17"/>
        <v/>
      </c>
      <c r="T59" s="49" t="str">
        <f t="shared" si="17"/>
        <v/>
      </c>
      <c r="U59" s="49" t="str">
        <f t="shared" si="17"/>
        <v/>
      </c>
      <c r="V59" s="49" t="str">
        <f t="shared" si="17"/>
        <v/>
      </c>
      <c r="W59" s="49" t="str">
        <f t="shared" si="17"/>
        <v/>
      </c>
      <c r="X59" s="49" t="str">
        <f t="shared" si="17"/>
        <v/>
      </c>
      <c r="Y59" s="49" t="str">
        <f t="shared" si="17"/>
        <v/>
      </c>
      <c r="Z59" s="49" t="str">
        <f t="shared" si="17"/>
        <v/>
      </c>
      <c r="AA59" s="49" t="str">
        <f t="shared" si="17"/>
        <v/>
      </c>
      <c r="AB59" s="49" t="str">
        <f t="shared" si="17"/>
        <v/>
      </c>
      <c r="AC59" s="49" t="str">
        <f t="shared" si="17"/>
        <v/>
      </c>
      <c r="AD59" s="49" t="str">
        <f t="shared" si="17"/>
        <v/>
      </c>
      <c r="AE59" s="49" t="str">
        <f t="shared" si="17"/>
        <v/>
      </c>
      <c r="AF59" s="49" t="str">
        <f t="shared" si="17"/>
        <v/>
      </c>
      <c r="AG59" s="49" t="str">
        <f t="shared" si="17"/>
        <v/>
      </c>
      <c r="AH59" s="44">
        <f>SUM(AH57:AH58)</f>
        <v>0</v>
      </c>
      <c r="AI59" s="45">
        <f>SUM(AI57:AI58)</f>
        <v>0</v>
      </c>
      <c r="AJ59" s="45">
        <f>SUM(AJ57:AJ58)</f>
        <v>0</v>
      </c>
      <c r="AK59" s="45">
        <f>SUM(AK57:AK58)</f>
        <v>0</v>
      </c>
      <c r="AL59" s="45">
        <f>SUM(AL57:AL58)</f>
        <v>0</v>
      </c>
      <c r="AM59" s="50">
        <v>0</v>
      </c>
      <c r="AN59" s="51">
        <f>IF(A58="","",IF(A58&gt;NomMois,0,IF(A58&lt;$A$3,2.08,(NETWORKDAYS(A58,$A$2)/21.66667)*2.08)))</f>
        <v>2.08</v>
      </c>
      <c r="AO59" s="51">
        <f>IF( AN59="",0,+AN59+Janvier!AO59)</f>
        <v>12.863999940923087</v>
      </c>
      <c r="AP59" s="50">
        <f>IF(A58="","",IF(A58&gt;NomMois,0,IF(A58&lt;$A$3,1.5,(NETWORKDAYS(A58,$A$2)/21.66667)*1.5)))+Janvier!AP59</f>
        <v>3</v>
      </c>
      <c r="AQ59" s="45">
        <f>+AM59-AI59</f>
        <v>0</v>
      </c>
      <c r="AR59" s="45">
        <f>+IF(AP59="","",AP59-AJ59)</f>
        <v>3</v>
      </c>
      <c r="AS59" s="102">
        <f t="shared" si="10"/>
        <v>12.863999940923087</v>
      </c>
    </row>
    <row r="60" spans="1:45" s="63" customFormat="1" ht="6.75" customHeight="1" x14ac:dyDescent="0.25">
      <c r="A60" s="60"/>
      <c r="B60" s="42"/>
      <c r="C60" s="64"/>
      <c r="D60" s="64"/>
      <c r="E60" s="64"/>
      <c r="F60" s="64"/>
      <c r="G60" s="64"/>
      <c r="H60" s="64"/>
      <c r="I60" s="64"/>
      <c r="J60" s="64"/>
      <c r="K60" s="64"/>
      <c r="L60" s="64"/>
      <c r="M60" s="64"/>
      <c r="N60" s="64"/>
      <c r="O60" s="64"/>
      <c r="P60" s="64"/>
      <c r="Q60" s="64"/>
      <c r="R60" s="64"/>
      <c r="S60" s="64"/>
      <c r="T60" s="64"/>
      <c r="U60" s="64"/>
      <c r="V60" s="64"/>
      <c r="W60" s="64"/>
      <c r="X60" s="64"/>
      <c r="Y60" s="64"/>
      <c r="Z60" s="64"/>
      <c r="AA60" s="64"/>
      <c r="AB60" s="64"/>
      <c r="AC60" s="64"/>
      <c r="AD60" s="64"/>
      <c r="AE60" s="64"/>
      <c r="AF60" s="64"/>
      <c r="AG60" s="64"/>
      <c r="AH60" s="65"/>
      <c r="AI60" s="65"/>
      <c r="AJ60" s="65"/>
      <c r="AK60" s="65"/>
      <c r="AL60" s="65"/>
      <c r="AM60" s="64"/>
      <c r="AN60" s="65"/>
      <c r="AO60" s="65"/>
      <c r="AP60" s="64"/>
      <c r="AQ60" s="69"/>
      <c r="AR60" s="69"/>
      <c r="AS60" s="65"/>
    </row>
    <row r="61" spans="1:45" s="63" customFormat="1" ht="12.95" customHeight="1" x14ac:dyDescent="0.25">
      <c r="A61" s="41"/>
      <c r="B61" s="42" t="s">
        <v>15</v>
      </c>
      <c r="C61" s="67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  <c r="AA61" s="43"/>
      <c r="AB61" s="43"/>
      <c r="AC61" s="43"/>
      <c r="AD61" s="43"/>
      <c r="AE61" s="43"/>
      <c r="AF61" s="43"/>
      <c r="AG61" s="43"/>
      <c r="AH61" s="44">
        <f>COUNTA(Février!$C61:$AG61)</f>
        <v>0</v>
      </c>
      <c r="AI61" s="45">
        <f>(COUNTIFS(Février!$C61:$AG61,("cp")))/2+Janvier!AI61</f>
        <v>10</v>
      </c>
      <c r="AJ61" s="45">
        <f>COUNTIFS(Février!$C61:$AG61,"RTT")/2+Janvier!AJ61</f>
        <v>0</v>
      </c>
      <c r="AK61" s="45">
        <f>COUNTIFS(Février!$C61:$AG61,"m")/2+Janvier!AK61</f>
        <v>0</v>
      </c>
      <c r="AL61" s="45">
        <f>COUNTIFS(Février!$C61:$AG61,"a")/2+Janvier!AL61</f>
        <v>0</v>
      </c>
      <c r="AM61" s="46"/>
      <c r="AN61" s="47"/>
      <c r="AO61" s="47"/>
      <c r="AP61" s="46"/>
      <c r="AQ61" s="47"/>
      <c r="AR61" s="47"/>
      <c r="AS61" s="47"/>
    </row>
    <row r="62" spans="1:45" s="63" customFormat="1" ht="12.95" customHeight="1" x14ac:dyDescent="0.25">
      <c r="A62" s="48">
        <v>42646</v>
      </c>
      <c r="B62" s="42" t="s">
        <v>16</v>
      </c>
      <c r="C62" s="67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  <c r="AA62" s="43"/>
      <c r="AB62" s="43"/>
      <c r="AC62" s="43"/>
      <c r="AD62" s="43"/>
      <c r="AE62" s="43"/>
      <c r="AF62" s="43"/>
      <c r="AG62" s="43"/>
      <c r="AH62" s="44">
        <f>COUNTA(Février!$C62:$AG62)</f>
        <v>0</v>
      </c>
      <c r="AI62" s="45">
        <f>(COUNTIFS(Février!$C62:$AG62,("cp")))/2+Janvier!AI62</f>
        <v>10</v>
      </c>
      <c r="AJ62" s="45">
        <f>COUNTIFS(Février!$C62:$AG62,"RTT")/2+Janvier!AJ62</f>
        <v>0</v>
      </c>
      <c r="AK62" s="45">
        <f>COUNTIFS(Février!$C62:$AG62,"m")/2+Janvier!AK62</f>
        <v>0</v>
      </c>
      <c r="AL62" s="45">
        <f>COUNTIFS(Février!$C62:$AG62,"a")/2+Janvier!AL62</f>
        <v>0</v>
      </c>
      <c r="AM62" s="46"/>
      <c r="AN62" s="47"/>
      <c r="AO62" s="47"/>
      <c r="AP62" s="46"/>
      <c r="AQ62" s="47"/>
      <c r="AR62" s="47"/>
      <c r="AS62" s="101"/>
    </row>
    <row r="63" spans="1:45" s="63" customFormat="1" ht="12.95" customHeight="1" x14ac:dyDescent="0.25">
      <c r="A63" s="41"/>
      <c r="B63" s="42"/>
      <c r="C63" s="49" t="str">
        <f t="shared" ref="C63:AG63" si="18">IF(C61&gt;0,C61,IF(C62&gt;0,C62,""))</f>
        <v/>
      </c>
      <c r="D63" s="49" t="str">
        <f t="shared" si="18"/>
        <v/>
      </c>
      <c r="E63" s="49" t="str">
        <f t="shared" si="18"/>
        <v/>
      </c>
      <c r="F63" s="49" t="str">
        <f t="shared" si="18"/>
        <v/>
      </c>
      <c r="G63" s="49" t="str">
        <f t="shared" si="18"/>
        <v/>
      </c>
      <c r="H63" s="49" t="str">
        <f t="shared" si="18"/>
        <v/>
      </c>
      <c r="I63" s="49" t="str">
        <f t="shared" si="18"/>
        <v/>
      </c>
      <c r="J63" s="49" t="str">
        <f t="shared" si="18"/>
        <v/>
      </c>
      <c r="K63" s="49" t="str">
        <f t="shared" si="18"/>
        <v/>
      </c>
      <c r="L63" s="49" t="str">
        <f t="shared" si="18"/>
        <v/>
      </c>
      <c r="M63" s="49" t="str">
        <f t="shared" si="18"/>
        <v/>
      </c>
      <c r="N63" s="49" t="str">
        <f t="shared" si="18"/>
        <v/>
      </c>
      <c r="O63" s="49" t="str">
        <f t="shared" si="18"/>
        <v/>
      </c>
      <c r="P63" s="49" t="str">
        <f t="shared" si="18"/>
        <v/>
      </c>
      <c r="Q63" s="49" t="str">
        <f t="shared" si="18"/>
        <v/>
      </c>
      <c r="R63" s="49" t="str">
        <f t="shared" si="18"/>
        <v/>
      </c>
      <c r="S63" s="49" t="str">
        <f t="shared" si="18"/>
        <v/>
      </c>
      <c r="T63" s="49" t="str">
        <f t="shared" si="18"/>
        <v/>
      </c>
      <c r="U63" s="49" t="str">
        <f t="shared" si="18"/>
        <v/>
      </c>
      <c r="V63" s="49" t="str">
        <f t="shared" si="18"/>
        <v/>
      </c>
      <c r="W63" s="49" t="str">
        <f t="shared" si="18"/>
        <v/>
      </c>
      <c r="X63" s="49" t="str">
        <f t="shared" si="18"/>
        <v/>
      </c>
      <c r="Y63" s="49" t="str">
        <f t="shared" si="18"/>
        <v/>
      </c>
      <c r="Z63" s="49" t="str">
        <f t="shared" si="18"/>
        <v/>
      </c>
      <c r="AA63" s="49" t="str">
        <f t="shared" si="18"/>
        <v/>
      </c>
      <c r="AB63" s="49" t="str">
        <f t="shared" si="18"/>
        <v/>
      </c>
      <c r="AC63" s="49" t="str">
        <f t="shared" si="18"/>
        <v/>
      </c>
      <c r="AD63" s="49" t="str">
        <f t="shared" si="18"/>
        <v/>
      </c>
      <c r="AE63" s="49" t="str">
        <f t="shared" si="18"/>
        <v/>
      </c>
      <c r="AF63" s="49" t="str">
        <f t="shared" si="18"/>
        <v/>
      </c>
      <c r="AG63" s="49" t="str">
        <f t="shared" si="18"/>
        <v/>
      </c>
      <c r="AH63" s="44">
        <f>SUM(AH61:AH62)</f>
        <v>0</v>
      </c>
      <c r="AI63" s="45">
        <f>SUM(AI61:AI62)</f>
        <v>20</v>
      </c>
      <c r="AJ63" s="45">
        <f>SUM(AJ61:AJ62)</f>
        <v>0</v>
      </c>
      <c r="AK63" s="45">
        <f>SUM(AK61:AK62)</f>
        <v>0</v>
      </c>
      <c r="AL63" s="45">
        <f>SUM(AL61:AL62)</f>
        <v>0</v>
      </c>
      <c r="AM63" s="50">
        <f>Juin!AM63</f>
        <v>16.64</v>
      </c>
      <c r="AN63" s="51">
        <f>IF(A62="","",IF(A62&gt;NomMois,0,IF(A62&lt;$A$3,2.08,(NETWORKDAYS(A62,$A$2)/21.66667)*2.08)))</f>
        <v>2.08</v>
      </c>
      <c r="AO63" s="51">
        <f>IF( AN63="",0,+AN63+Janvier!AO63)</f>
        <v>18.72</v>
      </c>
      <c r="AP63" s="50">
        <f>IF(A62="","",IF(A62&gt;NomMois,0,IF(A62&lt;$A$3,1.5,(NETWORKDAYS(A62,$A$2)/21.66667)*1.5)))+Janvier!AP63</f>
        <v>3</v>
      </c>
      <c r="AQ63" s="45">
        <f>+AM63-AI63</f>
        <v>-3.3599999999999994</v>
      </c>
      <c r="AR63" s="45">
        <f>+IF(AP63="","",AP63-AJ63)</f>
        <v>3</v>
      </c>
      <c r="AS63" s="102">
        <f t="shared" si="10"/>
        <v>15.36</v>
      </c>
    </row>
    <row r="64" spans="1:45" s="63" customFormat="1" ht="6.75" customHeight="1" x14ac:dyDescent="0.25">
      <c r="A64" s="60"/>
      <c r="B64" s="53"/>
      <c r="C64" s="60"/>
      <c r="D64" s="60"/>
      <c r="E64" s="60"/>
      <c r="F64" s="60"/>
      <c r="G64" s="60"/>
      <c r="H64" s="60"/>
      <c r="I64" s="60"/>
      <c r="J64" s="60"/>
      <c r="K64" s="60"/>
      <c r="L64" s="60"/>
      <c r="M64" s="60"/>
      <c r="N64" s="60"/>
      <c r="O64" s="60"/>
      <c r="P64" s="60"/>
      <c r="Q64" s="60"/>
      <c r="R64" s="60"/>
      <c r="S64" s="60"/>
      <c r="T64" s="60"/>
      <c r="U64" s="60"/>
      <c r="V64" s="60"/>
      <c r="W64" s="60"/>
      <c r="X64" s="60"/>
      <c r="Y64" s="60"/>
      <c r="Z64" s="60"/>
      <c r="AA64" s="60"/>
      <c r="AB64" s="60"/>
      <c r="AC64" s="60"/>
      <c r="AD64" s="60"/>
      <c r="AE64" s="60"/>
      <c r="AF64" s="60"/>
      <c r="AG64" s="60"/>
      <c r="AH64" s="61">
        <v>0</v>
      </c>
      <c r="AI64" s="61">
        <v>0</v>
      </c>
      <c r="AJ64" s="61">
        <v>0</v>
      </c>
      <c r="AK64" s="61">
        <v>0</v>
      </c>
      <c r="AL64" s="61">
        <v>0</v>
      </c>
      <c r="AM64" s="60"/>
      <c r="AN64" s="61"/>
      <c r="AO64" s="61"/>
      <c r="AP64" s="60"/>
      <c r="AQ64" s="69"/>
      <c r="AR64" s="69"/>
      <c r="AS64" s="65"/>
    </row>
    <row r="65" spans="1:45" s="63" customFormat="1" ht="12.95" customHeight="1" x14ac:dyDescent="0.25">
      <c r="A65" s="41"/>
      <c r="B65" s="42" t="s">
        <v>15</v>
      </c>
      <c r="C65" s="67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  <c r="W65" s="43"/>
      <c r="X65" s="43"/>
      <c r="Y65" s="43"/>
      <c r="Z65" s="43"/>
      <c r="AA65" s="43"/>
      <c r="AB65" s="43"/>
      <c r="AC65" s="43"/>
      <c r="AD65" s="43"/>
      <c r="AE65" s="43"/>
      <c r="AF65" s="43"/>
      <c r="AG65" s="43"/>
      <c r="AH65" s="44">
        <f>COUNTA(Février!$C65:$AG65)</f>
        <v>0</v>
      </c>
      <c r="AI65" s="45">
        <f>(COUNTIFS(Février!$C65:$AG65,("cp")))/2+Janvier!AI65</f>
        <v>8</v>
      </c>
      <c r="AJ65" s="45">
        <f>COUNTIFS(Février!$C65:$AG65,"RTT")/2+Janvier!AJ65</f>
        <v>0</v>
      </c>
      <c r="AK65" s="45">
        <f>COUNTIFS(Février!$C65:$AG65,"m")/2+Janvier!AK65</f>
        <v>0</v>
      </c>
      <c r="AL65" s="45">
        <f>COUNTIFS(Février!$C65:$AG65,"a")/2+Janvier!AL65</f>
        <v>0</v>
      </c>
      <c r="AM65" s="46"/>
      <c r="AN65" s="47"/>
      <c r="AO65" s="47"/>
      <c r="AP65" s="46"/>
      <c r="AQ65" s="47"/>
      <c r="AR65" s="47"/>
      <c r="AS65" s="47"/>
    </row>
    <row r="66" spans="1:45" s="63" customFormat="1" ht="12.95" customHeight="1" x14ac:dyDescent="0.25">
      <c r="A66" s="48">
        <v>42410</v>
      </c>
      <c r="B66" s="42" t="s">
        <v>16</v>
      </c>
      <c r="C66" s="67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3"/>
      <c r="T66" s="43"/>
      <c r="U66" s="43"/>
      <c r="V66" s="43"/>
      <c r="W66" s="43"/>
      <c r="X66" s="43"/>
      <c r="Y66" s="43"/>
      <c r="Z66" s="43"/>
      <c r="AA66" s="43"/>
      <c r="AB66" s="43"/>
      <c r="AC66" s="43"/>
      <c r="AD66" s="43"/>
      <c r="AE66" s="43"/>
      <c r="AF66" s="43"/>
      <c r="AG66" s="43"/>
      <c r="AH66" s="44">
        <f>COUNTA(Février!$C66:$AG66)</f>
        <v>0</v>
      </c>
      <c r="AI66" s="45">
        <f>(COUNTIFS(Février!$C66:$AG66,("cp")))/2+Janvier!AI66</f>
        <v>8</v>
      </c>
      <c r="AJ66" s="45">
        <f>COUNTIFS(Février!$C66:$AG66,"RTT")/2+Janvier!AJ66</f>
        <v>0</v>
      </c>
      <c r="AK66" s="45">
        <f>COUNTIFS(Février!$C66:$AG66,"m")/2+Janvier!AK66</f>
        <v>0</v>
      </c>
      <c r="AL66" s="45">
        <f>COUNTIFS(Février!$C66:$AG66,"a")/2+Janvier!AL66</f>
        <v>0</v>
      </c>
      <c r="AM66" s="46"/>
      <c r="AN66" s="47"/>
      <c r="AO66" s="47"/>
      <c r="AP66" s="46"/>
      <c r="AQ66" s="47"/>
      <c r="AR66" s="47"/>
      <c r="AS66" s="101"/>
    </row>
    <row r="67" spans="1:45" s="63" customFormat="1" ht="12.95" customHeight="1" x14ac:dyDescent="0.25">
      <c r="A67" s="41"/>
      <c r="B67" s="42"/>
      <c r="C67" s="49" t="str">
        <f t="shared" ref="C67:AG67" si="19">IF(C65&gt;0,C65,IF(C66&gt;0,C66,""))</f>
        <v/>
      </c>
      <c r="D67" s="49" t="str">
        <f t="shared" si="19"/>
        <v/>
      </c>
      <c r="E67" s="49" t="str">
        <f t="shared" si="19"/>
        <v/>
      </c>
      <c r="F67" s="49" t="str">
        <f t="shared" si="19"/>
        <v/>
      </c>
      <c r="G67" s="49" t="str">
        <f t="shared" si="19"/>
        <v/>
      </c>
      <c r="H67" s="49" t="str">
        <f t="shared" si="19"/>
        <v/>
      </c>
      <c r="I67" s="49" t="str">
        <f t="shared" si="19"/>
        <v/>
      </c>
      <c r="J67" s="49" t="str">
        <f t="shared" si="19"/>
        <v/>
      </c>
      <c r="K67" s="49" t="str">
        <f t="shared" si="19"/>
        <v/>
      </c>
      <c r="L67" s="49" t="str">
        <f t="shared" si="19"/>
        <v/>
      </c>
      <c r="M67" s="49" t="str">
        <f t="shared" si="19"/>
        <v/>
      </c>
      <c r="N67" s="49" t="str">
        <f t="shared" si="19"/>
        <v/>
      </c>
      <c r="O67" s="49" t="str">
        <f t="shared" si="19"/>
        <v/>
      </c>
      <c r="P67" s="49" t="str">
        <f t="shared" si="19"/>
        <v/>
      </c>
      <c r="Q67" s="49" t="str">
        <f t="shared" si="19"/>
        <v/>
      </c>
      <c r="R67" s="49" t="str">
        <f t="shared" si="19"/>
        <v/>
      </c>
      <c r="S67" s="49" t="str">
        <f t="shared" si="19"/>
        <v/>
      </c>
      <c r="T67" s="49" t="str">
        <f t="shared" si="19"/>
        <v/>
      </c>
      <c r="U67" s="49" t="str">
        <f t="shared" si="19"/>
        <v/>
      </c>
      <c r="V67" s="49" t="str">
        <f t="shared" si="19"/>
        <v/>
      </c>
      <c r="W67" s="49" t="str">
        <f t="shared" si="19"/>
        <v/>
      </c>
      <c r="X67" s="49" t="str">
        <f t="shared" si="19"/>
        <v/>
      </c>
      <c r="Y67" s="49" t="str">
        <f t="shared" si="19"/>
        <v/>
      </c>
      <c r="Z67" s="49" t="str">
        <f t="shared" si="19"/>
        <v/>
      </c>
      <c r="AA67" s="49" t="str">
        <f t="shared" si="19"/>
        <v/>
      </c>
      <c r="AB67" s="49" t="str">
        <f t="shared" si="19"/>
        <v/>
      </c>
      <c r="AC67" s="49" t="str">
        <f t="shared" si="19"/>
        <v/>
      </c>
      <c r="AD67" s="49" t="str">
        <f t="shared" si="19"/>
        <v/>
      </c>
      <c r="AE67" s="49" t="str">
        <f t="shared" si="19"/>
        <v/>
      </c>
      <c r="AF67" s="49" t="str">
        <f t="shared" si="19"/>
        <v/>
      </c>
      <c r="AG67" s="49" t="str">
        <f t="shared" si="19"/>
        <v/>
      </c>
      <c r="AH67" s="44">
        <f>SUM(AH65:AH66)</f>
        <v>0</v>
      </c>
      <c r="AI67" s="45">
        <f>SUM(AI65:AI66)</f>
        <v>16</v>
      </c>
      <c r="AJ67" s="45">
        <f>SUM(AJ65:AJ66)</f>
        <v>0</v>
      </c>
      <c r="AK67" s="45">
        <f>SUM(AK65:AK66)</f>
        <v>0</v>
      </c>
      <c r="AL67" s="45">
        <f>SUM(AL65:AL66)</f>
        <v>0</v>
      </c>
      <c r="AM67" s="50">
        <f>Juin!AM67</f>
        <v>22.46</v>
      </c>
      <c r="AN67" s="51">
        <f>IF(A66="","",IF(A66&gt;NomMois,0,IF(A66&lt;$A$3,2.08,(NETWORKDAYS(A66,$A$2)/21.66667)*2.08)))</f>
        <v>2.08</v>
      </c>
      <c r="AO67" s="51">
        <f>IF( AN67="",0,+AN67+Janvier!AO67)</f>
        <v>18.72</v>
      </c>
      <c r="AP67" s="50">
        <f>IF(A66="","",IF(A66&gt;NomMois,0,IF(A66&lt;$A$3,1.5,(NETWORKDAYS(A66,$A$2)/21.66667)*1.5)))+Janvier!AP67</f>
        <v>3</v>
      </c>
      <c r="AQ67" s="45">
        <f>+AM67-AI67</f>
        <v>6.4600000000000009</v>
      </c>
      <c r="AR67" s="45">
        <f>+IF(AP67="","",AP67-AJ67)</f>
        <v>3</v>
      </c>
      <c r="AS67" s="102">
        <f t="shared" si="10"/>
        <v>25.18</v>
      </c>
    </row>
    <row r="68" spans="1:45" s="63" customFormat="1" ht="6.75" customHeight="1" x14ac:dyDescent="0.25">
      <c r="A68" s="64"/>
      <c r="B68" s="42"/>
      <c r="C68" s="64"/>
      <c r="D68" s="64"/>
      <c r="E68" s="64"/>
      <c r="F68" s="64"/>
      <c r="G68" s="64"/>
      <c r="H68" s="64"/>
      <c r="I68" s="64"/>
      <c r="J68" s="64"/>
      <c r="K68" s="64"/>
      <c r="L68" s="64"/>
      <c r="M68" s="64"/>
      <c r="N68" s="64"/>
      <c r="O68" s="64"/>
      <c r="P68" s="64"/>
      <c r="Q68" s="64"/>
      <c r="R68" s="64"/>
      <c r="S68" s="64"/>
      <c r="T68" s="64"/>
      <c r="U68" s="64"/>
      <c r="V68" s="64"/>
      <c r="W68" s="64"/>
      <c r="X68" s="64"/>
      <c r="Y68" s="64"/>
      <c r="Z68" s="64"/>
      <c r="AA68" s="64"/>
      <c r="AB68" s="64"/>
      <c r="AC68" s="64"/>
      <c r="AD68" s="64"/>
      <c r="AE68" s="64"/>
      <c r="AF68" s="64"/>
      <c r="AG68" s="64"/>
      <c r="AH68" s="65"/>
      <c r="AI68" s="65"/>
      <c r="AJ68" s="65"/>
      <c r="AK68" s="65"/>
      <c r="AL68" s="65"/>
      <c r="AM68" s="64"/>
      <c r="AN68" s="65"/>
      <c r="AO68" s="65"/>
      <c r="AP68" s="64"/>
      <c r="AQ68" s="69"/>
      <c r="AR68" s="69"/>
      <c r="AS68" s="65"/>
    </row>
    <row r="69" spans="1:45" s="63" customFormat="1" ht="12.95" customHeight="1" x14ac:dyDescent="0.25">
      <c r="A69" s="41"/>
      <c r="B69" s="42" t="s">
        <v>15</v>
      </c>
      <c r="C69" s="67"/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43"/>
      <c r="AA69" s="43"/>
      <c r="AB69" s="43"/>
      <c r="AC69" s="43"/>
      <c r="AD69" s="43"/>
      <c r="AE69" s="43"/>
      <c r="AF69" s="43"/>
      <c r="AG69" s="43"/>
      <c r="AH69" s="44">
        <f>COUNTA(Février!$C69:$AG69)</f>
        <v>0</v>
      </c>
      <c r="AI69" s="45">
        <f>(COUNTIFS(Février!$C69:$AG69,("cp")))/2+Janvier!AI69</f>
        <v>14</v>
      </c>
      <c r="AJ69" s="45">
        <f>COUNTIFS(Février!$C69:$AG69,"RTT")/2+Janvier!AJ69</f>
        <v>0</v>
      </c>
      <c r="AK69" s="45">
        <f>COUNTIFS(Février!$C69:$AG69,"m")/2+Janvier!AK69</f>
        <v>0</v>
      </c>
      <c r="AL69" s="45">
        <f>COUNTIFS(Février!$C69:$AG69,"a")/2+Janvier!AL69</f>
        <v>2</v>
      </c>
      <c r="AM69" s="46"/>
      <c r="AN69" s="47"/>
      <c r="AO69" s="47"/>
      <c r="AP69" s="46"/>
      <c r="AQ69" s="47"/>
      <c r="AR69" s="47"/>
      <c r="AS69" s="47"/>
    </row>
    <row r="70" spans="1:45" s="63" customFormat="1" ht="12.95" customHeight="1" x14ac:dyDescent="0.25">
      <c r="A70" s="48">
        <v>41701</v>
      </c>
      <c r="B70" s="42" t="s">
        <v>16</v>
      </c>
      <c r="C70" s="67"/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  <c r="S70" s="43"/>
      <c r="T70" s="43"/>
      <c r="U70" s="43"/>
      <c r="V70" s="43"/>
      <c r="W70" s="43"/>
      <c r="X70" s="43"/>
      <c r="Y70" s="43"/>
      <c r="Z70" s="43"/>
      <c r="AA70" s="43"/>
      <c r="AB70" s="43"/>
      <c r="AC70" s="43"/>
      <c r="AD70" s="43"/>
      <c r="AE70" s="43"/>
      <c r="AF70" s="43"/>
      <c r="AG70" s="43"/>
      <c r="AH70" s="44">
        <f>COUNTA(Février!$C70:$AG70)</f>
        <v>0</v>
      </c>
      <c r="AI70" s="45">
        <f>(COUNTIFS(Février!$C70:$AG70,("cp")))/2+Janvier!AI70</f>
        <v>14</v>
      </c>
      <c r="AJ70" s="45">
        <f>COUNTIFS(Février!$C70:$AG70,"RTT")/2+Janvier!AJ70</f>
        <v>0</v>
      </c>
      <c r="AK70" s="45">
        <f>COUNTIFS(Février!$C70:$AG70,"m")/2+Janvier!AK70</f>
        <v>0</v>
      </c>
      <c r="AL70" s="45">
        <f>COUNTIFS(Février!$C70:$AG70,"a")/2+Janvier!AL70</f>
        <v>2</v>
      </c>
      <c r="AM70" s="46"/>
      <c r="AN70" s="47"/>
      <c r="AO70" s="47"/>
      <c r="AP70" s="46"/>
      <c r="AQ70" s="47"/>
      <c r="AR70" s="47"/>
      <c r="AS70" s="101"/>
    </row>
    <row r="71" spans="1:45" s="63" customFormat="1" ht="12.95" customHeight="1" x14ac:dyDescent="0.25">
      <c r="A71" s="41"/>
      <c r="B71" s="42"/>
      <c r="C71" s="49" t="str">
        <f t="shared" ref="C71:AG71" si="20">IF(C69&gt;0,C69,IF(C70&gt;0,C70,""))</f>
        <v/>
      </c>
      <c r="D71" s="49" t="str">
        <f t="shared" si="20"/>
        <v/>
      </c>
      <c r="E71" s="49" t="str">
        <f t="shared" si="20"/>
        <v/>
      </c>
      <c r="F71" s="49" t="str">
        <f t="shared" si="20"/>
        <v/>
      </c>
      <c r="G71" s="49" t="str">
        <f t="shared" si="20"/>
        <v/>
      </c>
      <c r="H71" s="49" t="str">
        <f t="shared" si="20"/>
        <v/>
      </c>
      <c r="I71" s="49" t="str">
        <f t="shared" si="20"/>
        <v/>
      </c>
      <c r="J71" s="49" t="str">
        <f t="shared" si="20"/>
        <v/>
      </c>
      <c r="K71" s="49" t="str">
        <f t="shared" si="20"/>
        <v/>
      </c>
      <c r="L71" s="49" t="str">
        <f t="shared" si="20"/>
        <v/>
      </c>
      <c r="M71" s="49" t="str">
        <f t="shared" si="20"/>
        <v/>
      </c>
      <c r="N71" s="49" t="str">
        <f t="shared" si="20"/>
        <v/>
      </c>
      <c r="O71" s="49" t="str">
        <f t="shared" si="20"/>
        <v/>
      </c>
      <c r="P71" s="49" t="str">
        <f t="shared" si="20"/>
        <v/>
      </c>
      <c r="Q71" s="49" t="str">
        <f t="shared" si="20"/>
        <v/>
      </c>
      <c r="R71" s="49" t="str">
        <f t="shared" si="20"/>
        <v/>
      </c>
      <c r="S71" s="49" t="str">
        <f t="shared" si="20"/>
        <v/>
      </c>
      <c r="T71" s="49" t="str">
        <f t="shared" si="20"/>
        <v/>
      </c>
      <c r="U71" s="49" t="str">
        <f t="shared" si="20"/>
        <v/>
      </c>
      <c r="V71" s="49" t="str">
        <f t="shared" si="20"/>
        <v/>
      </c>
      <c r="W71" s="49" t="str">
        <f t="shared" si="20"/>
        <v/>
      </c>
      <c r="X71" s="49" t="str">
        <f t="shared" si="20"/>
        <v/>
      </c>
      <c r="Y71" s="49" t="str">
        <f t="shared" si="20"/>
        <v/>
      </c>
      <c r="Z71" s="49" t="str">
        <f t="shared" si="20"/>
        <v/>
      </c>
      <c r="AA71" s="49" t="str">
        <f t="shared" si="20"/>
        <v/>
      </c>
      <c r="AB71" s="49" t="str">
        <f t="shared" si="20"/>
        <v/>
      </c>
      <c r="AC71" s="49" t="str">
        <f t="shared" si="20"/>
        <v/>
      </c>
      <c r="AD71" s="49" t="str">
        <f t="shared" si="20"/>
        <v/>
      </c>
      <c r="AE71" s="49" t="str">
        <f t="shared" si="20"/>
        <v/>
      </c>
      <c r="AF71" s="49" t="str">
        <f t="shared" si="20"/>
        <v/>
      </c>
      <c r="AG71" s="49" t="str">
        <f t="shared" si="20"/>
        <v/>
      </c>
      <c r="AH71" s="44">
        <f>SUM(AH69:AH70)</f>
        <v>0</v>
      </c>
      <c r="AI71" s="45">
        <f>SUM(AI69:AI70)</f>
        <v>28</v>
      </c>
      <c r="AJ71" s="45">
        <f>SUM(AJ69:AJ70)</f>
        <v>0</v>
      </c>
      <c r="AK71" s="45">
        <f>SUM(AK69:AK70)</f>
        <v>0</v>
      </c>
      <c r="AL71" s="45">
        <f>SUM(AL69:AL70)</f>
        <v>4</v>
      </c>
      <c r="AM71" s="50">
        <f>Juin!AM71</f>
        <v>45.34</v>
      </c>
      <c r="AN71" s="51">
        <f>IF(A70="","",IF(A70&gt;NomMois,0,IF(A70&lt;$A$3,2.08,(NETWORKDAYS(A70,$A$2)/21.66667)*2.08)))</f>
        <v>2.08</v>
      </c>
      <c r="AO71" s="51">
        <f>IF( AN71="",0,+AN71+Janvier!AO71)</f>
        <v>18.72</v>
      </c>
      <c r="AP71" s="50">
        <f>IF(A70="","",IF(A70&gt;NomMois,0,IF(A70&lt;$A$3,1.5,(NETWORKDAYS(A70,$A$2)/21.66667)*1.5)))+Janvier!AP71</f>
        <v>3</v>
      </c>
      <c r="AQ71" s="45">
        <f>+AM71-AI71</f>
        <v>17.340000000000003</v>
      </c>
      <c r="AR71" s="45">
        <f>+IF(AP71="","",AP71-AJ71)</f>
        <v>3</v>
      </c>
      <c r="AS71" s="102">
        <f t="shared" si="10"/>
        <v>36.06</v>
      </c>
    </row>
    <row r="72" spans="1:45" s="63" customFormat="1" ht="6.75" customHeight="1" x14ac:dyDescent="0.25">
      <c r="A72" s="60"/>
      <c r="B72" s="53"/>
      <c r="C72" s="60"/>
      <c r="D72" s="60"/>
      <c r="E72" s="60"/>
      <c r="F72" s="60"/>
      <c r="G72" s="60"/>
      <c r="H72" s="60"/>
      <c r="I72" s="60"/>
      <c r="J72" s="60"/>
      <c r="K72" s="60"/>
      <c r="L72" s="60"/>
      <c r="M72" s="60"/>
      <c r="N72" s="60"/>
      <c r="O72" s="60"/>
      <c r="P72" s="60"/>
      <c r="Q72" s="60"/>
      <c r="R72" s="60"/>
      <c r="S72" s="60"/>
      <c r="T72" s="60"/>
      <c r="U72" s="60"/>
      <c r="V72" s="60"/>
      <c r="W72" s="60"/>
      <c r="X72" s="60"/>
      <c r="Y72" s="60"/>
      <c r="Z72" s="60"/>
      <c r="AA72" s="60"/>
      <c r="AB72" s="60"/>
      <c r="AC72" s="60"/>
      <c r="AD72" s="60"/>
      <c r="AE72" s="60"/>
      <c r="AF72" s="60"/>
      <c r="AG72" s="60"/>
      <c r="AH72" s="61"/>
      <c r="AI72" s="61"/>
      <c r="AJ72" s="61"/>
      <c r="AK72" s="61"/>
      <c r="AL72" s="61"/>
      <c r="AM72" s="60"/>
      <c r="AN72" s="61"/>
      <c r="AO72" s="61"/>
      <c r="AP72" s="60"/>
      <c r="AQ72" s="69"/>
      <c r="AR72" s="69"/>
      <c r="AS72" s="65"/>
    </row>
    <row r="73" spans="1:45" s="63" customFormat="1" ht="12.95" customHeight="1" x14ac:dyDescent="0.25">
      <c r="A73" s="41"/>
      <c r="B73" s="42" t="s">
        <v>15</v>
      </c>
      <c r="C73" s="67"/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43"/>
      <c r="AH73" s="44">
        <f>COUNTA(Février!$C73:$AG73)</f>
        <v>0</v>
      </c>
      <c r="AI73" s="45">
        <f>(COUNTIFS(Février!$C73:$AG73,("cp")))/2+Janvier!AI73</f>
        <v>0</v>
      </c>
      <c r="AJ73" s="45">
        <f>COUNTIFS(Février!$C73:$AG73,"RTT")/2+Janvier!AJ73</f>
        <v>0</v>
      </c>
      <c r="AK73" s="45">
        <f>COUNTIFS(Février!$C73:$AG73,"m")/2+Janvier!AK73</f>
        <v>0</v>
      </c>
      <c r="AL73" s="45">
        <f>COUNTIFS(Février!$C73:$AG73,"a")/2+Janvier!AL73</f>
        <v>0</v>
      </c>
      <c r="AM73" s="46"/>
      <c r="AN73" s="47"/>
      <c r="AO73" s="47"/>
      <c r="AP73" s="46"/>
      <c r="AQ73" s="47"/>
      <c r="AR73" s="47"/>
      <c r="AS73" s="47"/>
    </row>
    <row r="74" spans="1:45" s="63" customFormat="1" ht="12.95" customHeight="1" x14ac:dyDescent="0.25">
      <c r="A74" s="48">
        <v>42979</v>
      </c>
      <c r="B74" s="42" t="s">
        <v>16</v>
      </c>
      <c r="C74" s="67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43"/>
      <c r="AH74" s="44">
        <f>COUNTA(Février!$C74:$AG74)</f>
        <v>0</v>
      </c>
      <c r="AI74" s="45">
        <f>(COUNTIFS(Février!$C74:$AG74,("cp")))/2+Janvier!AI74</f>
        <v>0</v>
      </c>
      <c r="AJ74" s="45">
        <f>COUNTIFS(Février!$C74:$AG74,"RTT")/2+Janvier!AJ74</f>
        <v>0</v>
      </c>
      <c r="AK74" s="45">
        <f>COUNTIFS(Février!$C74:$AG74,"m")/2+Janvier!AK74</f>
        <v>0</v>
      </c>
      <c r="AL74" s="45">
        <f>COUNTIFS(Février!$C74:$AG74,"a")/2+Janvier!AL74</f>
        <v>0</v>
      </c>
      <c r="AM74" s="46"/>
      <c r="AN74" s="47"/>
      <c r="AO74" s="47"/>
      <c r="AP74" s="46"/>
      <c r="AQ74" s="47"/>
      <c r="AR74" s="47"/>
      <c r="AS74" s="101"/>
    </row>
    <row r="75" spans="1:45" s="63" customFormat="1" ht="12.95" customHeight="1" x14ac:dyDescent="0.25">
      <c r="A75" s="41"/>
      <c r="B75" s="42"/>
      <c r="C75" s="49" t="str">
        <f t="shared" ref="C75:AG75" si="21">IF(C73&gt;0,C73,IF(C74&gt;0,C74,""))</f>
        <v/>
      </c>
      <c r="D75" s="49" t="str">
        <f t="shared" si="21"/>
        <v/>
      </c>
      <c r="E75" s="49" t="str">
        <f t="shared" si="21"/>
        <v/>
      </c>
      <c r="F75" s="49" t="str">
        <f t="shared" si="21"/>
        <v/>
      </c>
      <c r="G75" s="49" t="str">
        <f t="shared" si="21"/>
        <v/>
      </c>
      <c r="H75" s="49" t="str">
        <f t="shared" si="21"/>
        <v/>
      </c>
      <c r="I75" s="49" t="str">
        <f t="shared" si="21"/>
        <v/>
      </c>
      <c r="J75" s="49" t="str">
        <f t="shared" si="21"/>
        <v/>
      </c>
      <c r="K75" s="49" t="str">
        <f t="shared" si="21"/>
        <v/>
      </c>
      <c r="L75" s="49" t="str">
        <f t="shared" si="21"/>
        <v/>
      </c>
      <c r="M75" s="49" t="str">
        <f t="shared" si="21"/>
        <v/>
      </c>
      <c r="N75" s="49" t="str">
        <f t="shared" si="21"/>
        <v/>
      </c>
      <c r="O75" s="49" t="str">
        <f t="shared" si="21"/>
        <v/>
      </c>
      <c r="P75" s="49" t="str">
        <f t="shared" si="21"/>
        <v/>
      </c>
      <c r="Q75" s="49" t="str">
        <f t="shared" si="21"/>
        <v/>
      </c>
      <c r="R75" s="49" t="str">
        <f t="shared" si="21"/>
        <v/>
      </c>
      <c r="S75" s="49" t="str">
        <f t="shared" si="21"/>
        <v/>
      </c>
      <c r="T75" s="49" t="str">
        <f t="shared" si="21"/>
        <v/>
      </c>
      <c r="U75" s="49" t="str">
        <f t="shared" si="21"/>
        <v/>
      </c>
      <c r="V75" s="49" t="str">
        <f t="shared" si="21"/>
        <v/>
      </c>
      <c r="W75" s="49" t="str">
        <f t="shared" si="21"/>
        <v/>
      </c>
      <c r="X75" s="49" t="str">
        <f t="shared" si="21"/>
        <v/>
      </c>
      <c r="Y75" s="49" t="str">
        <f t="shared" si="21"/>
        <v/>
      </c>
      <c r="Z75" s="49" t="str">
        <f t="shared" si="21"/>
        <v/>
      </c>
      <c r="AA75" s="49" t="str">
        <f t="shared" si="21"/>
        <v/>
      </c>
      <c r="AB75" s="49" t="str">
        <f t="shared" si="21"/>
        <v/>
      </c>
      <c r="AC75" s="49" t="str">
        <f t="shared" si="21"/>
        <v/>
      </c>
      <c r="AD75" s="49" t="str">
        <f t="shared" si="21"/>
        <v/>
      </c>
      <c r="AE75" s="49" t="str">
        <f t="shared" si="21"/>
        <v/>
      </c>
      <c r="AF75" s="49" t="str">
        <f t="shared" si="21"/>
        <v/>
      </c>
      <c r="AG75" s="49" t="str">
        <f t="shared" si="21"/>
        <v/>
      </c>
      <c r="AH75" s="44">
        <f>SUM(AH73:AH74)</f>
        <v>0</v>
      </c>
      <c r="AI75" s="45">
        <f>SUM(AI73:AI74)</f>
        <v>0</v>
      </c>
      <c r="AJ75" s="45">
        <f>SUM(AJ73:AJ74)</f>
        <v>0</v>
      </c>
      <c r="AK75" s="45">
        <f>SUM(AK73:AK74)</f>
        <v>0</v>
      </c>
      <c r="AL75" s="45">
        <f>SUM(AL73:AL74)</f>
        <v>0</v>
      </c>
      <c r="AM75" s="50">
        <f>Juin!AM75</f>
        <v>0</v>
      </c>
      <c r="AN75" s="51">
        <f>IF(A74="","",IF(A74&gt;NomMois,0,IF(A74&lt;$A$3,2.08,(NETWORKDAYS(A74,$A$2)/21.66667)*2.08)))</f>
        <v>2.08</v>
      </c>
      <c r="AO75" s="51">
        <f>IF( AN75="",0,+AN75+Janvier!AO75)</f>
        <v>12.415999689846203</v>
      </c>
      <c r="AP75" s="50">
        <f>IF(A74="","",IF(A74&gt;NomMois,0,IF(A74&lt;$A$3,1.5,(NETWORKDAYS(A74,$A$2)/21.66667)*1.5)))+Janvier!AP75</f>
        <v>3</v>
      </c>
      <c r="AQ75" s="45">
        <f>+AM75-AI75</f>
        <v>0</v>
      </c>
      <c r="AR75" s="45">
        <f>+IF(AP75="","",AP75-AJ75)</f>
        <v>3</v>
      </c>
      <c r="AS75" s="102">
        <f t="shared" si="10"/>
        <v>12.415999689846203</v>
      </c>
    </row>
    <row r="76" spans="1:45" s="63" customFormat="1" ht="6.75" customHeight="1" x14ac:dyDescent="0.25">
      <c r="A76" s="64"/>
      <c r="B76" s="42"/>
      <c r="C76" s="64"/>
      <c r="D76" s="64"/>
      <c r="E76" s="64"/>
      <c r="F76" s="64"/>
      <c r="G76" s="64"/>
      <c r="H76" s="64"/>
      <c r="I76" s="64"/>
      <c r="J76" s="64"/>
      <c r="K76" s="64"/>
      <c r="L76" s="64"/>
      <c r="M76" s="64"/>
      <c r="N76" s="64"/>
      <c r="O76" s="64"/>
      <c r="P76" s="64"/>
      <c r="Q76" s="64"/>
      <c r="R76" s="64"/>
      <c r="S76" s="64"/>
      <c r="T76" s="64"/>
      <c r="U76" s="64"/>
      <c r="V76" s="64"/>
      <c r="W76" s="64"/>
      <c r="X76" s="64"/>
      <c r="Y76" s="64"/>
      <c r="Z76" s="64"/>
      <c r="AA76" s="64"/>
      <c r="AB76" s="64"/>
      <c r="AC76" s="64"/>
      <c r="AD76" s="64"/>
      <c r="AE76" s="64"/>
      <c r="AF76" s="64"/>
      <c r="AG76" s="64"/>
      <c r="AH76" s="65"/>
      <c r="AI76" s="65"/>
      <c r="AJ76" s="65"/>
      <c r="AK76" s="65"/>
      <c r="AL76" s="65"/>
      <c r="AM76" s="64"/>
      <c r="AN76" s="65"/>
      <c r="AO76" s="65"/>
      <c r="AP76" s="64"/>
      <c r="AQ76" s="69"/>
      <c r="AR76" s="69"/>
      <c r="AS76" s="65"/>
    </row>
    <row r="77" spans="1:45" s="63" customFormat="1" ht="12.95" customHeight="1" x14ac:dyDescent="0.25">
      <c r="A77" s="41"/>
      <c r="B77" s="42" t="s">
        <v>15</v>
      </c>
      <c r="C77" s="67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43"/>
      <c r="AH77" s="44">
        <f>COUNTA(Février!$C77:$AG77)</f>
        <v>0</v>
      </c>
      <c r="AI77" s="45">
        <f>(COUNTIFS(Février!$C77:$AG77,("cp")))/2+Janvier!AI77</f>
        <v>0</v>
      </c>
      <c r="AJ77" s="45">
        <f>COUNTIFS(Février!$C77:$AG77,"RTT")/2+Janvier!AJ77</f>
        <v>0</v>
      </c>
      <c r="AK77" s="45">
        <f>COUNTIFS(Février!$C77:$AG77,"m")/2+Janvier!AK77</f>
        <v>0</v>
      </c>
      <c r="AL77" s="45">
        <f>COUNTIFS(Février!$C77:$AG77,"a")/2+Janvier!AL77</f>
        <v>0</v>
      </c>
      <c r="AM77" s="46"/>
      <c r="AN77" s="47"/>
      <c r="AO77" s="47"/>
      <c r="AP77" s="46"/>
      <c r="AQ77" s="47"/>
      <c r="AR77" s="47"/>
      <c r="AS77" s="47"/>
    </row>
    <row r="78" spans="1:45" s="63" customFormat="1" ht="12.95" customHeight="1" x14ac:dyDescent="0.25">
      <c r="A78" s="48">
        <v>43059</v>
      </c>
      <c r="B78" s="42" t="s">
        <v>16</v>
      </c>
      <c r="C78" s="67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  <c r="AA78" s="43"/>
      <c r="AB78" s="43"/>
      <c r="AC78" s="43"/>
      <c r="AD78" s="43"/>
      <c r="AE78" s="43"/>
      <c r="AF78" s="43"/>
      <c r="AG78" s="43"/>
      <c r="AH78" s="44">
        <f>COUNTA(Février!$C78:$AG78)</f>
        <v>0</v>
      </c>
      <c r="AI78" s="45">
        <f>(COUNTIFS(Février!$C78:$AG78,("cp")))/2+Janvier!AI78</f>
        <v>0</v>
      </c>
      <c r="AJ78" s="45">
        <f>COUNTIFS(Février!$C78:$AG78,"RTT")/2+Janvier!AJ78</f>
        <v>0</v>
      </c>
      <c r="AK78" s="45">
        <f>COUNTIFS(Février!$C78:$AG78,"m")/2+Janvier!AK78</f>
        <v>0</v>
      </c>
      <c r="AL78" s="45">
        <f>COUNTIFS(Février!$C78:$AG78,"a")/2+Janvier!AL78</f>
        <v>0</v>
      </c>
      <c r="AM78" s="46"/>
      <c r="AN78" s="47"/>
      <c r="AO78" s="47"/>
      <c r="AP78" s="46"/>
      <c r="AQ78" s="47"/>
      <c r="AR78" s="47"/>
      <c r="AS78" s="101"/>
    </row>
    <row r="79" spans="1:45" s="63" customFormat="1" ht="12.95" customHeight="1" x14ac:dyDescent="0.25">
      <c r="A79" s="41"/>
      <c r="B79" s="42"/>
      <c r="C79" s="49" t="str">
        <f t="shared" ref="C79:AG79" si="22">IF(C77&gt;0,C77,IF(C78&gt;0,C78,""))</f>
        <v/>
      </c>
      <c r="D79" s="49" t="str">
        <f t="shared" si="22"/>
        <v/>
      </c>
      <c r="E79" s="49" t="str">
        <f t="shared" si="22"/>
        <v/>
      </c>
      <c r="F79" s="49" t="str">
        <f t="shared" si="22"/>
        <v/>
      </c>
      <c r="G79" s="49" t="str">
        <f t="shared" si="22"/>
        <v/>
      </c>
      <c r="H79" s="49" t="str">
        <f t="shared" si="22"/>
        <v/>
      </c>
      <c r="I79" s="49" t="str">
        <f t="shared" si="22"/>
        <v/>
      </c>
      <c r="J79" s="49" t="str">
        <f t="shared" si="22"/>
        <v/>
      </c>
      <c r="K79" s="49" t="str">
        <f t="shared" si="22"/>
        <v/>
      </c>
      <c r="L79" s="49" t="str">
        <f t="shared" si="22"/>
        <v/>
      </c>
      <c r="M79" s="49" t="str">
        <f t="shared" si="22"/>
        <v/>
      </c>
      <c r="N79" s="49" t="str">
        <f t="shared" si="22"/>
        <v/>
      </c>
      <c r="O79" s="49" t="str">
        <f t="shared" si="22"/>
        <v/>
      </c>
      <c r="P79" s="49" t="str">
        <f t="shared" si="22"/>
        <v/>
      </c>
      <c r="Q79" s="49" t="str">
        <f t="shared" si="22"/>
        <v/>
      </c>
      <c r="R79" s="49" t="str">
        <f t="shared" si="22"/>
        <v/>
      </c>
      <c r="S79" s="49" t="str">
        <f t="shared" si="22"/>
        <v/>
      </c>
      <c r="T79" s="49" t="str">
        <f t="shared" si="22"/>
        <v/>
      </c>
      <c r="U79" s="49" t="str">
        <f t="shared" si="22"/>
        <v/>
      </c>
      <c r="V79" s="49" t="str">
        <f t="shared" si="22"/>
        <v/>
      </c>
      <c r="W79" s="49" t="str">
        <f t="shared" si="22"/>
        <v/>
      </c>
      <c r="X79" s="49" t="str">
        <f t="shared" si="22"/>
        <v/>
      </c>
      <c r="Y79" s="49" t="str">
        <f t="shared" si="22"/>
        <v/>
      </c>
      <c r="Z79" s="49" t="str">
        <f t="shared" si="22"/>
        <v/>
      </c>
      <c r="AA79" s="49" t="str">
        <f t="shared" si="22"/>
        <v/>
      </c>
      <c r="AB79" s="49" t="str">
        <f t="shared" si="22"/>
        <v/>
      </c>
      <c r="AC79" s="49" t="str">
        <f t="shared" si="22"/>
        <v/>
      </c>
      <c r="AD79" s="49" t="str">
        <f t="shared" si="22"/>
        <v/>
      </c>
      <c r="AE79" s="49" t="str">
        <f t="shared" si="22"/>
        <v/>
      </c>
      <c r="AF79" s="49" t="str">
        <f t="shared" si="22"/>
        <v/>
      </c>
      <c r="AG79" s="49" t="str">
        <f t="shared" si="22"/>
        <v/>
      </c>
      <c r="AH79" s="44">
        <f>SUM(AH77:AH78)</f>
        <v>0</v>
      </c>
      <c r="AI79" s="45">
        <f>SUM(AI77:AI78)</f>
        <v>0</v>
      </c>
      <c r="AJ79" s="45">
        <f>SUM(AJ77:AJ78)</f>
        <v>0</v>
      </c>
      <c r="AK79" s="45">
        <f>SUM(AK77:AK78)</f>
        <v>0</v>
      </c>
      <c r="AL79" s="45">
        <f>SUM(AL77:AL78)</f>
        <v>0</v>
      </c>
      <c r="AM79" s="50">
        <f>Juin!AM79</f>
        <v>0</v>
      </c>
      <c r="AN79" s="51">
        <f>IF(A78="","",IF(A78&gt;NomMois,0,IF(A78&lt;$A$3,2.08,(NETWORKDAYS(A78,$A$2)/21.66667)*2.08)))</f>
        <v>2.08</v>
      </c>
      <c r="AO79" s="51">
        <f>IF( AN79="",0,+AN79+Janvier!AO79)</f>
        <v>7.1039998670769435</v>
      </c>
      <c r="AP79" s="50">
        <f>IF(A78="","",IF(A78&gt;NomMois,0,IF(A78&lt;$A$3,1.5,(NETWORKDAYS(A78,$A$2)/21.66667)*1.5)))+Janvier!AP79</f>
        <v>3</v>
      </c>
      <c r="AQ79" s="45">
        <f>+AM79-AI79</f>
        <v>0</v>
      </c>
      <c r="AR79" s="45">
        <f>+IF(AP79="","",AP79-AJ79)</f>
        <v>3</v>
      </c>
      <c r="AS79" s="102">
        <f t="shared" si="10"/>
        <v>7.1039998670769435</v>
      </c>
    </row>
    <row r="80" spans="1:45" s="63" customFormat="1" ht="6.75" customHeight="1" x14ac:dyDescent="0.25">
      <c r="A80" s="64"/>
      <c r="B80" s="42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  <c r="X80" s="64"/>
      <c r="Y80" s="64"/>
      <c r="Z80" s="64"/>
      <c r="AA80" s="64"/>
      <c r="AB80" s="64"/>
      <c r="AC80" s="64"/>
      <c r="AD80" s="64"/>
      <c r="AE80" s="64"/>
      <c r="AF80" s="64"/>
      <c r="AG80" s="64"/>
      <c r="AH80" s="65"/>
      <c r="AI80" s="65"/>
      <c r="AJ80" s="65"/>
      <c r="AK80" s="65"/>
      <c r="AL80" s="65"/>
      <c r="AM80" s="64"/>
      <c r="AN80" s="65"/>
      <c r="AO80" s="65"/>
      <c r="AP80" s="64"/>
      <c r="AQ80" s="69"/>
      <c r="AR80" s="69"/>
      <c r="AS80" s="65"/>
    </row>
    <row r="81" spans="1:45" s="63" customFormat="1" ht="12.95" customHeight="1" x14ac:dyDescent="0.25">
      <c r="A81" s="41"/>
      <c r="B81" s="42" t="s">
        <v>15</v>
      </c>
      <c r="C81" s="67"/>
      <c r="D81" s="43"/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  <c r="AA81" s="43"/>
      <c r="AB81" s="43"/>
      <c r="AC81" s="43"/>
      <c r="AD81" s="43"/>
      <c r="AE81" s="43"/>
      <c r="AF81" s="43"/>
      <c r="AG81" s="43"/>
      <c r="AH81" s="44">
        <f>COUNTA(Février!$C81:$AG81)</f>
        <v>0</v>
      </c>
      <c r="AI81" s="45">
        <f>(COUNTIFS(Février!$C81:$AG81,("cp")))/2+Janvier!AI81</f>
        <v>4.5</v>
      </c>
      <c r="AJ81" s="45">
        <f>COUNTIFS(Février!$C81:$AG81,"RTT")/2+Janvier!AJ81</f>
        <v>0</v>
      </c>
      <c r="AK81" s="45">
        <f>COUNTIFS(Février!$C81:$AG81,"m")/2+Janvier!AK81</f>
        <v>0</v>
      </c>
      <c r="AL81" s="45">
        <f>COUNTIFS(Février!$C81:$AG81,"a")/2+Janvier!AL81</f>
        <v>0</v>
      </c>
      <c r="AM81" s="46"/>
      <c r="AN81" s="47"/>
      <c r="AO81" s="47"/>
      <c r="AP81" s="46"/>
      <c r="AQ81" s="47"/>
      <c r="AR81" s="47"/>
      <c r="AS81" s="47"/>
    </row>
    <row r="82" spans="1:45" s="63" customFormat="1" ht="12.95" customHeight="1" x14ac:dyDescent="0.25">
      <c r="A82" s="48">
        <v>42506</v>
      </c>
      <c r="B82" s="42" t="s">
        <v>16</v>
      </c>
      <c r="C82" s="67"/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  <c r="S82" s="43"/>
      <c r="T82" s="43"/>
      <c r="U82" s="43"/>
      <c r="V82" s="43"/>
      <c r="W82" s="43"/>
      <c r="X82" s="43"/>
      <c r="Y82" s="43"/>
      <c r="Z82" s="43"/>
      <c r="AA82" s="43"/>
      <c r="AB82" s="43"/>
      <c r="AC82" s="43"/>
      <c r="AD82" s="43"/>
      <c r="AE82" s="43"/>
      <c r="AF82" s="43"/>
      <c r="AG82" s="43"/>
      <c r="AH82" s="44">
        <f>COUNTA(Février!$C82:$AG82)</f>
        <v>0</v>
      </c>
      <c r="AI82" s="45">
        <f>(COUNTIFS(Février!$C82:$AG82,("cp")))/2+Janvier!AI82</f>
        <v>4.5</v>
      </c>
      <c r="AJ82" s="45">
        <f>COUNTIFS(Février!$C82:$AG82,"RTT")/2+Janvier!AJ82</f>
        <v>0</v>
      </c>
      <c r="AK82" s="45">
        <f>COUNTIFS(Février!$C82:$AG82,"m")/2+Janvier!AK82</f>
        <v>0</v>
      </c>
      <c r="AL82" s="45">
        <f>COUNTIFS(Février!$C82:$AG82,"a")/2+Janvier!AL82</f>
        <v>0</v>
      </c>
      <c r="AM82" s="46"/>
      <c r="AN82" s="47"/>
      <c r="AO82" s="47"/>
      <c r="AP82" s="46"/>
      <c r="AQ82" s="47"/>
      <c r="AR82" s="47"/>
      <c r="AS82" s="101"/>
    </row>
    <row r="83" spans="1:45" s="63" customFormat="1" ht="12.95" customHeight="1" x14ac:dyDescent="0.25">
      <c r="A83" s="41"/>
      <c r="B83" s="42"/>
      <c r="C83" s="49" t="str">
        <f t="shared" ref="C83:AG83" si="23">IF(C81&gt;0,C81,IF(C82&gt;0,C82,""))</f>
        <v/>
      </c>
      <c r="D83" s="49" t="str">
        <f t="shared" si="23"/>
        <v/>
      </c>
      <c r="E83" s="49" t="str">
        <f t="shared" si="23"/>
        <v/>
      </c>
      <c r="F83" s="49" t="str">
        <f t="shared" si="23"/>
        <v/>
      </c>
      <c r="G83" s="49" t="str">
        <f t="shared" si="23"/>
        <v/>
      </c>
      <c r="H83" s="49" t="str">
        <f t="shared" si="23"/>
        <v/>
      </c>
      <c r="I83" s="49" t="str">
        <f t="shared" si="23"/>
        <v/>
      </c>
      <c r="J83" s="49" t="str">
        <f t="shared" si="23"/>
        <v/>
      </c>
      <c r="K83" s="49" t="str">
        <f t="shared" si="23"/>
        <v/>
      </c>
      <c r="L83" s="49" t="str">
        <f t="shared" si="23"/>
        <v/>
      </c>
      <c r="M83" s="49" t="str">
        <f t="shared" si="23"/>
        <v/>
      </c>
      <c r="N83" s="49" t="str">
        <f t="shared" si="23"/>
        <v/>
      </c>
      <c r="O83" s="49" t="str">
        <f t="shared" si="23"/>
        <v/>
      </c>
      <c r="P83" s="49" t="str">
        <f t="shared" si="23"/>
        <v/>
      </c>
      <c r="Q83" s="49" t="str">
        <f t="shared" si="23"/>
        <v/>
      </c>
      <c r="R83" s="49" t="str">
        <f t="shared" si="23"/>
        <v/>
      </c>
      <c r="S83" s="49" t="str">
        <f t="shared" si="23"/>
        <v/>
      </c>
      <c r="T83" s="49" t="str">
        <f t="shared" si="23"/>
        <v/>
      </c>
      <c r="U83" s="49" t="str">
        <f t="shared" si="23"/>
        <v/>
      </c>
      <c r="V83" s="49" t="str">
        <f t="shared" si="23"/>
        <v/>
      </c>
      <c r="W83" s="49" t="str">
        <f t="shared" si="23"/>
        <v/>
      </c>
      <c r="X83" s="49" t="str">
        <f t="shared" si="23"/>
        <v/>
      </c>
      <c r="Y83" s="49" t="str">
        <f t="shared" si="23"/>
        <v/>
      </c>
      <c r="Z83" s="49" t="str">
        <f t="shared" si="23"/>
        <v/>
      </c>
      <c r="AA83" s="49" t="str">
        <f t="shared" si="23"/>
        <v/>
      </c>
      <c r="AB83" s="49" t="str">
        <f t="shared" si="23"/>
        <v/>
      </c>
      <c r="AC83" s="49" t="str">
        <f t="shared" si="23"/>
        <v/>
      </c>
      <c r="AD83" s="49" t="str">
        <f t="shared" si="23"/>
        <v/>
      </c>
      <c r="AE83" s="49" t="str">
        <f t="shared" si="23"/>
        <v/>
      </c>
      <c r="AF83" s="49" t="str">
        <f t="shared" si="23"/>
        <v/>
      </c>
      <c r="AG83" s="49" t="str">
        <f t="shared" si="23"/>
        <v/>
      </c>
      <c r="AH83" s="44">
        <f>SUM(AH81:AH82)</f>
        <v>0</v>
      </c>
      <c r="AI83" s="45">
        <f>SUM(AI81:AI82)</f>
        <v>9</v>
      </c>
      <c r="AJ83" s="45">
        <f>SUM(AJ81:AJ82)</f>
        <v>0</v>
      </c>
      <c r="AK83" s="45">
        <f>SUM(AK81:AK82)</f>
        <v>0</v>
      </c>
      <c r="AL83" s="45">
        <f>SUM(AL81:AL82)</f>
        <v>0</v>
      </c>
      <c r="AM83" s="50">
        <f>Juin!AM83</f>
        <v>-9.98</v>
      </c>
      <c r="AN83" s="51">
        <f>IF(A82="","",IF(A82&gt;NomMois,0,IF(A82&lt;$A$3,2.08,(NETWORKDAYS(A82,$A$2)/21.66667)*2.08)))</f>
        <v>2.08</v>
      </c>
      <c r="AO83" s="51">
        <f>IF( AN83="",0,+AN83+Janvier!AO83)</f>
        <v>18.72</v>
      </c>
      <c r="AP83" s="50"/>
      <c r="AQ83" s="45">
        <f>+AM83-AI83</f>
        <v>-18.98</v>
      </c>
      <c r="AR83" s="45" t="str">
        <f>+IF(AP83="","",AP83-AJ83)</f>
        <v/>
      </c>
      <c r="AS83" s="102">
        <f t="shared" si="10"/>
        <v>-0.26000000000000156</v>
      </c>
    </row>
    <row r="84" spans="1:45" s="63" customFormat="1" ht="6.75" customHeight="1" x14ac:dyDescent="0.25">
      <c r="A84" s="64"/>
      <c r="B84" s="42"/>
      <c r="C84" s="64"/>
      <c r="D84" s="64"/>
      <c r="E84" s="64"/>
      <c r="F84" s="64"/>
      <c r="G84" s="64"/>
      <c r="H84" s="64"/>
      <c r="I84" s="64"/>
      <c r="J84" s="64"/>
      <c r="K84" s="64"/>
      <c r="L84" s="64"/>
      <c r="M84" s="64"/>
      <c r="N84" s="64"/>
      <c r="O84" s="64"/>
      <c r="P84" s="64"/>
      <c r="Q84" s="64"/>
      <c r="R84" s="64"/>
      <c r="S84" s="64"/>
      <c r="T84" s="64"/>
      <c r="U84" s="64"/>
      <c r="V84" s="64"/>
      <c r="W84" s="64"/>
      <c r="X84" s="64"/>
      <c r="Y84" s="64"/>
      <c r="Z84" s="64"/>
      <c r="AA84" s="64"/>
      <c r="AB84" s="64"/>
      <c r="AC84" s="64"/>
      <c r="AD84" s="64"/>
      <c r="AE84" s="64"/>
      <c r="AF84" s="64"/>
      <c r="AG84" s="64"/>
      <c r="AH84" s="65"/>
      <c r="AI84" s="65"/>
      <c r="AJ84" s="65"/>
      <c r="AK84" s="65"/>
      <c r="AL84" s="65"/>
      <c r="AM84" s="64"/>
      <c r="AN84" s="65"/>
      <c r="AO84" s="65"/>
      <c r="AP84" s="64"/>
      <c r="AQ84" s="69"/>
      <c r="AR84" s="69"/>
      <c r="AS84" s="65"/>
    </row>
    <row r="85" spans="1:45" s="63" customFormat="1" ht="12.95" customHeight="1" x14ac:dyDescent="0.25">
      <c r="A85" s="41"/>
      <c r="B85" s="42" t="s">
        <v>15</v>
      </c>
      <c r="C85" s="67"/>
      <c r="D85" s="43"/>
      <c r="E85" s="43"/>
      <c r="F85" s="43"/>
      <c r="G85" s="43"/>
      <c r="H85" s="43"/>
      <c r="I85" s="43"/>
      <c r="J85" s="43"/>
      <c r="K85" s="43"/>
      <c r="L85" s="43"/>
      <c r="M85" s="43"/>
      <c r="N85" s="43"/>
      <c r="O85" s="43"/>
      <c r="P85" s="43"/>
      <c r="Q85" s="43"/>
      <c r="R85" s="43"/>
      <c r="S85" s="43"/>
      <c r="T85" s="43"/>
      <c r="U85" s="43"/>
      <c r="V85" s="43"/>
      <c r="W85" s="43"/>
      <c r="X85" s="43"/>
      <c r="Y85" s="43"/>
      <c r="Z85" s="43"/>
      <c r="AA85" s="43"/>
      <c r="AB85" s="43"/>
      <c r="AC85" s="43"/>
      <c r="AD85" s="43"/>
      <c r="AE85" s="43"/>
      <c r="AF85" s="43"/>
      <c r="AG85" s="43"/>
      <c r="AH85" s="44">
        <f>COUNTA(Février!$C85:$AG85)</f>
        <v>0</v>
      </c>
      <c r="AI85" s="45">
        <f>(COUNTIFS(Février!$C85:$AG85,("cp")))/2+Janvier!AI85</f>
        <v>13</v>
      </c>
      <c r="AJ85" s="45">
        <f>COUNTIFS(Février!$C85:$AG85,"RTT")/2+Janvier!AJ85</f>
        <v>0</v>
      </c>
      <c r="AK85" s="45">
        <f>COUNTIFS(Février!$C85:$AG85,"m")/2+Janvier!AK85</f>
        <v>0</v>
      </c>
      <c r="AL85" s="45">
        <f>COUNTIFS(Février!$C85:$AG85,"a")/2+Janvier!AL85</f>
        <v>0</v>
      </c>
      <c r="AM85" s="46"/>
      <c r="AN85" s="47"/>
      <c r="AO85" s="47"/>
      <c r="AP85" s="46"/>
      <c r="AQ85" s="47"/>
      <c r="AR85" s="47"/>
      <c r="AS85" s="47"/>
    </row>
    <row r="86" spans="1:45" s="63" customFormat="1" ht="12.95" customHeight="1" x14ac:dyDescent="0.25">
      <c r="A86" s="48">
        <v>42303</v>
      </c>
      <c r="B86" s="42" t="s">
        <v>16</v>
      </c>
      <c r="C86" s="67"/>
      <c r="D86" s="43"/>
      <c r="E86" s="43"/>
      <c r="F86" s="43"/>
      <c r="G86" s="43"/>
      <c r="H86" s="43"/>
      <c r="I86" s="43"/>
      <c r="J86" s="43"/>
      <c r="K86" s="43"/>
      <c r="L86" s="43"/>
      <c r="M86" s="43"/>
      <c r="N86" s="43"/>
      <c r="O86" s="43"/>
      <c r="P86" s="43"/>
      <c r="Q86" s="43"/>
      <c r="R86" s="43"/>
      <c r="S86" s="43"/>
      <c r="T86" s="43"/>
      <c r="U86" s="43"/>
      <c r="V86" s="43"/>
      <c r="W86" s="43"/>
      <c r="X86" s="43"/>
      <c r="Y86" s="43"/>
      <c r="Z86" s="43"/>
      <c r="AA86" s="43"/>
      <c r="AB86" s="43"/>
      <c r="AC86" s="43"/>
      <c r="AD86" s="43"/>
      <c r="AE86" s="43"/>
      <c r="AF86" s="43"/>
      <c r="AG86" s="43"/>
      <c r="AH86" s="44">
        <f>COUNTA(Février!$C86:$AG86)</f>
        <v>0</v>
      </c>
      <c r="AI86" s="45">
        <f>(COUNTIFS(Février!$C86:$AG86,("cp")))/2+Janvier!AI86</f>
        <v>13</v>
      </c>
      <c r="AJ86" s="45">
        <f>COUNTIFS(Février!$C86:$AG86,"RTT")/2+Janvier!AJ86</f>
        <v>0</v>
      </c>
      <c r="AK86" s="45">
        <f>COUNTIFS(Février!$C86:$AG86,"m")/2+Janvier!AK86</f>
        <v>0</v>
      </c>
      <c r="AL86" s="45">
        <f>COUNTIFS(Février!$C86:$AG86,"a")/2+Janvier!AL86</f>
        <v>0</v>
      </c>
      <c r="AM86" s="46"/>
      <c r="AN86" s="47"/>
      <c r="AO86" s="47"/>
      <c r="AP86" s="46"/>
      <c r="AQ86" s="47"/>
      <c r="AR86" s="47"/>
      <c r="AS86" s="101"/>
    </row>
    <row r="87" spans="1:45" s="63" customFormat="1" ht="12.95" customHeight="1" x14ac:dyDescent="0.25">
      <c r="A87" s="41"/>
      <c r="B87" s="42"/>
      <c r="C87" s="49" t="str">
        <f t="shared" ref="C87:AG87" si="24">IF(C85&gt;0,C85,IF(C86&gt;0,C86,""))</f>
        <v/>
      </c>
      <c r="D87" s="49" t="str">
        <f t="shared" si="24"/>
        <v/>
      </c>
      <c r="E87" s="49" t="str">
        <f t="shared" si="24"/>
        <v/>
      </c>
      <c r="F87" s="49" t="str">
        <f t="shared" si="24"/>
        <v/>
      </c>
      <c r="G87" s="49" t="str">
        <f t="shared" si="24"/>
        <v/>
      </c>
      <c r="H87" s="49" t="str">
        <f t="shared" si="24"/>
        <v/>
      </c>
      <c r="I87" s="49" t="str">
        <f t="shared" si="24"/>
        <v/>
      </c>
      <c r="J87" s="49" t="str">
        <f t="shared" si="24"/>
        <v/>
      </c>
      <c r="K87" s="49" t="str">
        <f t="shared" si="24"/>
        <v/>
      </c>
      <c r="L87" s="49" t="str">
        <f t="shared" si="24"/>
        <v/>
      </c>
      <c r="M87" s="49" t="str">
        <f t="shared" si="24"/>
        <v/>
      </c>
      <c r="N87" s="49" t="str">
        <f t="shared" si="24"/>
        <v/>
      </c>
      <c r="O87" s="49" t="str">
        <f t="shared" si="24"/>
        <v/>
      </c>
      <c r="P87" s="49" t="str">
        <f t="shared" si="24"/>
        <v/>
      </c>
      <c r="Q87" s="49" t="str">
        <f t="shared" si="24"/>
        <v/>
      </c>
      <c r="R87" s="49" t="str">
        <f t="shared" si="24"/>
        <v/>
      </c>
      <c r="S87" s="49" t="str">
        <f t="shared" si="24"/>
        <v/>
      </c>
      <c r="T87" s="49" t="str">
        <f t="shared" si="24"/>
        <v/>
      </c>
      <c r="U87" s="49" t="str">
        <f t="shared" si="24"/>
        <v/>
      </c>
      <c r="V87" s="49" t="str">
        <f t="shared" si="24"/>
        <v/>
      </c>
      <c r="W87" s="49" t="str">
        <f t="shared" si="24"/>
        <v/>
      </c>
      <c r="X87" s="49" t="str">
        <f t="shared" si="24"/>
        <v/>
      </c>
      <c r="Y87" s="49" t="str">
        <f t="shared" si="24"/>
        <v/>
      </c>
      <c r="Z87" s="49" t="str">
        <f t="shared" si="24"/>
        <v/>
      </c>
      <c r="AA87" s="49" t="str">
        <f t="shared" si="24"/>
        <v/>
      </c>
      <c r="AB87" s="49" t="str">
        <f t="shared" si="24"/>
        <v/>
      </c>
      <c r="AC87" s="49" t="str">
        <f t="shared" si="24"/>
        <v/>
      </c>
      <c r="AD87" s="49" t="str">
        <f t="shared" si="24"/>
        <v/>
      </c>
      <c r="AE87" s="49" t="str">
        <f t="shared" si="24"/>
        <v/>
      </c>
      <c r="AF87" s="49" t="str">
        <f t="shared" si="24"/>
        <v/>
      </c>
      <c r="AG87" s="49" t="str">
        <f t="shared" si="24"/>
        <v/>
      </c>
      <c r="AH87" s="44">
        <f>SUM(AH85:AH86)</f>
        <v>0</v>
      </c>
      <c r="AI87" s="45">
        <f>SUM(AI85:AI86)</f>
        <v>26</v>
      </c>
      <c r="AJ87" s="45">
        <f>SUM(AJ85:AJ86)</f>
        <v>0</v>
      </c>
      <c r="AK87" s="45">
        <f>SUM(AK85:AK86)</f>
        <v>0</v>
      </c>
      <c r="AL87" s="45">
        <f>SUM(AL85:AL86)</f>
        <v>0</v>
      </c>
      <c r="AM87" s="50">
        <f>Juin!AM87</f>
        <v>12.02</v>
      </c>
      <c r="AN87" s="51">
        <f>IF(A86="","",IF(A86&gt;NomMois,0,IF(A86&lt;$A$3,2.5,(NETWORKDAYS(A86,$A$2)/21.66667)*2.5)))</f>
        <v>2.5</v>
      </c>
      <c r="AO87" s="51">
        <f>IF( AN87="",0,+AN87+Janvier!AO87)</f>
        <v>22.5</v>
      </c>
      <c r="AP87" s="50"/>
      <c r="AQ87" s="45">
        <f>+AM87-AI87</f>
        <v>-13.98</v>
      </c>
      <c r="AR87" s="45" t="str">
        <f>+IF(AP87="","",AP87-AJ87)</f>
        <v/>
      </c>
      <c r="AS87" s="102">
        <f t="shared" si="10"/>
        <v>8.52</v>
      </c>
    </row>
    <row r="88" spans="1:45" s="63" customFormat="1" ht="6.75" customHeight="1" x14ac:dyDescent="0.25">
      <c r="A88" s="64"/>
      <c r="B88" s="42"/>
      <c r="C88" s="64"/>
      <c r="D88" s="64"/>
      <c r="E88" s="64"/>
      <c r="F88" s="64"/>
      <c r="G88" s="64"/>
      <c r="H88" s="64"/>
      <c r="I88" s="64"/>
      <c r="J88" s="64"/>
      <c r="K88" s="64"/>
      <c r="L88" s="64"/>
      <c r="M88" s="64"/>
      <c r="N88" s="64"/>
      <c r="O88" s="64"/>
      <c r="P88" s="64"/>
      <c r="Q88" s="64"/>
      <c r="R88" s="64"/>
      <c r="S88" s="64"/>
      <c r="T88" s="64"/>
      <c r="U88" s="64"/>
      <c r="V88" s="64"/>
      <c r="W88" s="64"/>
      <c r="X88" s="64"/>
      <c r="Y88" s="64"/>
      <c r="Z88" s="64"/>
      <c r="AA88" s="64"/>
      <c r="AB88" s="64"/>
      <c r="AC88" s="64"/>
      <c r="AD88" s="64"/>
      <c r="AE88" s="64"/>
      <c r="AF88" s="64"/>
      <c r="AG88" s="64"/>
      <c r="AH88" s="65"/>
      <c r="AI88" s="65"/>
      <c r="AJ88" s="65"/>
      <c r="AK88" s="65"/>
      <c r="AL88" s="65"/>
      <c r="AM88" s="64"/>
      <c r="AN88" s="65"/>
      <c r="AO88" s="65"/>
      <c r="AP88" s="64"/>
      <c r="AQ88" s="69"/>
      <c r="AR88" s="69"/>
      <c r="AS88" s="65"/>
    </row>
    <row r="89" spans="1:45" s="63" customFormat="1" ht="12.95" customHeight="1" x14ac:dyDescent="0.25">
      <c r="A89" s="41"/>
      <c r="B89" s="42" t="s">
        <v>15</v>
      </c>
      <c r="C89" s="67"/>
      <c r="D89" s="43"/>
      <c r="E89" s="43"/>
      <c r="F89" s="43"/>
      <c r="G89" s="43"/>
      <c r="H89" s="43"/>
      <c r="I89" s="43"/>
      <c r="J89" s="43"/>
      <c r="K89" s="43"/>
      <c r="L89" s="43"/>
      <c r="M89" s="43"/>
      <c r="N89" s="43"/>
      <c r="O89" s="43"/>
      <c r="P89" s="43"/>
      <c r="Q89" s="43"/>
      <c r="R89" s="43"/>
      <c r="S89" s="43"/>
      <c r="T89" s="43"/>
      <c r="U89" s="43"/>
      <c r="V89" s="43"/>
      <c r="W89" s="43"/>
      <c r="X89" s="43"/>
      <c r="Y89" s="43"/>
      <c r="Z89" s="43"/>
      <c r="AA89" s="43"/>
      <c r="AB89" s="43"/>
      <c r="AC89" s="43"/>
      <c r="AD89" s="43"/>
      <c r="AE89" s="43"/>
      <c r="AF89" s="43"/>
      <c r="AG89" s="43"/>
      <c r="AH89" s="44">
        <f>COUNTA(Février!$C89:$AG89)</f>
        <v>0</v>
      </c>
      <c r="AI89" s="45">
        <f>(COUNTIFS(Février!$C89:$AG89,("cp")))/2+Janvier!AI89</f>
        <v>19.5</v>
      </c>
      <c r="AJ89" s="45">
        <f>COUNTIFS(Février!$C89:$AG89,"RTT")/2+Janvier!AJ89</f>
        <v>0</v>
      </c>
      <c r="AK89" s="45">
        <f>COUNTIFS(Février!$C89:$AG89,"m")/2+Janvier!AK89</f>
        <v>0</v>
      </c>
      <c r="AL89" s="45">
        <f>COUNTIFS(Février!$C89:$AG89,"a")/2+Janvier!AL89</f>
        <v>0</v>
      </c>
      <c r="AM89" s="46"/>
      <c r="AN89" s="47"/>
      <c r="AO89" s="47"/>
      <c r="AP89" s="46"/>
      <c r="AQ89" s="47"/>
      <c r="AR89" s="47"/>
      <c r="AS89" s="47"/>
    </row>
    <row r="90" spans="1:45" s="63" customFormat="1" ht="12.95" customHeight="1" x14ac:dyDescent="0.25">
      <c r="A90" s="48">
        <v>42303</v>
      </c>
      <c r="B90" s="42" t="s">
        <v>16</v>
      </c>
      <c r="C90" s="67"/>
      <c r="D90" s="43"/>
      <c r="E90" s="43"/>
      <c r="F90" s="43"/>
      <c r="G90" s="43"/>
      <c r="H90" s="43"/>
      <c r="I90" s="43"/>
      <c r="J90" s="43"/>
      <c r="K90" s="43"/>
      <c r="L90" s="43"/>
      <c r="M90" s="43"/>
      <c r="N90" s="43"/>
      <c r="O90" s="43"/>
      <c r="P90" s="43"/>
      <c r="Q90" s="43"/>
      <c r="R90" s="43"/>
      <c r="S90" s="43"/>
      <c r="T90" s="43"/>
      <c r="U90" s="43"/>
      <c r="V90" s="43"/>
      <c r="W90" s="43"/>
      <c r="X90" s="43"/>
      <c r="Y90" s="43"/>
      <c r="Z90" s="43"/>
      <c r="AA90" s="43"/>
      <c r="AB90" s="43"/>
      <c r="AC90" s="43"/>
      <c r="AD90" s="43"/>
      <c r="AE90" s="43"/>
      <c r="AF90" s="43"/>
      <c r="AG90" s="43"/>
      <c r="AH90" s="44">
        <f>COUNTA(Février!$C90:$AG90)</f>
        <v>0</v>
      </c>
      <c r="AI90" s="45">
        <f>(COUNTIFS(Février!$C90:$AG90,("cp")))/2+Janvier!AI90</f>
        <v>19.5</v>
      </c>
      <c r="AJ90" s="45">
        <f>COUNTIFS(Février!$C90:$AG90,"RTT")/2+Janvier!AJ90</f>
        <v>0</v>
      </c>
      <c r="AK90" s="45">
        <f>COUNTIFS(Février!$C90:$AG90,"m")/2+Janvier!AK90</f>
        <v>0</v>
      </c>
      <c r="AL90" s="45">
        <f>COUNTIFS(Février!$C90:$AG90,"a")/2+Janvier!AL90</f>
        <v>0</v>
      </c>
      <c r="AM90" s="46"/>
      <c r="AN90" s="47"/>
      <c r="AO90" s="47"/>
      <c r="AP90" s="46"/>
      <c r="AQ90" s="47"/>
      <c r="AR90" s="47"/>
      <c r="AS90" s="101"/>
    </row>
    <row r="91" spans="1:45" s="63" customFormat="1" ht="12.95" customHeight="1" x14ac:dyDescent="0.25">
      <c r="A91" s="41"/>
      <c r="B91" s="42"/>
      <c r="C91" s="49" t="str">
        <f t="shared" ref="C91:AG91" si="25">IF(C89&gt;0,C89,IF(C90&gt;0,C90,""))</f>
        <v/>
      </c>
      <c r="D91" s="49" t="str">
        <f t="shared" si="25"/>
        <v/>
      </c>
      <c r="E91" s="49" t="str">
        <f t="shared" si="25"/>
        <v/>
      </c>
      <c r="F91" s="49" t="str">
        <f t="shared" si="25"/>
        <v/>
      </c>
      <c r="G91" s="49" t="str">
        <f t="shared" si="25"/>
        <v/>
      </c>
      <c r="H91" s="49" t="str">
        <f t="shared" si="25"/>
        <v/>
      </c>
      <c r="I91" s="49" t="str">
        <f t="shared" si="25"/>
        <v/>
      </c>
      <c r="J91" s="49" t="str">
        <f t="shared" si="25"/>
        <v/>
      </c>
      <c r="K91" s="49" t="str">
        <f t="shared" si="25"/>
        <v/>
      </c>
      <c r="L91" s="49" t="str">
        <f t="shared" si="25"/>
        <v/>
      </c>
      <c r="M91" s="49" t="str">
        <f t="shared" si="25"/>
        <v/>
      </c>
      <c r="N91" s="49" t="str">
        <f t="shared" si="25"/>
        <v/>
      </c>
      <c r="O91" s="49" t="str">
        <f t="shared" si="25"/>
        <v/>
      </c>
      <c r="P91" s="49" t="str">
        <f t="shared" si="25"/>
        <v/>
      </c>
      <c r="Q91" s="49" t="str">
        <f t="shared" si="25"/>
        <v/>
      </c>
      <c r="R91" s="49" t="str">
        <f t="shared" si="25"/>
        <v/>
      </c>
      <c r="S91" s="49" t="str">
        <f t="shared" si="25"/>
        <v/>
      </c>
      <c r="T91" s="49" t="str">
        <f t="shared" si="25"/>
        <v/>
      </c>
      <c r="U91" s="49" t="str">
        <f t="shared" si="25"/>
        <v/>
      </c>
      <c r="V91" s="49" t="str">
        <f t="shared" si="25"/>
        <v/>
      </c>
      <c r="W91" s="49" t="str">
        <f t="shared" si="25"/>
        <v/>
      </c>
      <c r="X91" s="49" t="str">
        <f t="shared" si="25"/>
        <v/>
      </c>
      <c r="Y91" s="49" t="str">
        <f t="shared" si="25"/>
        <v/>
      </c>
      <c r="Z91" s="49" t="str">
        <f t="shared" si="25"/>
        <v/>
      </c>
      <c r="AA91" s="49" t="str">
        <f t="shared" si="25"/>
        <v/>
      </c>
      <c r="AB91" s="49" t="str">
        <f t="shared" si="25"/>
        <v/>
      </c>
      <c r="AC91" s="49" t="str">
        <f t="shared" si="25"/>
        <v/>
      </c>
      <c r="AD91" s="49" t="str">
        <f t="shared" si="25"/>
        <v/>
      </c>
      <c r="AE91" s="49" t="str">
        <f t="shared" si="25"/>
        <v/>
      </c>
      <c r="AF91" s="49" t="str">
        <f t="shared" si="25"/>
        <v/>
      </c>
      <c r="AG91" s="49" t="str">
        <f t="shared" si="25"/>
        <v/>
      </c>
      <c r="AH91" s="44">
        <f>SUM(AH89:AH90)</f>
        <v>0</v>
      </c>
      <c r="AI91" s="45">
        <f>SUM(AI89:AI90)</f>
        <v>39</v>
      </c>
      <c r="AJ91" s="45">
        <f>SUM(AJ89:AJ90)</f>
        <v>0</v>
      </c>
      <c r="AK91" s="45">
        <f>SUM(AK89:AK90)</f>
        <v>0</v>
      </c>
      <c r="AL91" s="45">
        <f>SUM(AL89:AL90)</f>
        <v>0</v>
      </c>
      <c r="AM91" s="50">
        <f>Juin!AM91</f>
        <v>-0.82</v>
      </c>
      <c r="AN91" s="51">
        <f>IF(A90="","",IF(A90&gt;NomMois,0,IF(A90&lt;$A$3,2.5,(NETWORKDAYS(A90,$A$2)/21.66667)*2.5)))</f>
        <v>2.5</v>
      </c>
      <c r="AO91" s="51">
        <f>IF( AN91="",0,+AN91+Janvier!AO91)</f>
        <v>22.5</v>
      </c>
      <c r="AP91" s="50"/>
      <c r="AQ91" s="45">
        <f>+AM91-AI91</f>
        <v>-39.82</v>
      </c>
      <c r="AR91" s="45" t="str">
        <f>+IF(AP91="","",AP91-AJ91)</f>
        <v/>
      </c>
      <c r="AS91" s="102">
        <f t="shared" si="10"/>
        <v>-17.32</v>
      </c>
    </row>
    <row r="92" spans="1:45" s="63" customFormat="1" ht="6.75" customHeight="1" x14ac:dyDescent="0.25">
      <c r="A92" s="64"/>
      <c r="B92" s="42"/>
      <c r="C92" s="64"/>
      <c r="D92" s="64"/>
      <c r="E92" s="64"/>
      <c r="F92" s="64"/>
      <c r="G92" s="64"/>
      <c r="H92" s="64"/>
      <c r="I92" s="64"/>
      <c r="J92" s="64"/>
      <c r="K92" s="64"/>
      <c r="L92" s="64"/>
      <c r="M92" s="64"/>
      <c r="N92" s="64"/>
      <c r="O92" s="64"/>
      <c r="P92" s="64"/>
      <c r="Q92" s="64"/>
      <c r="R92" s="64"/>
      <c r="S92" s="64"/>
      <c r="T92" s="64"/>
      <c r="U92" s="64"/>
      <c r="V92" s="64"/>
      <c r="W92" s="64"/>
      <c r="X92" s="64"/>
      <c r="Y92" s="64"/>
      <c r="Z92" s="64"/>
      <c r="AA92" s="64"/>
      <c r="AB92" s="64"/>
      <c r="AC92" s="64"/>
      <c r="AD92" s="64"/>
      <c r="AE92" s="64"/>
      <c r="AF92" s="64"/>
      <c r="AG92" s="64"/>
      <c r="AH92" s="65"/>
      <c r="AI92" s="65"/>
      <c r="AJ92" s="65"/>
      <c r="AK92" s="65"/>
      <c r="AL92" s="65"/>
      <c r="AM92" s="64"/>
      <c r="AN92" s="65"/>
      <c r="AO92" s="65"/>
      <c r="AP92" s="64"/>
      <c r="AQ92" s="69"/>
      <c r="AR92" s="69"/>
      <c r="AS92" s="65"/>
    </row>
    <row r="93" spans="1:45" ht="12.95" customHeight="1" x14ac:dyDescent="0.25">
      <c r="A93" s="41"/>
      <c r="B93" s="42" t="s">
        <v>15</v>
      </c>
      <c r="C93" s="67"/>
      <c r="D93" s="43"/>
      <c r="E93" s="43"/>
      <c r="F93" s="43"/>
      <c r="G93" s="43"/>
      <c r="H93" s="43"/>
      <c r="I93" s="43"/>
      <c r="J93" s="43"/>
      <c r="K93" s="43"/>
      <c r="L93" s="43"/>
      <c r="M93" s="43"/>
      <c r="N93" s="43"/>
      <c r="O93" s="43"/>
      <c r="P93" s="43"/>
      <c r="Q93" s="43"/>
      <c r="R93" s="43"/>
      <c r="S93" s="43"/>
      <c r="T93" s="43"/>
      <c r="U93" s="43"/>
      <c r="V93" s="43"/>
      <c r="W93" s="43"/>
      <c r="X93" s="43"/>
      <c r="Y93" s="43"/>
      <c r="Z93" s="43"/>
      <c r="AA93" s="43"/>
      <c r="AB93" s="43"/>
      <c r="AC93" s="43"/>
      <c r="AD93" s="43"/>
      <c r="AE93" s="43"/>
      <c r="AF93" s="43"/>
      <c r="AG93" s="43"/>
      <c r="AH93" s="44">
        <f>COUNTA(Février!$C93:$AG93)</f>
        <v>0</v>
      </c>
      <c r="AI93" s="45">
        <f>(COUNTIFS(Février!$C93:$AG93,("cp")))/2+Janvier!AI93</f>
        <v>0</v>
      </c>
      <c r="AJ93" s="45">
        <f>COUNTIFS(Février!$C93:$AG93,"RTT")/2+Janvier!AJ93</f>
        <v>0</v>
      </c>
      <c r="AK93" s="45">
        <f>COUNTIFS(Février!$C93:$AG93,"m")/2+Janvier!AK93</f>
        <v>5</v>
      </c>
      <c r="AL93" s="45">
        <f>COUNTIFS(Février!$C93:$AG93,"a")/2+Janvier!AL93</f>
        <v>0</v>
      </c>
      <c r="AM93" s="46"/>
      <c r="AN93" s="47"/>
      <c r="AO93" s="47"/>
      <c r="AP93" s="46"/>
      <c r="AQ93" s="47"/>
      <c r="AR93" s="47"/>
      <c r="AS93" s="47"/>
    </row>
    <row r="94" spans="1:45" s="79" customFormat="1" ht="12.95" customHeight="1" x14ac:dyDescent="0.25">
      <c r="A94" s="48">
        <v>42921</v>
      </c>
      <c r="B94" s="42" t="s">
        <v>16</v>
      </c>
      <c r="C94" s="67"/>
      <c r="D94" s="43"/>
      <c r="E94" s="43"/>
      <c r="F94" s="43"/>
      <c r="G94" s="43"/>
      <c r="H94" s="43"/>
      <c r="I94" s="43"/>
      <c r="J94" s="43"/>
      <c r="K94" s="43"/>
      <c r="L94" s="43"/>
      <c r="M94" s="43"/>
      <c r="N94" s="43"/>
      <c r="O94" s="43"/>
      <c r="P94" s="43"/>
      <c r="Q94" s="43"/>
      <c r="R94" s="43"/>
      <c r="S94" s="43"/>
      <c r="T94" s="43"/>
      <c r="U94" s="43"/>
      <c r="V94" s="43"/>
      <c r="W94" s="43"/>
      <c r="X94" s="43"/>
      <c r="Y94" s="43"/>
      <c r="Z94" s="43"/>
      <c r="AA94" s="43"/>
      <c r="AB94" s="43"/>
      <c r="AC94" s="43"/>
      <c r="AD94" s="43"/>
      <c r="AE94" s="43"/>
      <c r="AF94" s="43"/>
      <c r="AG94" s="43"/>
      <c r="AH94" s="44">
        <f>COUNTA(Février!$C94:$AG94)</f>
        <v>0</v>
      </c>
      <c r="AI94" s="45">
        <f>(COUNTIFS(Février!$C94:$AG94,("cp")))/2+Janvier!AI94</f>
        <v>0</v>
      </c>
      <c r="AJ94" s="45">
        <f>COUNTIFS(Février!$C94:$AG94,"RTT")/2+Janvier!AJ94</f>
        <v>0</v>
      </c>
      <c r="AK94" s="45">
        <f>COUNTIFS(Février!$C94:$AG94,"m")/2+Janvier!AK94</f>
        <v>5</v>
      </c>
      <c r="AL94" s="45">
        <f>COUNTIFS(Février!$C94:$AG94,"a")/2+Janvier!AL94</f>
        <v>0</v>
      </c>
      <c r="AM94" s="46"/>
      <c r="AN94" s="47"/>
      <c r="AO94" s="47"/>
      <c r="AP94" s="46"/>
      <c r="AQ94" s="47"/>
      <c r="AR94" s="47"/>
      <c r="AS94" s="101"/>
    </row>
    <row r="95" spans="1:45" s="79" customFormat="1" ht="12.95" customHeight="1" x14ac:dyDescent="0.25">
      <c r="A95" s="41"/>
      <c r="B95" s="42"/>
      <c r="C95" s="49" t="str">
        <f t="shared" ref="C95:AG95" si="26">IF(C93&gt;0,C93,IF(C94&gt;0,C94,""))</f>
        <v/>
      </c>
      <c r="D95" s="49" t="str">
        <f t="shared" si="26"/>
        <v/>
      </c>
      <c r="E95" s="49" t="str">
        <f t="shared" si="26"/>
        <v/>
      </c>
      <c r="F95" s="49" t="str">
        <f t="shared" si="26"/>
        <v/>
      </c>
      <c r="G95" s="49" t="str">
        <f t="shared" si="26"/>
        <v/>
      </c>
      <c r="H95" s="49" t="str">
        <f t="shared" si="26"/>
        <v/>
      </c>
      <c r="I95" s="49" t="str">
        <f t="shared" si="26"/>
        <v/>
      </c>
      <c r="J95" s="49" t="str">
        <f t="shared" si="26"/>
        <v/>
      </c>
      <c r="K95" s="49" t="str">
        <f t="shared" si="26"/>
        <v/>
      </c>
      <c r="L95" s="49" t="str">
        <f t="shared" si="26"/>
        <v/>
      </c>
      <c r="M95" s="49" t="str">
        <f t="shared" si="26"/>
        <v/>
      </c>
      <c r="N95" s="49" t="str">
        <f t="shared" si="26"/>
        <v/>
      </c>
      <c r="O95" s="49" t="str">
        <f t="shared" si="26"/>
        <v/>
      </c>
      <c r="P95" s="49" t="str">
        <f t="shared" si="26"/>
        <v/>
      </c>
      <c r="Q95" s="49" t="str">
        <f t="shared" si="26"/>
        <v/>
      </c>
      <c r="R95" s="49" t="str">
        <f t="shared" si="26"/>
        <v/>
      </c>
      <c r="S95" s="49" t="str">
        <f t="shared" si="26"/>
        <v/>
      </c>
      <c r="T95" s="49" t="str">
        <f t="shared" si="26"/>
        <v/>
      </c>
      <c r="U95" s="49" t="str">
        <f t="shared" si="26"/>
        <v/>
      </c>
      <c r="V95" s="49" t="str">
        <f t="shared" si="26"/>
        <v/>
      </c>
      <c r="W95" s="49" t="str">
        <f t="shared" si="26"/>
        <v/>
      </c>
      <c r="X95" s="49" t="str">
        <f t="shared" si="26"/>
        <v/>
      </c>
      <c r="Y95" s="49" t="str">
        <f t="shared" si="26"/>
        <v/>
      </c>
      <c r="Z95" s="49" t="str">
        <f t="shared" si="26"/>
        <v/>
      </c>
      <c r="AA95" s="49" t="str">
        <f t="shared" si="26"/>
        <v/>
      </c>
      <c r="AB95" s="49" t="str">
        <f t="shared" si="26"/>
        <v/>
      </c>
      <c r="AC95" s="49" t="str">
        <f t="shared" si="26"/>
        <v/>
      </c>
      <c r="AD95" s="49" t="str">
        <f t="shared" si="26"/>
        <v/>
      </c>
      <c r="AE95" s="49" t="str">
        <f t="shared" si="26"/>
        <v/>
      </c>
      <c r="AF95" s="49" t="str">
        <f t="shared" si="26"/>
        <v/>
      </c>
      <c r="AG95" s="49" t="str">
        <f t="shared" si="26"/>
        <v/>
      </c>
      <c r="AH95" s="44">
        <f>SUM(AH93:AH94)</f>
        <v>0</v>
      </c>
      <c r="AI95" s="45">
        <f>SUM(AI93:AI94)</f>
        <v>0</v>
      </c>
      <c r="AJ95" s="45">
        <f>SUM(AJ93:AJ94)</f>
        <v>0</v>
      </c>
      <c r="AK95" s="45">
        <f>SUM(AK93:AK94)</f>
        <v>10</v>
      </c>
      <c r="AL95" s="45">
        <f>SUM(AL93:AL94)</f>
        <v>0</v>
      </c>
      <c r="AM95" s="50">
        <f>Juin!AM95</f>
        <v>0</v>
      </c>
      <c r="AN95" s="51">
        <f>IF(A94="","",IF(A94&gt;NomMois,0,IF(A94&lt;$A$3,2.08,(NETWORKDAYS(A94,$A$2)/21.66667)*2.08)))</f>
        <v>2.08</v>
      </c>
      <c r="AO95" s="51">
        <f>IF( AN95="",0,+AN95+Janvier!AO95)</f>
        <v>16.383999719384661</v>
      </c>
      <c r="AP95" s="50"/>
      <c r="AQ95" s="45">
        <f>+AM95-AI95</f>
        <v>0</v>
      </c>
      <c r="AR95" s="45" t="str">
        <f>+IF(AP95="","",AP95-AJ95)</f>
        <v/>
      </c>
      <c r="AS95" s="102">
        <f t="shared" ref="AS95:AS123" si="27">+AO95+AQ95</f>
        <v>16.383999719384661</v>
      </c>
    </row>
    <row r="96" spans="1:45" s="63" customFormat="1" ht="6.75" customHeight="1" x14ac:dyDescent="0.25">
      <c r="A96" s="64"/>
      <c r="B96" s="42"/>
      <c r="C96" s="64"/>
      <c r="D96" s="64"/>
      <c r="E96" s="64"/>
      <c r="F96" s="64"/>
      <c r="G96" s="64"/>
      <c r="H96" s="64"/>
      <c r="I96" s="64"/>
      <c r="J96" s="64"/>
      <c r="K96" s="64"/>
      <c r="L96" s="64"/>
      <c r="M96" s="64"/>
      <c r="N96" s="64"/>
      <c r="O96" s="64"/>
      <c r="P96" s="64"/>
      <c r="Q96" s="64"/>
      <c r="R96" s="64"/>
      <c r="S96" s="64"/>
      <c r="T96" s="64"/>
      <c r="U96" s="64"/>
      <c r="V96" s="64"/>
      <c r="W96" s="64"/>
      <c r="X96" s="64"/>
      <c r="Y96" s="64"/>
      <c r="Z96" s="64"/>
      <c r="AA96" s="64"/>
      <c r="AB96" s="64"/>
      <c r="AC96" s="64"/>
      <c r="AD96" s="64"/>
      <c r="AE96" s="64"/>
      <c r="AF96" s="64"/>
      <c r="AG96" s="64"/>
      <c r="AH96" s="65"/>
      <c r="AI96" s="65"/>
      <c r="AJ96" s="65"/>
      <c r="AK96" s="65"/>
      <c r="AL96" s="65"/>
      <c r="AM96" s="64"/>
      <c r="AN96" s="65"/>
      <c r="AO96" s="65"/>
      <c r="AP96" s="64"/>
      <c r="AQ96" s="69"/>
      <c r="AR96" s="69"/>
      <c r="AS96" s="65"/>
    </row>
    <row r="97" spans="1:45" s="79" customFormat="1" ht="12.95" customHeight="1" x14ac:dyDescent="0.25">
      <c r="A97" s="70"/>
      <c r="B97" s="42" t="s">
        <v>15</v>
      </c>
      <c r="C97" s="71"/>
      <c r="D97" s="71"/>
      <c r="E97" s="71"/>
      <c r="F97" s="71"/>
      <c r="G97" s="71"/>
      <c r="H97" s="71"/>
      <c r="I97" s="71"/>
      <c r="J97" s="71"/>
      <c r="K97" s="71"/>
      <c r="L97" s="71"/>
      <c r="M97" s="71"/>
      <c r="N97" s="71"/>
      <c r="O97" s="71"/>
      <c r="P97" s="71"/>
      <c r="Q97" s="71"/>
      <c r="R97" s="71"/>
      <c r="S97" s="71"/>
      <c r="T97" s="71"/>
      <c r="U97" s="71"/>
      <c r="V97" s="71"/>
      <c r="W97" s="71"/>
      <c r="X97" s="71"/>
      <c r="Y97" s="71"/>
      <c r="Z97" s="71"/>
      <c r="AA97" s="71"/>
      <c r="AB97" s="71"/>
      <c r="AC97" s="71"/>
      <c r="AD97" s="71"/>
      <c r="AE97" s="71"/>
      <c r="AF97" s="71"/>
      <c r="AG97" s="71"/>
      <c r="AH97" s="72">
        <f>COUNTA(Février!$C97:$AG97)</f>
        <v>0</v>
      </c>
      <c r="AI97" s="45">
        <f>(COUNTIFS(Février!$C97:$AG97,("cp")))/2+Janvier!AI97</f>
        <v>14.5</v>
      </c>
      <c r="AJ97" s="45">
        <f>COUNTIFS(Février!$C97:$AG97,"RTT")/2+Janvier!AJ97</f>
        <v>0</v>
      </c>
      <c r="AK97" s="45">
        <f>COUNTIFS(Février!$C97:$AG97,"m")/2+Janvier!AK97</f>
        <v>0</v>
      </c>
      <c r="AL97" s="45">
        <f>COUNTIFS(Février!$C97:$AG97,"a")/2+Janvier!AL97</f>
        <v>0</v>
      </c>
      <c r="AM97" s="46"/>
      <c r="AN97" s="47"/>
      <c r="AO97" s="47"/>
      <c r="AP97" s="46"/>
      <c r="AQ97" s="47"/>
      <c r="AR97" s="47"/>
      <c r="AS97" s="47"/>
    </row>
    <row r="98" spans="1:45" s="79" customFormat="1" ht="12.95" customHeight="1" x14ac:dyDescent="0.25">
      <c r="A98" s="73">
        <v>42736</v>
      </c>
      <c r="B98" s="42" t="s">
        <v>16</v>
      </c>
      <c r="C98" s="71"/>
      <c r="D98" s="71"/>
      <c r="E98" s="71"/>
      <c r="F98" s="71"/>
      <c r="G98" s="71"/>
      <c r="H98" s="71"/>
      <c r="I98" s="71"/>
      <c r="J98" s="71"/>
      <c r="K98" s="71"/>
      <c r="L98" s="71"/>
      <c r="M98" s="71"/>
      <c r="N98" s="71"/>
      <c r="O98" s="71"/>
      <c r="P98" s="71"/>
      <c r="Q98" s="71"/>
      <c r="R98" s="71"/>
      <c r="S98" s="71"/>
      <c r="T98" s="71"/>
      <c r="U98" s="71"/>
      <c r="V98" s="71"/>
      <c r="W98" s="71"/>
      <c r="X98" s="71"/>
      <c r="Y98" s="71"/>
      <c r="Z98" s="71"/>
      <c r="AA98" s="71"/>
      <c r="AB98" s="71"/>
      <c r="AC98" s="71"/>
      <c r="AD98" s="71"/>
      <c r="AE98" s="71"/>
      <c r="AF98" s="71"/>
      <c r="AG98" s="71"/>
      <c r="AH98" s="72">
        <f>COUNTA(Février!$C98:$AG98)</f>
        <v>0</v>
      </c>
      <c r="AI98" s="45">
        <f>(COUNTIFS(Février!$C98:$AG98,("cp")))/2+Janvier!AI98</f>
        <v>14.5</v>
      </c>
      <c r="AJ98" s="45">
        <f>COUNTIFS(Février!$C98:$AG98,"RTT")/2+Janvier!AJ98</f>
        <v>0</v>
      </c>
      <c r="AK98" s="45">
        <f>COUNTIFS(Février!$C98:$AG98,"m")/2+Janvier!AK98</f>
        <v>0</v>
      </c>
      <c r="AL98" s="45">
        <f>COUNTIFS(Février!$C98:$AG98,"a")/2+Janvier!AL98</f>
        <v>0</v>
      </c>
      <c r="AM98" s="46"/>
      <c r="AN98" s="47"/>
      <c r="AO98" s="47"/>
      <c r="AP98" s="46"/>
      <c r="AQ98" s="47"/>
      <c r="AR98" s="47"/>
      <c r="AS98" s="101"/>
    </row>
    <row r="99" spans="1:45" s="79" customFormat="1" ht="12.95" customHeight="1" x14ac:dyDescent="0.25">
      <c r="A99" s="70"/>
      <c r="B99" s="42"/>
      <c r="C99" s="71" t="str">
        <f t="shared" ref="C99:AG99" si="28">IF(C97&gt;0,C97,IF(C98&gt;0,C98,""))</f>
        <v/>
      </c>
      <c r="D99" s="71" t="str">
        <f t="shared" si="28"/>
        <v/>
      </c>
      <c r="E99" s="71" t="str">
        <f t="shared" si="28"/>
        <v/>
      </c>
      <c r="F99" s="71" t="str">
        <f t="shared" si="28"/>
        <v/>
      </c>
      <c r="G99" s="71" t="str">
        <f t="shared" si="28"/>
        <v/>
      </c>
      <c r="H99" s="71" t="str">
        <f t="shared" si="28"/>
        <v/>
      </c>
      <c r="I99" s="71" t="str">
        <f t="shared" si="28"/>
        <v/>
      </c>
      <c r="J99" s="71" t="str">
        <f t="shared" si="28"/>
        <v/>
      </c>
      <c r="K99" s="71" t="str">
        <f t="shared" si="28"/>
        <v/>
      </c>
      <c r="L99" s="71" t="str">
        <f t="shared" si="28"/>
        <v/>
      </c>
      <c r="M99" s="71" t="str">
        <f t="shared" si="28"/>
        <v/>
      </c>
      <c r="N99" s="71" t="str">
        <f t="shared" si="28"/>
        <v/>
      </c>
      <c r="O99" s="71" t="str">
        <f t="shared" si="28"/>
        <v/>
      </c>
      <c r="P99" s="71" t="str">
        <f t="shared" si="28"/>
        <v/>
      </c>
      <c r="Q99" s="71" t="str">
        <f t="shared" si="28"/>
        <v/>
      </c>
      <c r="R99" s="71" t="str">
        <f t="shared" si="28"/>
        <v/>
      </c>
      <c r="S99" s="71" t="str">
        <f t="shared" si="28"/>
        <v/>
      </c>
      <c r="T99" s="71" t="str">
        <f t="shared" si="28"/>
        <v/>
      </c>
      <c r="U99" s="71" t="str">
        <f t="shared" si="28"/>
        <v/>
      </c>
      <c r="V99" s="71" t="str">
        <f t="shared" si="28"/>
        <v/>
      </c>
      <c r="W99" s="71" t="str">
        <f t="shared" si="28"/>
        <v/>
      </c>
      <c r="X99" s="71" t="str">
        <f t="shared" si="28"/>
        <v/>
      </c>
      <c r="Y99" s="71" t="str">
        <f t="shared" si="28"/>
        <v/>
      </c>
      <c r="Z99" s="71" t="str">
        <f t="shared" si="28"/>
        <v/>
      </c>
      <c r="AA99" s="71" t="str">
        <f t="shared" si="28"/>
        <v/>
      </c>
      <c r="AB99" s="71" t="str">
        <f t="shared" si="28"/>
        <v/>
      </c>
      <c r="AC99" s="71" t="str">
        <f t="shared" si="28"/>
        <v/>
      </c>
      <c r="AD99" s="71" t="str">
        <f t="shared" si="28"/>
        <v/>
      </c>
      <c r="AE99" s="71" t="str">
        <f t="shared" si="28"/>
        <v/>
      </c>
      <c r="AF99" s="71" t="str">
        <f t="shared" si="28"/>
        <v/>
      </c>
      <c r="AG99" s="71" t="str">
        <f t="shared" si="28"/>
        <v/>
      </c>
      <c r="AH99" s="72">
        <f>SUM(AH97:AH98)</f>
        <v>0</v>
      </c>
      <c r="AI99" s="45">
        <f>SUM(AI97:AI98)</f>
        <v>29</v>
      </c>
      <c r="AJ99" s="45">
        <f>SUM(AJ97:AJ98)</f>
        <v>0</v>
      </c>
      <c r="AK99" s="45">
        <f>SUM(AK97:AK98)</f>
        <v>0</v>
      </c>
      <c r="AL99" s="45">
        <f>SUM(AL97:AL98)</f>
        <v>0</v>
      </c>
      <c r="AM99" s="50">
        <f>Juin!AM99</f>
        <v>5.41</v>
      </c>
      <c r="AN99" s="51">
        <f>IF(A98="","",IF(A98&gt;NomMois,0,IF(A98&lt;$A$3,2.08,(NETWORKDAYS(A98,$A$2)/21.66667)*2.08)))</f>
        <v>2.08</v>
      </c>
      <c r="AO99" s="51">
        <f>IF( AN99="",0,+AN99+Janvier!AO99)</f>
        <v>18.72</v>
      </c>
      <c r="AP99" s="50"/>
      <c r="AQ99" s="45">
        <f>+AM99-AI99</f>
        <v>-23.59</v>
      </c>
      <c r="AR99" s="45" t="str">
        <f>+IF(AP99="","",AP99-AJ99)</f>
        <v/>
      </c>
      <c r="AS99" s="102">
        <f t="shared" si="27"/>
        <v>-4.870000000000001</v>
      </c>
    </row>
    <row r="100" spans="1:45" s="63" customFormat="1" ht="6.75" customHeight="1" x14ac:dyDescent="0.25">
      <c r="A100" s="64"/>
      <c r="B100" s="42"/>
      <c r="C100" s="64"/>
      <c r="D100" s="64"/>
      <c r="E100" s="64"/>
      <c r="F100" s="64"/>
      <c r="G100" s="64"/>
      <c r="H100" s="64"/>
      <c r="I100" s="64"/>
      <c r="J100" s="64"/>
      <c r="K100" s="64"/>
      <c r="L100" s="64"/>
      <c r="M100" s="64"/>
      <c r="N100" s="64"/>
      <c r="O100" s="64"/>
      <c r="P100" s="64"/>
      <c r="Q100" s="64"/>
      <c r="R100" s="64"/>
      <c r="S100" s="64"/>
      <c r="T100" s="64"/>
      <c r="U100" s="64"/>
      <c r="V100" s="64"/>
      <c r="W100" s="64"/>
      <c r="X100" s="64"/>
      <c r="Y100" s="64"/>
      <c r="Z100" s="64"/>
      <c r="AA100" s="64"/>
      <c r="AB100" s="64"/>
      <c r="AC100" s="64"/>
      <c r="AD100" s="64"/>
      <c r="AE100" s="64"/>
      <c r="AF100" s="64"/>
      <c r="AG100" s="64"/>
      <c r="AH100" s="65"/>
      <c r="AI100" s="65"/>
      <c r="AJ100" s="65"/>
      <c r="AK100" s="65"/>
      <c r="AL100" s="65"/>
      <c r="AM100" s="64"/>
      <c r="AN100" s="65"/>
      <c r="AO100" s="65"/>
      <c r="AP100" s="64"/>
      <c r="AQ100" s="69"/>
      <c r="AR100" s="69"/>
      <c r="AS100" s="65"/>
    </row>
    <row r="101" spans="1:45" s="79" customFormat="1" ht="12.95" customHeight="1" x14ac:dyDescent="0.25">
      <c r="A101" s="70"/>
      <c r="B101" s="42" t="s">
        <v>15</v>
      </c>
      <c r="C101" s="71"/>
      <c r="D101" s="71"/>
      <c r="E101" s="71"/>
      <c r="F101" s="71"/>
      <c r="G101" s="71"/>
      <c r="H101" s="71"/>
      <c r="I101" s="71"/>
      <c r="J101" s="71"/>
      <c r="K101" s="71"/>
      <c r="L101" s="71"/>
      <c r="M101" s="71"/>
      <c r="N101" s="71"/>
      <c r="O101" s="71"/>
      <c r="P101" s="71"/>
      <c r="Q101" s="71"/>
      <c r="R101" s="71"/>
      <c r="S101" s="71"/>
      <c r="T101" s="71"/>
      <c r="U101" s="71"/>
      <c r="V101" s="71"/>
      <c r="W101" s="71"/>
      <c r="X101" s="71"/>
      <c r="Y101" s="71"/>
      <c r="Z101" s="71"/>
      <c r="AA101" s="71"/>
      <c r="AB101" s="71"/>
      <c r="AC101" s="71"/>
      <c r="AD101" s="71"/>
      <c r="AE101" s="71"/>
      <c r="AF101" s="71"/>
      <c r="AG101" s="71"/>
      <c r="AH101" s="72">
        <f>COUNTA(Février!$C101:$AG101)</f>
        <v>0</v>
      </c>
      <c r="AI101" s="45">
        <f>(COUNTIFS(Février!$C101:$AG101,("cp")))/2+Janvier!AI101</f>
        <v>5</v>
      </c>
      <c r="AJ101" s="45">
        <f>COUNTIFS(Février!$C101:$AG101,"RTT")/2+Janvier!AJ101</f>
        <v>0</v>
      </c>
      <c r="AK101" s="45">
        <f>COUNTIFS(Février!$C101:$AG101,"m")/2+Janvier!AK101</f>
        <v>0</v>
      </c>
      <c r="AL101" s="45">
        <f>COUNTIFS(Février!$C101:$AG101,"a")/2+Janvier!AL101</f>
        <v>0</v>
      </c>
      <c r="AM101" s="46"/>
      <c r="AN101" s="47"/>
      <c r="AO101" s="47"/>
      <c r="AP101" s="46"/>
      <c r="AQ101" s="47"/>
      <c r="AR101" s="47"/>
      <c r="AS101" s="47"/>
    </row>
    <row r="102" spans="1:45" s="79" customFormat="1" ht="12.95" customHeight="1" x14ac:dyDescent="0.25">
      <c r="A102" s="73">
        <v>42814</v>
      </c>
      <c r="B102" s="42" t="s">
        <v>16</v>
      </c>
      <c r="C102" s="71"/>
      <c r="D102" s="71"/>
      <c r="E102" s="71"/>
      <c r="F102" s="71"/>
      <c r="G102" s="71"/>
      <c r="H102" s="71"/>
      <c r="I102" s="71"/>
      <c r="J102" s="71"/>
      <c r="K102" s="71"/>
      <c r="L102" s="71"/>
      <c r="M102" s="71"/>
      <c r="N102" s="71"/>
      <c r="O102" s="71"/>
      <c r="P102" s="71"/>
      <c r="Q102" s="71"/>
      <c r="R102" s="71"/>
      <c r="S102" s="71"/>
      <c r="T102" s="71"/>
      <c r="U102" s="71"/>
      <c r="V102" s="71"/>
      <c r="W102" s="71"/>
      <c r="X102" s="71"/>
      <c r="Y102" s="71"/>
      <c r="Z102" s="71"/>
      <c r="AA102" s="71"/>
      <c r="AB102" s="71"/>
      <c r="AC102" s="71"/>
      <c r="AD102" s="71"/>
      <c r="AE102" s="71"/>
      <c r="AF102" s="71"/>
      <c r="AG102" s="71"/>
      <c r="AH102" s="72">
        <f>COUNTA(Février!$C102:$AG102)</f>
        <v>0</v>
      </c>
      <c r="AI102" s="45">
        <f>(COUNTIFS(Février!$C102:$AG102,("cp")))/2+Janvier!AI102</f>
        <v>5</v>
      </c>
      <c r="AJ102" s="45">
        <f>COUNTIFS(Février!$C102:$AG102,"RTT")/2+Janvier!AJ102</f>
        <v>0</v>
      </c>
      <c r="AK102" s="45">
        <f>COUNTIFS(Février!$C102:$AG102,"m")/2+Janvier!AK102</f>
        <v>0</v>
      </c>
      <c r="AL102" s="45">
        <f>COUNTIFS(Février!$C102:$AG102,"a")/2+Janvier!AL102</f>
        <v>0</v>
      </c>
      <c r="AM102" s="46"/>
      <c r="AN102" s="47"/>
      <c r="AO102" s="47"/>
      <c r="AP102" s="46"/>
      <c r="AQ102" s="47"/>
      <c r="AR102" s="47"/>
      <c r="AS102" s="101"/>
    </row>
    <row r="103" spans="1:45" s="79" customFormat="1" ht="12.95" customHeight="1" x14ac:dyDescent="0.25">
      <c r="A103" s="70"/>
      <c r="B103" s="42"/>
      <c r="C103" s="71" t="str">
        <f t="shared" ref="C103:AG103" si="29">IF(C101&gt;0,C101,IF(C102&gt;0,C102,""))</f>
        <v/>
      </c>
      <c r="D103" s="71" t="str">
        <f t="shared" si="29"/>
        <v/>
      </c>
      <c r="E103" s="71" t="str">
        <f t="shared" si="29"/>
        <v/>
      </c>
      <c r="F103" s="71" t="str">
        <f t="shared" si="29"/>
        <v/>
      </c>
      <c r="G103" s="71" t="str">
        <f t="shared" si="29"/>
        <v/>
      </c>
      <c r="H103" s="71" t="str">
        <f t="shared" si="29"/>
        <v/>
      </c>
      <c r="I103" s="71" t="str">
        <f t="shared" si="29"/>
        <v/>
      </c>
      <c r="J103" s="71" t="str">
        <f t="shared" si="29"/>
        <v/>
      </c>
      <c r="K103" s="71" t="str">
        <f t="shared" si="29"/>
        <v/>
      </c>
      <c r="L103" s="71" t="str">
        <f t="shared" si="29"/>
        <v/>
      </c>
      <c r="M103" s="71" t="str">
        <f t="shared" si="29"/>
        <v/>
      </c>
      <c r="N103" s="71" t="str">
        <f t="shared" si="29"/>
        <v/>
      </c>
      <c r="O103" s="71" t="str">
        <f t="shared" si="29"/>
        <v/>
      </c>
      <c r="P103" s="71" t="str">
        <f t="shared" si="29"/>
        <v/>
      </c>
      <c r="Q103" s="71" t="str">
        <f t="shared" si="29"/>
        <v/>
      </c>
      <c r="R103" s="71" t="str">
        <f t="shared" si="29"/>
        <v/>
      </c>
      <c r="S103" s="71" t="str">
        <f t="shared" si="29"/>
        <v/>
      </c>
      <c r="T103" s="71" t="str">
        <f t="shared" si="29"/>
        <v/>
      </c>
      <c r="U103" s="71" t="str">
        <f t="shared" si="29"/>
        <v/>
      </c>
      <c r="V103" s="71" t="str">
        <f t="shared" si="29"/>
        <v/>
      </c>
      <c r="W103" s="71" t="str">
        <f t="shared" si="29"/>
        <v/>
      </c>
      <c r="X103" s="71" t="str">
        <f t="shared" si="29"/>
        <v/>
      </c>
      <c r="Y103" s="71" t="str">
        <f t="shared" si="29"/>
        <v/>
      </c>
      <c r="Z103" s="71" t="str">
        <f t="shared" si="29"/>
        <v/>
      </c>
      <c r="AA103" s="71" t="str">
        <f t="shared" si="29"/>
        <v/>
      </c>
      <c r="AB103" s="71" t="str">
        <f t="shared" si="29"/>
        <v/>
      </c>
      <c r="AC103" s="71" t="str">
        <f t="shared" si="29"/>
        <v/>
      </c>
      <c r="AD103" s="71" t="str">
        <f t="shared" si="29"/>
        <v/>
      </c>
      <c r="AE103" s="71" t="str">
        <f t="shared" si="29"/>
        <v/>
      </c>
      <c r="AF103" s="71" t="str">
        <f t="shared" si="29"/>
        <v/>
      </c>
      <c r="AG103" s="71" t="str">
        <f t="shared" si="29"/>
        <v/>
      </c>
      <c r="AH103" s="72">
        <f>SUM(AH101:AH102)</f>
        <v>0</v>
      </c>
      <c r="AI103" s="45">
        <f>SUM(AI101:AI102)</f>
        <v>10</v>
      </c>
      <c r="AJ103" s="45">
        <f>SUM(AJ101:AJ102)</f>
        <v>0</v>
      </c>
      <c r="AK103" s="45">
        <f>SUM(AK101:AK102)</f>
        <v>0</v>
      </c>
      <c r="AL103" s="45">
        <f>SUM(AL101:AL102)</f>
        <v>0</v>
      </c>
      <c r="AM103" s="50">
        <f>Juin!AM103</f>
        <v>2.65</v>
      </c>
      <c r="AN103" s="51">
        <f>IF(A102="","",IF(A102&gt;NomMois,0,IF(A102&lt;$A$3,2.08,(NETWORKDAYS(A102,$A$2)/21.66667)*2.08)))</f>
        <v>2.08</v>
      </c>
      <c r="AO103" s="51">
        <f>IF( AN103="",0,+AN103+Janvier!AO103)</f>
        <v>18.72</v>
      </c>
      <c r="AP103" s="50"/>
      <c r="AQ103" s="45">
        <f>+AM103-AI103</f>
        <v>-7.35</v>
      </c>
      <c r="AR103" s="45" t="str">
        <f>+IF(AP103="","",AP103-AJ103)</f>
        <v/>
      </c>
      <c r="AS103" s="102">
        <f t="shared" si="27"/>
        <v>11.37</v>
      </c>
    </row>
    <row r="104" spans="1:45" s="79" customFormat="1" ht="8.25" customHeight="1" x14ac:dyDescent="0.25">
      <c r="A104" s="64"/>
      <c r="B104" s="42"/>
      <c r="C104" s="64"/>
      <c r="D104" s="64"/>
      <c r="E104" s="64"/>
      <c r="F104" s="64"/>
      <c r="G104" s="64"/>
      <c r="H104" s="64"/>
      <c r="I104" s="64"/>
      <c r="J104" s="64"/>
      <c r="K104" s="64"/>
      <c r="L104" s="64"/>
      <c r="M104" s="64"/>
      <c r="N104" s="64"/>
      <c r="O104" s="64"/>
      <c r="P104" s="64"/>
      <c r="Q104" s="64"/>
      <c r="R104" s="64"/>
      <c r="S104" s="64"/>
      <c r="T104" s="64"/>
      <c r="U104" s="64"/>
      <c r="V104" s="64"/>
      <c r="W104" s="64"/>
      <c r="X104" s="64"/>
      <c r="Y104" s="64"/>
      <c r="Z104" s="64"/>
      <c r="AA104" s="64"/>
      <c r="AB104" s="64"/>
      <c r="AC104" s="64"/>
      <c r="AD104" s="64"/>
      <c r="AE104" s="64"/>
      <c r="AF104" s="64"/>
      <c r="AG104" s="64"/>
      <c r="AH104" s="65"/>
      <c r="AI104" s="65"/>
      <c r="AJ104" s="65"/>
      <c r="AK104" s="65"/>
      <c r="AL104" s="65"/>
      <c r="AM104" s="64"/>
      <c r="AN104" s="65"/>
      <c r="AO104" s="65"/>
      <c r="AP104" s="64"/>
      <c r="AQ104" s="69"/>
      <c r="AR104" s="69"/>
      <c r="AS104" s="65"/>
    </row>
    <row r="105" spans="1:45" s="79" customFormat="1" ht="12.95" customHeight="1" x14ac:dyDescent="0.25">
      <c r="A105" s="41"/>
      <c r="B105" s="42" t="s">
        <v>15</v>
      </c>
      <c r="C105" s="67"/>
      <c r="D105" s="43"/>
      <c r="E105" s="43"/>
      <c r="F105" s="43"/>
      <c r="G105" s="43"/>
      <c r="H105" s="43"/>
      <c r="I105" s="43"/>
      <c r="J105" s="43"/>
      <c r="K105" s="43"/>
      <c r="L105" s="43"/>
      <c r="M105" s="43"/>
      <c r="N105" s="43"/>
      <c r="O105" s="43"/>
      <c r="P105" s="43"/>
      <c r="Q105" s="43"/>
      <c r="R105" s="43"/>
      <c r="S105" s="43"/>
      <c r="T105" s="43"/>
      <c r="U105" s="43"/>
      <c r="V105" s="43"/>
      <c r="W105" s="43"/>
      <c r="X105" s="43"/>
      <c r="Y105" s="43"/>
      <c r="Z105" s="43"/>
      <c r="AA105" s="43"/>
      <c r="AB105" s="43"/>
      <c r="AC105" s="43"/>
      <c r="AD105" s="43"/>
      <c r="AE105" s="43"/>
      <c r="AF105" s="43"/>
      <c r="AG105" s="43"/>
      <c r="AH105" s="44">
        <f>COUNTA(Février!$C105:$AG105)</f>
        <v>0</v>
      </c>
      <c r="AI105" s="45">
        <f>(COUNTIFS(Février!$C105:$AG105,("cp")))/2+Janvier!AI105</f>
        <v>0</v>
      </c>
      <c r="AJ105" s="45">
        <f>COUNTIFS(Février!$C105:$AG105,"RTT")/2+Janvier!AJ105</f>
        <v>0</v>
      </c>
      <c r="AK105" s="45">
        <f>COUNTIFS(Février!$C105:$AG105,"m")/2+Janvier!AK105</f>
        <v>0</v>
      </c>
      <c r="AL105" s="45">
        <f>COUNTIFS(Février!$C105:$AG105,"a")/2+Janvier!AL105</f>
        <v>0</v>
      </c>
      <c r="AM105" s="46"/>
      <c r="AN105" s="47"/>
      <c r="AO105" s="47"/>
      <c r="AP105" s="46"/>
      <c r="AQ105" s="47"/>
      <c r="AR105" s="47"/>
      <c r="AS105" s="47"/>
    </row>
    <row r="106" spans="1:45" s="79" customFormat="1" ht="12.95" customHeight="1" x14ac:dyDescent="0.25">
      <c r="A106" s="48">
        <v>43037</v>
      </c>
      <c r="B106" s="42" t="s">
        <v>16</v>
      </c>
      <c r="C106" s="67"/>
      <c r="D106" s="43"/>
      <c r="E106" s="43"/>
      <c r="F106" s="43"/>
      <c r="G106" s="43"/>
      <c r="H106" s="43"/>
      <c r="I106" s="43"/>
      <c r="J106" s="43"/>
      <c r="K106" s="43"/>
      <c r="L106" s="43"/>
      <c r="M106" s="43"/>
      <c r="N106" s="43"/>
      <c r="O106" s="43"/>
      <c r="P106" s="43"/>
      <c r="Q106" s="43"/>
      <c r="R106" s="43"/>
      <c r="S106" s="43"/>
      <c r="T106" s="43"/>
      <c r="U106" s="43"/>
      <c r="V106" s="43"/>
      <c r="W106" s="43"/>
      <c r="X106" s="43"/>
      <c r="Y106" s="43"/>
      <c r="Z106" s="43"/>
      <c r="AA106" s="43"/>
      <c r="AB106" s="43"/>
      <c r="AC106" s="43"/>
      <c r="AD106" s="43"/>
      <c r="AE106" s="43"/>
      <c r="AF106" s="43"/>
      <c r="AG106" s="43"/>
      <c r="AH106" s="44">
        <f>COUNTA(Février!$C106:$AG106)</f>
        <v>0</v>
      </c>
      <c r="AI106" s="45">
        <f>(COUNTIFS(Février!$C106:$AG106,("cp")))/2+Janvier!AI106</f>
        <v>0</v>
      </c>
      <c r="AJ106" s="45">
        <f>COUNTIFS(Février!$C106:$AG106,"RTT")/2+Janvier!AJ106</f>
        <v>0</v>
      </c>
      <c r="AK106" s="45">
        <f>COUNTIFS(Février!$C106:$AG106,"m")/2+Janvier!AK106</f>
        <v>0</v>
      </c>
      <c r="AL106" s="45">
        <f>COUNTIFS(Février!$C106:$AG106,"a")/2+Janvier!AL106</f>
        <v>0</v>
      </c>
      <c r="AM106" s="46"/>
      <c r="AN106" s="47"/>
      <c r="AO106" s="47"/>
      <c r="AP106" s="46"/>
      <c r="AQ106" s="47"/>
      <c r="AR106" s="47"/>
      <c r="AS106" s="101"/>
    </row>
    <row r="107" spans="1:45" s="79" customFormat="1" ht="12.95" customHeight="1" x14ac:dyDescent="0.25">
      <c r="A107" s="41"/>
      <c r="B107" s="42"/>
      <c r="C107" s="49" t="str">
        <f t="shared" ref="C107:AG107" si="30">IF(C105&gt;0,C105,IF(C106&gt;0,C106,""))</f>
        <v/>
      </c>
      <c r="D107" s="49" t="str">
        <f t="shared" si="30"/>
        <v/>
      </c>
      <c r="E107" s="49" t="str">
        <f t="shared" si="30"/>
        <v/>
      </c>
      <c r="F107" s="49" t="str">
        <f t="shared" si="30"/>
        <v/>
      </c>
      <c r="G107" s="49" t="str">
        <f t="shared" si="30"/>
        <v/>
      </c>
      <c r="H107" s="49" t="str">
        <f t="shared" si="30"/>
        <v/>
      </c>
      <c r="I107" s="49" t="str">
        <f t="shared" si="30"/>
        <v/>
      </c>
      <c r="J107" s="49" t="str">
        <f t="shared" si="30"/>
        <v/>
      </c>
      <c r="K107" s="49" t="str">
        <f t="shared" si="30"/>
        <v/>
      </c>
      <c r="L107" s="49" t="str">
        <f t="shared" si="30"/>
        <v/>
      </c>
      <c r="M107" s="49" t="str">
        <f t="shared" si="30"/>
        <v/>
      </c>
      <c r="N107" s="49" t="str">
        <f t="shared" si="30"/>
        <v/>
      </c>
      <c r="O107" s="49" t="str">
        <f t="shared" si="30"/>
        <v/>
      </c>
      <c r="P107" s="49" t="str">
        <f t="shared" si="30"/>
        <v/>
      </c>
      <c r="Q107" s="49" t="str">
        <f t="shared" si="30"/>
        <v/>
      </c>
      <c r="R107" s="49" t="str">
        <f t="shared" si="30"/>
        <v/>
      </c>
      <c r="S107" s="49" t="str">
        <f t="shared" si="30"/>
        <v/>
      </c>
      <c r="T107" s="49" t="str">
        <f t="shared" si="30"/>
        <v/>
      </c>
      <c r="U107" s="49" t="str">
        <f t="shared" si="30"/>
        <v/>
      </c>
      <c r="V107" s="49" t="str">
        <f t="shared" si="30"/>
        <v/>
      </c>
      <c r="W107" s="49" t="str">
        <f t="shared" si="30"/>
        <v/>
      </c>
      <c r="X107" s="49" t="str">
        <f t="shared" si="30"/>
        <v/>
      </c>
      <c r="Y107" s="49" t="str">
        <f t="shared" si="30"/>
        <v/>
      </c>
      <c r="Z107" s="49" t="str">
        <f t="shared" si="30"/>
        <v/>
      </c>
      <c r="AA107" s="49" t="str">
        <f t="shared" si="30"/>
        <v/>
      </c>
      <c r="AB107" s="49" t="str">
        <f t="shared" si="30"/>
        <v/>
      </c>
      <c r="AC107" s="49" t="str">
        <f t="shared" si="30"/>
        <v/>
      </c>
      <c r="AD107" s="49" t="str">
        <f t="shared" si="30"/>
        <v/>
      </c>
      <c r="AE107" s="49" t="str">
        <f t="shared" si="30"/>
        <v/>
      </c>
      <c r="AF107" s="49" t="str">
        <f t="shared" si="30"/>
        <v/>
      </c>
      <c r="AG107" s="49" t="str">
        <f t="shared" si="30"/>
        <v/>
      </c>
      <c r="AH107" s="44">
        <f>SUM(AH105:AH106)</f>
        <v>0</v>
      </c>
      <c r="AI107" s="45">
        <f>SUM(AI105:AI106)</f>
        <v>0</v>
      </c>
      <c r="AJ107" s="45">
        <f>SUM(AJ105:AJ106)</f>
        <v>0</v>
      </c>
      <c r="AK107" s="45">
        <f>SUM(AK105:AK106)</f>
        <v>0</v>
      </c>
      <c r="AL107" s="45">
        <f>SUM(AL105:AL106)</f>
        <v>0</v>
      </c>
      <c r="AM107" s="50">
        <v>0</v>
      </c>
      <c r="AN107" s="51">
        <f>IF(A106="","",IF(A106&gt;NomMois,0,IF(A106&lt;$A$3,2.08,(NETWORKDAYS(A106,$A$2)/21.66667)*2.08)))</f>
        <v>2.08</v>
      </c>
      <c r="AO107" s="51">
        <f>IF( AN107="",0,+AN107+Janvier!AO107)</f>
        <v>8.5119999704615434</v>
      </c>
      <c r="AP107" s="50"/>
      <c r="AQ107" s="45">
        <f>+AM107-AI107</f>
        <v>0</v>
      </c>
      <c r="AR107" s="45" t="str">
        <f>+IF(AP107="","",AP107-AJ107)</f>
        <v/>
      </c>
      <c r="AS107" s="102">
        <f t="shared" si="27"/>
        <v>8.5119999704615434</v>
      </c>
    </row>
    <row r="108" spans="1:45" s="79" customFormat="1" ht="6.75" customHeight="1" x14ac:dyDescent="0.25">
      <c r="A108" s="64"/>
      <c r="B108" s="42"/>
      <c r="C108" s="64"/>
      <c r="D108" s="64"/>
      <c r="E108" s="64"/>
      <c r="F108" s="64"/>
      <c r="G108" s="64"/>
      <c r="H108" s="64"/>
      <c r="I108" s="64"/>
      <c r="J108" s="64"/>
      <c r="K108" s="64"/>
      <c r="L108" s="64"/>
      <c r="M108" s="64"/>
      <c r="N108" s="64"/>
      <c r="O108" s="64"/>
      <c r="P108" s="64"/>
      <c r="Q108" s="64"/>
      <c r="R108" s="64"/>
      <c r="S108" s="64"/>
      <c r="T108" s="64"/>
      <c r="U108" s="64"/>
      <c r="V108" s="64"/>
      <c r="W108" s="64"/>
      <c r="X108" s="64"/>
      <c r="Y108" s="64"/>
      <c r="Z108" s="64"/>
      <c r="AA108" s="64"/>
      <c r="AB108" s="64"/>
      <c r="AC108" s="64"/>
      <c r="AD108" s="64"/>
      <c r="AE108" s="64"/>
      <c r="AF108" s="64"/>
      <c r="AG108" s="64"/>
      <c r="AH108" s="65"/>
      <c r="AI108" s="65"/>
      <c r="AJ108" s="65"/>
      <c r="AK108" s="65"/>
      <c r="AL108" s="65"/>
      <c r="AM108" s="64"/>
      <c r="AN108" s="65"/>
      <c r="AO108" s="65"/>
      <c r="AP108" s="64"/>
      <c r="AQ108" s="69"/>
      <c r="AR108" s="69"/>
      <c r="AS108" s="65"/>
    </row>
    <row r="109" spans="1:45" s="79" customFormat="1" ht="12.95" customHeight="1" x14ac:dyDescent="0.25">
      <c r="A109" s="41"/>
      <c r="B109" s="42" t="s">
        <v>15</v>
      </c>
      <c r="C109" s="67"/>
      <c r="D109" s="43"/>
      <c r="E109" s="43"/>
      <c r="F109" s="43"/>
      <c r="G109" s="43"/>
      <c r="H109" s="43"/>
      <c r="I109" s="43"/>
      <c r="J109" s="43"/>
      <c r="K109" s="43"/>
      <c r="L109" s="43"/>
      <c r="M109" s="43"/>
      <c r="N109" s="43"/>
      <c r="O109" s="43"/>
      <c r="P109" s="43"/>
      <c r="Q109" s="43"/>
      <c r="R109" s="43"/>
      <c r="S109" s="43"/>
      <c r="T109" s="43"/>
      <c r="U109" s="43"/>
      <c r="V109" s="43"/>
      <c r="W109" s="43"/>
      <c r="X109" s="43"/>
      <c r="Y109" s="43"/>
      <c r="Z109" s="43"/>
      <c r="AA109" s="43"/>
      <c r="AB109" s="43"/>
      <c r="AC109" s="43"/>
      <c r="AD109" s="43"/>
      <c r="AE109" s="43"/>
      <c r="AF109" s="43"/>
      <c r="AG109" s="43"/>
      <c r="AH109" s="44">
        <f>COUNTA(Février!$C109:$AG109)</f>
        <v>0</v>
      </c>
      <c r="AI109" s="45">
        <f>(COUNTIFS(Février!$C109:$AG109,("cp")))/2+Janvier!AI109</f>
        <v>0</v>
      </c>
      <c r="AJ109" s="45">
        <f>COUNTIFS(Février!$C109:$AG109,"RTT")/2+Janvier!AJ109</f>
        <v>0</v>
      </c>
      <c r="AK109" s="45">
        <f>COUNTIFS(Février!$C109:$AG109,"m")/2+Janvier!AK109</f>
        <v>0</v>
      </c>
      <c r="AL109" s="45">
        <f>COUNTIFS(Février!$C109:$AG109,"a")/2+Janvier!AL109</f>
        <v>0</v>
      </c>
      <c r="AM109" s="46"/>
      <c r="AN109" s="47"/>
      <c r="AO109" s="47"/>
      <c r="AP109" s="46"/>
      <c r="AQ109" s="47"/>
      <c r="AR109" s="47"/>
      <c r="AS109" s="47"/>
    </row>
    <row r="110" spans="1:45" s="79" customFormat="1" ht="12.95" customHeight="1" x14ac:dyDescent="0.25">
      <c r="A110" s="48">
        <v>42991</v>
      </c>
      <c r="B110" s="42" t="s">
        <v>16</v>
      </c>
      <c r="C110" s="67"/>
      <c r="D110" s="43"/>
      <c r="E110" s="43"/>
      <c r="F110" s="43"/>
      <c r="G110" s="43"/>
      <c r="H110" s="43"/>
      <c r="I110" s="43"/>
      <c r="J110" s="43"/>
      <c r="K110" s="43"/>
      <c r="L110" s="43"/>
      <c r="M110" s="43"/>
      <c r="N110" s="43"/>
      <c r="O110" s="43"/>
      <c r="P110" s="43"/>
      <c r="Q110" s="43"/>
      <c r="R110" s="43"/>
      <c r="S110" s="43"/>
      <c r="T110" s="43"/>
      <c r="U110" s="43"/>
      <c r="V110" s="43"/>
      <c r="W110" s="43"/>
      <c r="X110" s="43"/>
      <c r="Y110" s="43"/>
      <c r="Z110" s="43"/>
      <c r="AA110" s="43"/>
      <c r="AB110" s="43"/>
      <c r="AC110" s="43"/>
      <c r="AD110" s="43"/>
      <c r="AE110" s="43"/>
      <c r="AF110" s="43"/>
      <c r="AG110" s="43"/>
      <c r="AH110" s="44">
        <f>COUNTA(Février!$C110:$AG110)</f>
        <v>0</v>
      </c>
      <c r="AI110" s="45">
        <f>(COUNTIFS(Février!$C110:$AG110,("cp")))/2+Janvier!AI110</f>
        <v>0</v>
      </c>
      <c r="AJ110" s="45">
        <f>COUNTIFS(Février!$C110:$AG110,"RTT")/2+Janvier!AJ110</f>
        <v>0</v>
      </c>
      <c r="AK110" s="45">
        <f>COUNTIFS(Février!$C110:$AG110,"m")/2+Janvier!AK110</f>
        <v>0</v>
      </c>
      <c r="AL110" s="45">
        <f>COUNTIFS(Février!$C110:$AG110,"a")/2+Janvier!AL110</f>
        <v>0</v>
      </c>
      <c r="AM110" s="46"/>
      <c r="AN110" s="47"/>
      <c r="AO110" s="47"/>
      <c r="AP110" s="46"/>
      <c r="AQ110" s="47"/>
      <c r="AR110" s="47"/>
      <c r="AS110" s="101"/>
    </row>
    <row r="111" spans="1:45" s="79" customFormat="1" ht="12.95" customHeight="1" x14ac:dyDescent="0.25">
      <c r="A111" s="41"/>
      <c r="B111" s="42"/>
      <c r="C111" s="49" t="str">
        <f t="shared" ref="C111:AG111" si="31">IF(C109&gt;0,C109,IF(C110&gt;0,C110,""))</f>
        <v/>
      </c>
      <c r="D111" s="49" t="str">
        <f t="shared" si="31"/>
        <v/>
      </c>
      <c r="E111" s="49" t="str">
        <f t="shared" si="31"/>
        <v/>
      </c>
      <c r="F111" s="49" t="str">
        <f t="shared" si="31"/>
        <v/>
      </c>
      <c r="G111" s="49" t="str">
        <f t="shared" si="31"/>
        <v/>
      </c>
      <c r="H111" s="49" t="str">
        <f t="shared" si="31"/>
        <v/>
      </c>
      <c r="I111" s="49" t="str">
        <f t="shared" si="31"/>
        <v/>
      </c>
      <c r="J111" s="49" t="str">
        <f t="shared" si="31"/>
        <v/>
      </c>
      <c r="K111" s="49" t="str">
        <f t="shared" si="31"/>
        <v/>
      </c>
      <c r="L111" s="49" t="str">
        <f t="shared" si="31"/>
        <v/>
      </c>
      <c r="M111" s="49" t="str">
        <f t="shared" si="31"/>
        <v/>
      </c>
      <c r="N111" s="49" t="str">
        <f t="shared" si="31"/>
        <v/>
      </c>
      <c r="O111" s="49" t="str">
        <f t="shared" si="31"/>
        <v/>
      </c>
      <c r="P111" s="49" t="str">
        <f t="shared" si="31"/>
        <v/>
      </c>
      <c r="Q111" s="49" t="str">
        <f t="shared" si="31"/>
        <v/>
      </c>
      <c r="R111" s="49" t="str">
        <f t="shared" si="31"/>
        <v/>
      </c>
      <c r="S111" s="49" t="str">
        <f t="shared" si="31"/>
        <v/>
      </c>
      <c r="T111" s="49" t="str">
        <f t="shared" si="31"/>
        <v/>
      </c>
      <c r="U111" s="49" t="str">
        <f t="shared" si="31"/>
        <v/>
      </c>
      <c r="V111" s="49" t="str">
        <f t="shared" si="31"/>
        <v/>
      </c>
      <c r="W111" s="49" t="str">
        <f t="shared" si="31"/>
        <v/>
      </c>
      <c r="X111" s="49" t="str">
        <f t="shared" si="31"/>
        <v/>
      </c>
      <c r="Y111" s="49" t="str">
        <f t="shared" si="31"/>
        <v/>
      </c>
      <c r="Z111" s="49" t="str">
        <f t="shared" si="31"/>
        <v/>
      </c>
      <c r="AA111" s="49" t="str">
        <f t="shared" si="31"/>
        <v/>
      </c>
      <c r="AB111" s="49" t="str">
        <f t="shared" si="31"/>
        <v/>
      </c>
      <c r="AC111" s="49" t="str">
        <f t="shared" si="31"/>
        <v/>
      </c>
      <c r="AD111" s="49" t="str">
        <f t="shared" si="31"/>
        <v/>
      </c>
      <c r="AE111" s="49" t="str">
        <f t="shared" si="31"/>
        <v/>
      </c>
      <c r="AF111" s="49" t="str">
        <f t="shared" si="31"/>
        <v/>
      </c>
      <c r="AG111" s="49" t="str">
        <f t="shared" si="31"/>
        <v/>
      </c>
      <c r="AH111" s="44">
        <f>SUM(AH109:AH110)</f>
        <v>0</v>
      </c>
      <c r="AI111" s="45">
        <f>SUM(AI109:AI110)</f>
        <v>0</v>
      </c>
      <c r="AJ111" s="45">
        <f>SUM(AJ109:AJ110)</f>
        <v>0</v>
      </c>
      <c r="AK111" s="45">
        <f>SUM(AK109:AK110)</f>
        <v>0</v>
      </c>
      <c r="AL111" s="45">
        <f>SUM(AL109:AL110)</f>
        <v>0</v>
      </c>
      <c r="AM111" s="50">
        <v>0</v>
      </c>
      <c r="AN111" s="51">
        <f>IF(A110="","",IF(A110&gt;NomMois,0,IF(A110&lt;$A$3,2.08,(NETWORKDAYS(A110,$A$2)/21.66667)*2.08)))</f>
        <v>2.08</v>
      </c>
      <c r="AO111" s="51">
        <f>IF( AN111="",0,+AN111+Janvier!AO111)</f>
        <v>11.64799980800003</v>
      </c>
      <c r="AP111" s="50"/>
      <c r="AQ111" s="45">
        <f>+AM111-AI111</f>
        <v>0</v>
      </c>
      <c r="AR111" s="45" t="str">
        <f>+IF(AP111="","",AP111-AJ111)</f>
        <v/>
      </c>
      <c r="AS111" s="102">
        <f t="shared" si="27"/>
        <v>11.64799980800003</v>
      </c>
    </row>
    <row r="112" spans="1:45" s="79" customFormat="1" ht="6.75" customHeight="1" x14ac:dyDescent="0.25">
      <c r="A112" s="64"/>
      <c r="B112" s="42"/>
      <c r="C112" s="64"/>
      <c r="D112" s="64"/>
      <c r="E112" s="64"/>
      <c r="F112" s="64"/>
      <c r="G112" s="64"/>
      <c r="H112" s="64"/>
      <c r="I112" s="64"/>
      <c r="J112" s="64"/>
      <c r="K112" s="64"/>
      <c r="L112" s="64"/>
      <c r="M112" s="64"/>
      <c r="N112" s="64"/>
      <c r="O112" s="64"/>
      <c r="P112" s="64"/>
      <c r="Q112" s="64"/>
      <c r="R112" s="64"/>
      <c r="S112" s="64"/>
      <c r="T112" s="64"/>
      <c r="U112" s="64"/>
      <c r="V112" s="64"/>
      <c r="W112" s="64"/>
      <c r="X112" s="64"/>
      <c r="Y112" s="64"/>
      <c r="Z112" s="64"/>
      <c r="AA112" s="64"/>
      <c r="AB112" s="64"/>
      <c r="AC112" s="64"/>
      <c r="AD112" s="64"/>
      <c r="AE112" s="64"/>
      <c r="AF112" s="64"/>
      <c r="AG112" s="64"/>
      <c r="AH112" s="65"/>
      <c r="AI112" s="65"/>
      <c r="AJ112" s="65"/>
      <c r="AK112" s="65"/>
      <c r="AL112" s="65"/>
      <c r="AM112" s="64"/>
      <c r="AN112" s="65"/>
      <c r="AO112" s="65"/>
      <c r="AP112" s="64"/>
      <c r="AQ112" s="69"/>
      <c r="AR112" s="69"/>
      <c r="AS112" s="65"/>
    </row>
    <row r="113" spans="1:45" s="79" customFormat="1" ht="12.95" customHeight="1" x14ac:dyDescent="0.25">
      <c r="A113" s="41"/>
      <c r="B113" s="42" t="s">
        <v>15</v>
      </c>
      <c r="C113" s="67"/>
      <c r="D113" s="43"/>
      <c r="E113" s="43"/>
      <c r="F113" s="43"/>
      <c r="G113" s="43"/>
      <c r="H113" s="43"/>
      <c r="I113" s="43"/>
      <c r="J113" s="43"/>
      <c r="K113" s="43"/>
      <c r="L113" s="43"/>
      <c r="M113" s="43"/>
      <c r="N113" s="43"/>
      <c r="O113" s="43"/>
      <c r="P113" s="43"/>
      <c r="Q113" s="43"/>
      <c r="R113" s="43"/>
      <c r="S113" s="43"/>
      <c r="T113" s="43"/>
      <c r="U113" s="43"/>
      <c r="V113" s="43"/>
      <c r="W113" s="43"/>
      <c r="X113" s="43"/>
      <c r="Y113" s="43"/>
      <c r="Z113" s="43"/>
      <c r="AA113" s="43"/>
      <c r="AB113" s="43"/>
      <c r="AC113" s="43"/>
      <c r="AD113" s="43"/>
      <c r="AE113" s="43"/>
      <c r="AF113" s="43"/>
      <c r="AG113" s="43"/>
      <c r="AH113" s="44">
        <f>COUNTA(Février!$C113:$AG113)</f>
        <v>0</v>
      </c>
      <c r="AI113" s="45">
        <f>(COUNTIFS(Février!$C113:$AG113,("cp")))/2+Janvier!AI113</f>
        <v>0</v>
      </c>
      <c r="AJ113" s="45">
        <f>COUNTIFS(Février!$C113:$AG113,"RTT")/2+Janvier!AJ113</f>
        <v>0</v>
      </c>
      <c r="AK113" s="45">
        <f>COUNTIFS(Février!$C113:$AG113,"m")/2+Janvier!AK113</f>
        <v>0</v>
      </c>
      <c r="AL113" s="45">
        <f>COUNTIFS(Février!$C113:$AG113,"a")/2+Janvier!AL113</f>
        <v>0</v>
      </c>
      <c r="AM113" s="46"/>
      <c r="AN113" s="47"/>
      <c r="AO113" s="47"/>
      <c r="AP113" s="46"/>
      <c r="AQ113" s="47"/>
      <c r="AR113" s="47"/>
      <c r="AS113" s="47"/>
    </row>
    <row r="114" spans="1:45" s="79" customFormat="1" ht="12.95" customHeight="1" x14ac:dyDescent="0.25">
      <c r="A114" s="48">
        <v>43052</v>
      </c>
      <c r="B114" s="42" t="s">
        <v>16</v>
      </c>
      <c r="C114" s="67"/>
      <c r="D114" s="43"/>
      <c r="E114" s="43"/>
      <c r="F114" s="43"/>
      <c r="G114" s="43"/>
      <c r="H114" s="43"/>
      <c r="I114" s="43"/>
      <c r="J114" s="43"/>
      <c r="K114" s="43"/>
      <c r="L114" s="43"/>
      <c r="M114" s="43"/>
      <c r="N114" s="43"/>
      <c r="O114" s="43"/>
      <c r="P114" s="43"/>
      <c r="Q114" s="43"/>
      <c r="R114" s="43"/>
      <c r="S114" s="43"/>
      <c r="T114" s="43"/>
      <c r="U114" s="43"/>
      <c r="V114" s="43"/>
      <c r="W114" s="43"/>
      <c r="X114" s="43"/>
      <c r="Y114" s="43"/>
      <c r="Z114" s="43"/>
      <c r="AA114" s="43"/>
      <c r="AB114" s="43"/>
      <c r="AC114" s="43"/>
      <c r="AD114" s="43"/>
      <c r="AE114" s="43"/>
      <c r="AF114" s="43"/>
      <c r="AG114" s="43"/>
      <c r="AH114" s="44">
        <f>COUNTA(Février!$C114:$AG114)</f>
        <v>0</v>
      </c>
      <c r="AI114" s="45">
        <f>(COUNTIFS(Février!$C114:$AG114,("cp")))/2+Janvier!AI114</f>
        <v>0</v>
      </c>
      <c r="AJ114" s="45">
        <f>COUNTIFS(Février!$C114:$AG114,"RTT")/2+Janvier!AJ114</f>
        <v>0</v>
      </c>
      <c r="AK114" s="45">
        <f>COUNTIFS(Février!$C114:$AG114,"m")/2+Janvier!AK114</f>
        <v>0</v>
      </c>
      <c r="AL114" s="45">
        <f>COUNTIFS(Février!$C114:$AG114,"a")/2+Janvier!AL114</f>
        <v>0</v>
      </c>
      <c r="AM114" s="46"/>
      <c r="AN114" s="47"/>
      <c r="AO114" s="47"/>
      <c r="AP114" s="46"/>
      <c r="AQ114" s="47"/>
      <c r="AR114" s="47"/>
      <c r="AS114" s="101"/>
    </row>
    <row r="115" spans="1:45" s="79" customFormat="1" ht="12.95" customHeight="1" x14ac:dyDescent="0.25">
      <c r="A115" s="41"/>
      <c r="B115" s="42"/>
      <c r="C115" s="49" t="str">
        <f t="shared" ref="C115:AG115" si="32">IF(C113&gt;0,C113,IF(C114&gt;0,C114,""))</f>
        <v/>
      </c>
      <c r="D115" s="49" t="str">
        <f t="shared" si="32"/>
        <v/>
      </c>
      <c r="E115" s="49" t="str">
        <f t="shared" si="32"/>
        <v/>
      </c>
      <c r="F115" s="49" t="str">
        <f t="shared" si="32"/>
        <v/>
      </c>
      <c r="G115" s="49" t="str">
        <f t="shared" si="32"/>
        <v/>
      </c>
      <c r="H115" s="49" t="str">
        <f t="shared" si="32"/>
        <v/>
      </c>
      <c r="I115" s="49" t="str">
        <f t="shared" si="32"/>
        <v/>
      </c>
      <c r="J115" s="49" t="str">
        <f t="shared" si="32"/>
        <v/>
      </c>
      <c r="K115" s="49" t="str">
        <f t="shared" si="32"/>
        <v/>
      </c>
      <c r="L115" s="49" t="str">
        <f t="shared" si="32"/>
        <v/>
      </c>
      <c r="M115" s="49" t="str">
        <f t="shared" si="32"/>
        <v/>
      </c>
      <c r="N115" s="49" t="str">
        <f t="shared" si="32"/>
        <v/>
      </c>
      <c r="O115" s="49" t="str">
        <f t="shared" si="32"/>
        <v/>
      </c>
      <c r="P115" s="49" t="str">
        <f t="shared" si="32"/>
        <v/>
      </c>
      <c r="Q115" s="49" t="str">
        <f t="shared" si="32"/>
        <v/>
      </c>
      <c r="R115" s="49" t="str">
        <f t="shared" si="32"/>
        <v/>
      </c>
      <c r="S115" s="49" t="str">
        <f t="shared" si="32"/>
        <v/>
      </c>
      <c r="T115" s="49" t="str">
        <f t="shared" si="32"/>
        <v/>
      </c>
      <c r="U115" s="49" t="str">
        <f t="shared" si="32"/>
        <v/>
      </c>
      <c r="V115" s="49" t="str">
        <f t="shared" si="32"/>
        <v/>
      </c>
      <c r="W115" s="49" t="str">
        <f t="shared" si="32"/>
        <v/>
      </c>
      <c r="X115" s="49" t="str">
        <f t="shared" si="32"/>
        <v/>
      </c>
      <c r="Y115" s="49" t="str">
        <f t="shared" si="32"/>
        <v/>
      </c>
      <c r="Z115" s="49" t="str">
        <f t="shared" si="32"/>
        <v/>
      </c>
      <c r="AA115" s="49" t="str">
        <f t="shared" si="32"/>
        <v/>
      </c>
      <c r="AB115" s="49" t="str">
        <f t="shared" si="32"/>
        <v/>
      </c>
      <c r="AC115" s="49" t="str">
        <f t="shared" si="32"/>
        <v/>
      </c>
      <c r="AD115" s="49" t="str">
        <f t="shared" si="32"/>
        <v/>
      </c>
      <c r="AE115" s="49" t="str">
        <f t="shared" si="32"/>
        <v/>
      </c>
      <c r="AF115" s="49" t="str">
        <f t="shared" si="32"/>
        <v/>
      </c>
      <c r="AG115" s="49" t="str">
        <f t="shared" si="32"/>
        <v/>
      </c>
      <c r="AH115" s="44">
        <f>SUM(AH113:AH114)</f>
        <v>0</v>
      </c>
      <c r="AI115" s="45">
        <f>SUM(AI113:AI114)</f>
        <v>0</v>
      </c>
      <c r="AJ115" s="45">
        <f>SUM(AJ113:AJ114)</f>
        <v>0</v>
      </c>
      <c r="AK115" s="45">
        <f>SUM(AK113:AK114)</f>
        <v>0</v>
      </c>
      <c r="AL115" s="45">
        <f>SUM(AL113:AL114)</f>
        <v>0</v>
      </c>
      <c r="AM115" s="50">
        <v>0</v>
      </c>
      <c r="AN115" s="51">
        <f>IF(A114="","",IF(A114&gt;NomMois,0,IF(A114&lt;$A$3,2.08,(NETWORKDAYS(A114,$A$2)/21.66667)*2.08)))</f>
        <v>2.08</v>
      </c>
      <c r="AO115" s="51">
        <f>IF( AN115="",0,+AN115+Janvier!AO115)</f>
        <v>7.5839997932308014</v>
      </c>
      <c r="AP115" s="50"/>
      <c r="AQ115" s="45">
        <f>+AM115-AI115</f>
        <v>0</v>
      </c>
      <c r="AR115" s="45" t="str">
        <f>+IF(AP115="","",AP115-AJ115)</f>
        <v/>
      </c>
      <c r="AS115" s="102">
        <f t="shared" si="27"/>
        <v>7.5839997932308014</v>
      </c>
    </row>
    <row r="116" spans="1:45" s="79" customFormat="1" ht="6.75" customHeight="1" x14ac:dyDescent="0.25">
      <c r="A116" s="64"/>
      <c r="B116" s="42"/>
      <c r="C116" s="64"/>
      <c r="D116" s="64"/>
      <c r="E116" s="64"/>
      <c r="F116" s="64"/>
      <c r="G116" s="64"/>
      <c r="H116" s="64"/>
      <c r="I116" s="64"/>
      <c r="J116" s="64"/>
      <c r="K116" s="64"/>
      <c r="L116" s="64"/>
      <c r="M116" s="64"/>
      <c r="N116" s="64"/>
      <c r="O116" s="64"/>
      <c r="P116" s="64"/>
      <c r="Q116" s="64"/>
      <c r="R116" s="64"/>
      <c r="S116" s="64"/>
      <c r="T116" s="64"/>
      <c r="U116" s="64"/>
      <c r="V116" s="64"/>
      <c r="W116" s="64"/>
      <c r="X116" s="64"/>
      <c r="Y116" s="64"/>
      <c r="Z116" s="64"/>
      <c r="AA116" s="64"/>
      <c r="AB116" s="64"/>
      <c r="AC116" s="64"/>
      <c r="AD116" s="64"/>
      <c r="AE116" s="64"/>
      <c r="AF116" s="64"/>
      <c r="AG116" s="64"/>
      <c r="AH116" s="65"/>
      <c r="AI116" s="65"/>
      <c r="AJ116" s="65"/>
      <c r="AK116" s="65"/>
      <c r="AL116" s="65"/>
      <c r="AM116" s="64"/>
      <c r="AN116" s="65"/>
      <c r="AO116" s="65"/>
      <c r="AP116" s="64"/>
      <c r="AQ116" s="69"/>
      <c r="AR116" s="69"/>
      <c r="AS116" s="65"/>
    </row>
    <row r="117" spans="1:45" s="79" customFormat="1" ht="12.95" customHeight="1" x14ac:dyDescent="0.25">
      <c r="A117" s="41"/>
      <c r="B117" s="42" t="s">
        <v>15</v>
      </c>
      <c r="C117" s="67"/>
      <c r="D117" s="43"/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  <c r="S117" s="43"/>
      <c r="T117" s="43"/>
      <c r="U117" s="43"/>
      <c r="V117" s="43"/>
      <c r="W117" s="43"/>
      <c r="X117" s="43"/>
      <c r="Y117" s="43"/>
      <c r="Z117" s="43"/>
      <c r="AA117" s="43"/>
      <c r="AB117" s="43"/>
      <c r="AC117" s="43"/>
      <c r="AD117" s="43"/>
      <c r="AE117" s="43"/>
      <c r="AF117" s="43"/>
      <c r="AG117" s="43"/>
      <c r="AH117" s="44">
        <f>COUNTA(Février!$C117:$AG117)</f>
        <v>0</v>
      </c>
      <c r="AI117" s="45">
        <f>(COUNTIFS(Février!$C117:$AG117,("cp")))/2+Janvier!AI117</f>
        <v>0</v>
      </c>
      <c r="AJ117" s="45">
        <f>COUNTIFS(Février!$C117:$AG117,"RTT")/2+Janvier!AJ117</f>
        <v>0</v>
      </c>
      <c r="AK117" s="45">
        <f>COUNTIFS(Février!$C117:$AG117,"m")/2+Janvier!AK117</f>
        <v>0</v>
      </c>
      <c r="AL117" s="45">
        <f>COUNTIFS(Février!$C117:$AG117,"a")/2+Janvier!AL117</f>
        <v>0</v>
      </c>
      <c r="AM117" s="46"/>
      <c r="AN117" s="47"/>
      <c r="AO117" s="47"/>
      <c r="AP117" s="46"/>
      <c r="AQ117" s="47"/>
      <c r="AR117" s="47"/>
      <c r="AS117" s="47"/>
    </row>
    <row r="118" spans="1:45" s="79" customFormat="1" ht="12.95" customHeight="1" x14ac:dyDescent="0.25">
      <c r="A118" s="48"/>
      <c r="B118" s="42" t="s">
        <v>16</v>
      </c>
      <c r="C118" s="67"/>
      <c r="D118" s="43"/>
      <c r="E118" s="43"/>
      <c r="F118" s="43"/>
      <c r="G118" s="43"/>
      <c r="H118" s="43"/>
      <c r="I118" s="43"/>
      <c r="J118" s="43"/>
      <c r="K118" s="43"/>
      <c r="L118" s="43"/>
      <c r="M118" s="43"/>
      <c r="N118" s="43"/>
      <c r="O118" s="43"/>
      <c r="P118" s="43"/>
      <c r="Q118" s="43"/>
      <c r="R118" s="43"/>
      <c r="S118" s="43"/>
      <c r="T118" s="43"/>
      <c r="U118" s="43"/>
      <c r="V118" s="43"/>
      <c r="W118" s="43"/>
      <c r="X118" s="43"/>
      <c r="Y118" s="43"/>
      <c r="Z118" s="43"/>
      <c r="AA118" s="43"/>
      <c r="AB118" s="43"/>
      <c r="AC118" s="43"/>
      <c r="AD118" s="43"/>
      <c r="AE118" s="43"/>
      <c r="AF118" s="43"/>
      <c r="AG118" s="43"/>
      <c r="AH118" s="44">
        <f>COUNTA(Février!$C118:$AG118)</f>
        <v>0</v>
      </c>
      <c r="AI118" s="45">
        <f>(COUNTIFS(Février!$C118:$AG118,("cp")))/2+Janvier!AI118</f>
        <v>0</v>
      </c>
      <c r="AJ118" s="45">
        <f>COUNTIFS(Février!$C118:$AG118,"RTT")/2+Janvier!AJ118</f>
        <v>0</v>
      </c>
      <c r="AK118" s="45">
        <f>COUNTIFS(Février!$C118:$AG118,"m")/2+Janvier!AK118</f>
        <v>0</v>
      </c>
      <c r="AL118" s="45">
        <f>COUNTIFS(Février!$C118:$AG118,"a")/2+Janvier!AL118</f>
        <v>0</v>
      </c>
      <c r="AM118" s="46"/>
      <c r="AN118" s="47"/>
      <c r="AO118" s="47"/>
      <c r="AP118" s="46"/>
      <c r="AQ118" s="47"/>
      <c r="AR118" s="47"/>
      <c r="AS118" s="101"/>
    </row>
    <row r="119" spans="1:45" s="79" customFormat="1" ht="12.95" customHeight="1" x14ac:dyDescent="0.25">
      <c r="A119" s="41"/>
      <c r="B119" s="42"/>
      <c r="C119" s="49" t="str">
        <f t="shared" ref="C119:AG119" si="33">IF(C117&gt;0,C117,IF(C118&gt;0,C118,""))</f>
        <v/>
      </c>
      <c r="D119" s="49" t="str">
        <f t="shared" si="33"/>
        <v/>
      </c>
      <c r="E119" s="49" t="str">
        <f t="shared" si="33"/>
        <v/>
      </c>
      <c r="F119" s="49" t="str">
        <f t="shared" si="33"/>
        <v/>
      </c>
      <c r="G119" s="49" t="str">
        <f t="shared" si="33"/>
        <v/>
      </c>
      <c r="H119" s="49" t="str">
        <f t="shared" si="33"/>
        <v/>
      </c>
      <c r="I119" s="49" t="str">
        <f t="shared" si="33"/>
        <v/>
      </c>
      <c r="J119" s="49" t="str">
        <f t="shared" si="33"/>
        <v/>
      </c>
      <c r="K119" s="49" t="str">
        <f t="shared" si="33"/>
        <v/>
      </c>
      <c r="L119" s="49" t="str">
        <f t="shared" si="33"/>
        <v/>
      </c>
      <c r="M119" s="49" t="str">
        <f t="shared" si="33"/>
        <v/>
      </c>
      <c r="N119" s="49" t="str">
        <f t="shared" si="33"/>
        <v/>
      </c>
      <c r="O119" s="49" t="str">
        <f t="shared" si="33"/>
        <v/>
      </c>
      <c r="P119" s="49" t="str">
        <f t="shared" si="33"/>
        <v/>
      </c>
      <c r="Q119" s="49" t="str">
        <f t="shared" si="33"/>
        <v/>
      </c>
      <c r="R119" s="49" t="str">
        <f t="shared" si="33"/>
        <v/>
      </c>
      <c r="S119" s="49" t="str">
        <f t="shared" si="33"/>
        <v/>
      </c>
      <c r="T119" s="49" t="str">
        <f t="shared" si="33"/>
        <v/>
      </c>
      <c r="U119" s="49" t="str">
        <f t="shared" si="33"/>
        <v/>
      </c>
      <c r="V119" s="49" t="str">
        <f t="shared" si="33"/>
        <v/>
      </c>
      <c r="W119" s="49" t="str">
        <f t="shared" si="33"/>
        <v/>
      </c>
      <c r="X119" s="49" t="str">
        <f t="shared" si="33"/>
        <v/>
      </c>
      <c r="Y119" s="49" t="str">
        <f t="shared" si="33"/>
        <v/>
      </c>
      <c r="Z119" s="49" t="str">
        <f t="shared" si="33"/>
        <v/>
      </c>
      <c r="AA119" s="49" t="str">
        <f t="shared" si="33"/>
        <v/>
      </c>
      <c r="AB119" s="49" t="str">
        <f t="shared" si="33"/>
        <v/>
      </c>
      <c r="AC119" s="49" t="str">
        <f t="shared" si="33"/>
        <v/>
      </c>
      <c r="AD119" s="49" t="str">
        <f t="shared" si="33"/>
        <v/>
      </c>
      <c r="AE119" s="49" t="str">
        <f t="shared" si="33"/>
        <v/>
      </c>
      <c r="AF119" s="49" t="str">
        <f t="shared" si="33"/>
        <v/>
      </c>
      <c r="AG119" s="49" t="str">
        <f t="shared" si="33"/>
        <v/>
      </c>
      <c r="AH119" s="44">
        <f>SUM(AH117:AH118)</f>
        <v>0</v>
      </c>
      <c r="AI119" s="45">
        <f>SUM(AI117:AI118)</f>
        <v>0</v>
      </c>
      <c r="AJ119" s="45">
        <f>SUM(AJ117:AJ118)</f>
        <v>0</v>
      </c>
      <c r="AK119" s="45">
        <f>SUM(AK117:AK118)</f>
        <v>0</v>
      </c>
      <c r="AL119" s="45">
        <f>SUM(AL117:AL118)</f>
        <v>0</v>
      </c>
      <c r="AM119" s="50">
        <v>0</v>
      </c>
      <c r="AN119" s="51" t="str">
        <f>IF(A118="","",IF(A118&gt;NomMois,0,IF(A118&lt;$A$3,2.08,(NETWORKDAYS(A118,$A$2)/21.66667)*2.08)))</f>
        <v/>
      </c>
      <c r="AO119" s="51">
        <f>IF( AN119="",0,+AN119+Janvier!AO119)</f>
        <v>0</v>
      </c>
      <c r="AP119" s="50"/>
      <c r="AQ119" s="45">
        <f>+AM119-AI119</f>
        <v>0</v>
      </c>
      <c r="AR119" s="45" t="str">
        <f>+IF(AP119="","",AP119-AJ119)</f>
        <v/>
      </c>
      <c r="AS119" s="102">
        <f t="shared" si="27"/>
        <v>0</v>
      </c>
    </row>
    <row r="120" spans="1:45" s="79" customFormat="1" ht="6.75" customHeight="1" x14ac:dyDescent="0.25">
      <c r="A120" s="64"/>
      <c r="B120" s="42"/>
      <c r="C120" s="64"/>
      <c r="D120" s="64"/>
      <c r="E120" s="64"/>
      <c r="F120" s="64"/>
      <c r="G120" s="64"/>
      <c r="H120" s="64"/>
      <c r="I120" s="64"/>
      <c r="J120" s="64"/>
      <c r="K120" s="64"/>
      <c r="L120" s="64"/>
      <c r="M120" s="64"/>
      <c r="N120" s="64"/>
      <c r="O120" s="64"/>
      <c r="P120" s="64"/>
      <c r="Q120" s="64"/>
      <c r="R120" s="64"/>
      <c r="S120" s="64"/>
      <c r="T120" s="64"/>
      <c r="U120" s="64"/>
      <c r="V120" s="64"/>
      <c r="W120" s="64"/>
      <c r="X120" s="64"/>
      <c r="Y120" s="64"/>
      <c r="Z120" s="64"/>
      <c r="AA120" s="64"/>
      <c r="AB120" s="64"/>
      <c r="AC120" s="64"/>
      <c r="AD120" s="64"/>
      <c r="AE120" s="64"/>
      <c r="AF120" s="64"/>
      <c r="AG120" s="64"/>
      <c r="AH120" s="65"/>
      <c r="AI120" s="65"/>
      <c r="AJ120" s="65"/>
      <c r="AK120" s="65"/>
      <c r="AL120" s="65"/>
      <c r="AM120" s="64"/>
      <c r="AN120" s="65"/>
      <c r="AO120" s="65"/>
      <c r="AP120" s="64"/>
      <c r="AQ120" s="69"/>
      <c r="AR120" s="69"/>
      <c r="AS120" s="65"/>
    </row>
    <row r="121" spans="1:45" s="79" customFormat="1" ht="12.95" customHeight="1" x14ac:dyDescent="0.25">
      <c r="A121" s="41"/>
      <c r="B121" s="42" t="s">
        <v>15</v>
      </c>
      <c r="C121" s="67"/>
      <c r="D121" s="43"/>
      <c r="E121" s="43"/>
      <c r="F121" s="43"/>
      <c r="G121" s="43"/>
      <c r="H121" s="43"/>
      <c r="I121" s="43"/>
      <c r="J121" s="43"/>
      <c r="K121" s="43"/>
      <c r="L121" s="43"/>
      <c r="M121" s="43"/>
      <c r="N121" s="43"/>
      <c r="O121" s="43"/>
      <c r="P121" s="43"/>
      <c r="Q121" s="43"/>
      <c r="R121" s="43"/>
      <c r="S121" s="43"/>
      <c r="T121" s="43"/>
      <c r="U121" s="43"/>
      <c r="V121" s="43"/>
      <c r="W121" s="43"/>
      <c r="X121" s="43"/>
      <c r="Y121" s="43"/>
      <c r="Z121" s="43"/>
      <c r="AA121" s="43"/>
      <c r="AB121" s="43"/>
      <c r="AC121" s="43"/>
      <c r="AD121" s="43"/>
      <c r="AE121" s="43"/>
      <c r="AF121" s="43"/>
      <c r="AG121" s="43"/>
      <c r="AH121" s="44">
        <f>COUNTA(Février!$C121:$AG121)</f>
        <v>0</v>
      </c>
      <c r="AI121" s="45">
        <f>(COUNTIFS(Février!$C121:$AG121,("cp")))/2+Janvier!AI121</f>
        <v>0</v>
      </c>
      <c r="AJ121" s="45">
        <f>COUNTIFS(Février!$C121:$AG121,"RTT")/2+Janvier!AJ121</f>
        <v>0</v>
      </c>
      <c r="AK121" s="45">
        <f>COUNTIFS(Février!$C121:$AG121,"m")/2+Janvier!AK121</f>
        <v>0</v>
      </c>
      <c r="AL121" s="45">
        <f>COUNTIFS(Février!$C121:$AG121,"a")/2+Janvier!AL121</f>
        <v>0</v>
      </c>
      <c r="AM121" s="46"/>
      <c r="AN121" s="47"/>
      <c r="AO121" s="47"/>
      <c r="AP121" s="46"/>
      <c r="AQ121" s="47"/>
      <c r="AR121" s="47"/>
      <c r="AS121" s="47"/>
    </row>
    <row r="122" spans="1:45" s="79" customFormat="1" ht="12.95" customHeight="1" x14ac:dyDescent="0.25">
      <c r="A122" s="48"/>
      <c r="B122" s="42" t="s">
        <v>16</v>
      </c>
      <c r="C122" s="67"/>
      <c r="D122" s="43"/>
      <c r="E122" s="43"/>
      <c r="F122" s="43"/>
      <c r="G122" s="43"/>
      <c r="H122" s="43"/>
      <c r="I122" s="43"/>
      <c r="J122" s="43"/>
      <c r="K122" s="43"/>
      <c r="L122" s="43"/>
      <c r="M122" s="43"/>
      <c r="N122" s="43"/>
      <c r="O122" s="43"/>
      <c r="P122" s="43"/>
      <c r="Q122" s="43"/>
      <c r="R122" s="43"/>
      <c r="S122" s="43"/>
      <c r="T122" s="43"/>
      <c r="U122" s="43"/>
      <c r="V122" s="43"/>
      <c r="W122" s="43"/>
      <c r="X122" s="43"/>
      <c r="Y122" s="43"/>
      <c r="Z122" s="43"/>
      <c r="AA122" s="43"/>
      <c r="AB122" s="43"/>
      <c r="AC122" s="43"/>
      <c r="AD122" s="43"/>
      <c r="AE122" s="43"/>
      <c r="AF122" s="43"/>
      <c r="AG122" s="43"/>
      <c r="AH122" s="44">
        <f>COUNTA(Février!$C122:$AG122)</f>
        <v>0</v>
      </c>
      <c r="AI122" s="45">
        <f>(COUNTIFS(Février!$C122:$AG122,("cp")))/2+Janvier!AI122</f>
        <v>0</v>
      </c>
      <c r="AJ122" s="45">
        <f>COUNTIFS(Février!$C122:$AG122,"RTT")/2+Janvier!AJ122</f>
        <v>0</v>
      </c>
      <c r="AK122" s="45">
        <f>COUNTIFS(Février!$C122:$AG122,"m")/2+Janvier!AK122</f>
        <v>0</v>
      </c>
      <c r="AL122" s="45">
        <f>COUNTIFS(Février!$C122:$AG122,"a")/2+Janvier!AL122</f>
        <v>0</v>
      </c>
      <c r="AM122" s="46"/>
      <c r="AN122" s="47"/>
      <c r="AO122" s="47"/>
      <c r="AP122" s="46"/>
      <c r="AQ122" s="47"/>
      <c r="AR122" s="47"/>
      <c r="AS122" s="101"/>
    </row>
    <row r="123" spans="1:45" s="79" customFormat="1" ht="12.95" customHeight="1" x14ac:dyDescent="0.25">
      <c r="A123" s="41"/>
      <c r="B123" s="42"/>
      <c r="C123" s="49" t="str">
        <f t="shared" ref="C123:AG123" si="34">IF(C121&gt;0,C121,IF(C122&gt;0,C122,""))</f>
        <v/>
      </c>
      <c r="D123" s="49" t="str">
        <f t="shared" si="34"/>
        <v/>
      </c>
      <c r="E123" s="49" t="str">
        <f t="shared" si="34"/>
        <v/>
      </c>
      <c r="F123" s="49" t="str">
        <f t="shared" si="34"/>
        <v/>
      </c>
      <c r="G123" s="49" t="str">
        <f t="shared" si="34"/>
        <v/>
      </c>
      <c r="H123" s="49" t="str">
        <f t="shared" si="34"/>
        <v/>
      </c>
      <c r="I123" s="49" t="str">
        <f t="shared" si="34"/>
        <v/>
      </c>
      <c r="J123" s="49" t="str">
        <f t="shared" si="34"/>
        <v/>
      </c>
      <c r="K123" s="49" t="str">
        <f t="shared" si="34"/>
        <v/>
      </c>
      <c r="L123" s="49" t="str">
        <f t="shared" si="34"/>
        <v/>
      </c>
      <c r="M123" s="49" t="str">
        <f t="shared" si="34"/>
        <v/>
      </c>
      <c r="N123" s="49" t="str">
        <f t="shared" si="34"/>
        <v/>
      </c>
      <c r="O123" s="49" t="str">
        <f t="shared" si="34"/>
        <v/>
      </c>
      <c r="P123" s="49" t="str">
        <f t="shared" si="34"/>
        <v/>
      </c>
      <c r="Q123" s="49" t="str">
        <f t="shared" si="34"/>
        <v/>
      </c>
      <c r="R123" s="49" t="str">
        <f t="shared" si="34"/>
        <v/>
      </c>
      <c r="S123" s="49" t="str">
        <f t="shared" si="34"/>
        <v/>
      </c>
      <c r="T123" s="49" t="str">
        <f t="shared" si="34"/>
        <v/>
      </c>
      <c r="U123" s="49" t="str">
        <f t="shared" si="34"/>
        <v/>
      </c>
      <c r="V123" s="49" t="str">
        <f t="shared" si="34"/>
        <v/>
      </c>
      <c r="W123" s="49" t="str">
        <f t="shared" si="34"/>
        <v/>
      </c>
      <c r="X123" s="49" t="str">
        <f t="shared" si="34"/>
        <v/>
      </c>
      <c r="Y123" s="49" t="str">
        <f t="shared" si="34"/>
        <v/>
      </c>
      <c r="Z123" s="49" t="str">
        <f t="shared" si="34"/>
        <v/>
      </c>
      <c r="AA123" s="49" t="str">
        <f t="shared" si="34"/>
        <v/>
      </c>
      <c r="AB123" s="49" t="str">
        <f t="shared" si="34"/>
        <v/>
      </c>
      <c r="AC123" s="49" t="str">
        <f t="shared" si="34"/>
        <v/>
      </c>
      <c r="AD123" s="49" t="str">
        <f t="shared" si="34"/>
        <v/>
      </c>
      <c r="AE123" s="49" t="str">
        <f t="shared" si="34"/>
        <v/>
      </c>
      <c r="AF123" s="49" t="str">
        <f t="shared" si="34"/>
        <v/>
      </c>
      <c r="AG123" s="49" t="str">
        <f t="shared" si="34"/>
        <v/>
      </c>
      <c r="AH123" s="44">
        <f>SUM(AH121:AH122)</f>
        <v>0</v>
      </c>
      <c r="AI123" s="45">
        <f>SUM(AI121:AI122)</f>
        <v>0</v>
      </c>
      <c r="AJ123" s="45">
        <f>SUM(AJ121:AJ122)</f>
        <v>0</v>
      </c>
      <c r="AK123" s="45">
        <f>SUM(AK121:AK122)</f>
        <v>0</v>
      </c>
      <c r="AL123" s="45">
        <f>SUM(AL121:AL122)</f>
        <v>0</v>
      </c>
      <c r="AM123" s="50">
        <v>0</v>
      </c>
      <c r="AN123" s="51" t="str">
        <f>IF(A122="","",IF(A122&gt;NomMois,0,IF(A122&lt;$A$3,2.08,(NETWORKDAYS(A122,$A$2)/21.66667)*2.08)))</f>
        <v/>
      </c>
      <c r="AO123" s="51">
        <f>IF( AN123="",0,+AN123+Janvier!AO123)</f>
        <v>0</v>
      </c>
      <c r="AP123" s="112"/>
      <c r="AQ123" s="45">
        <f>+AM123-AI123</f>
        <v>0</v>
      </c>
      <c r="AR123" s="45" t="str">
        <f>+IF(AP123="","",AP123-AJ123)</f>
        <v/>
      </c>
      <c r="AS123" s="102">
        <f t="shared" si="27"/>
        <v>0</v>
      </c>
    </row>
    <row r="124" spans="1:45" s="79" customFormat="1" ht="6.75" customHeight="1" x14ac:dyDescent="0.25">
      <c r="A124" s="64"/>
      <c r="B124" s="64"/>
      <c r="C124" s="64"/>
      <c r="D124" s="64"/>
      <c r="E124" s="64"/>
      <c r="F124" s="64"/>
      <c r="G124" s="64"/>
      <c r="H124" s="64"/>
      <c r="I124" s="64"/>
      <c r="J124" s="64"/>
      <c r="K124" s="64"/>
      <c r="L124" s="64"/>
      <c r="M124" s="64"/>
      <c r="N124" s="64"/>
      <c r="O124" s="64"/>
      <c r="P124" s="64"/>
      <c r="Q124" s="64"/>
      <c r="R124" s="64"/>
      <c r="S124" s="64"/>
      <c r="T124" s="64"/>
      <c r="U124" s="64"/>
      <c r="V124" s="64"/>
      <c r="W124" s="64"/>
      <c r="X124" s="64"/>
      <c r="Y124" s="64"/>
      <c r="Z124" s="64"/>
      <c r="AA124" s="64"/>
      <c r="AB124" s="64"/>
      <c r="AC124" s="64"/>
      <c r="AD124" s="64"/>
      <c r="AE124" s="64"/>
      <c r="AF124" s="64"/>
      <c r="AG124" s="64"/>
      <c r="AH124" s="64"/>
      <c r="AI124" s="64"/>
      <c r="AJ124" s="64"/>
      <c r="AK124" s="64"/>
      <c r="AL124" s="64"/>
      <c r="AM124" s="64"/>
      <c r="AN124" s="64"/>
      <c r="AO124" s="64"/>
      <c r="AP124" s="64"/>
      <c r="AQ124" s="74"/>
      <c r="AR124" s="74"/>
      <c r="AS124" s="65"/>
    </row>
    <row r="125" spans="1:45" s="79" customFormat="1" x14ac:dyDescent="0.25">
      <c r="A125" s="100"/>
      <c r="B125" s="100"/>
      <c r="C125" s="100"/>
      <c r="D125" s="100"/>
      <c r="E125" s="100"/>
      <c r="F125" s="100"/>
      <c r="G125" s="100"/>
      <c r="H125" s="100"/>
      <c r="I125" s="100"/>
      <c r="J125" s="100"/>
      <c r="K125" s="100"/>
      <c r="L125" s="100"/>
      <c r="M125" s="100"/>
      <c r="N125" s="100"/>
      <c r="O125" s="100"/>
      <c r="P125" s="100"/>
      <c r="Q125" s="100"/>
      <c r="R125" s="100"/>
      <c r="S125" s="100"/>
      <c r="T125" s="100"/>
      <c r="U125" s="100"/>
      <c r="V125" s="100"/>
      <c r="W125" s="100"/>
      <c r="X125" s="100"/>
      <c r="Y125" s="100"/>
      <c r="Z125" s="100"/>
      <c r="AA125" s="100"/>
      <c r="AB125" s="100"/>
      <c r="AC125" s="100"/>
      <c r="AD125" s="100"/>
      <c r="AE125" s="100"/>
      <c r="AF125" s="100"/>
      <c r="AG125" s="100"/>
      <c r="AH125" s="100"/>
      <c r="AM125" s="8"/>
      <c r="AN125" s="8"/>
      <c r="AO125" s="8"/>
    </row>
    <row r="126" spans="1:45" s="79" customFormat="1" x14ac:dyDescent="0.25">
      <c r="A126" s="100"/>
      <c r="B126" s="100"/>
      <c r="C126" s="100"/>
      <c r="D126" s="100"/>
      <c r="E126" s="100"/>
      <c r="F126" s="100"/>
      <c r="G126" s="100"/>
      <c r="H126" s="100"/>
      <c r="I126" s="100"/>
      <c r="J126" s="100"/>
      <c r="K126" s="100"/>
      <c r="L126" s="100"/>
      <c r="M126" s="100"/>
      <c r="N126" s="100"/>
      <c r="O126" s="100"/>
      <c r="P126" s="100"/>
      <c r="Q126" s="100"/>
      <c r="R126" s="100"/>
      <c r="S126" s="100"/>
      <c r="T126" s="100"/>
      <c r="U126" s="100"/>
      <c r="V126" s="100"/>
      <c r="W126" s="100"/>
      <c r="X126" s="100"/>
      <c r="Y126" s="100"/>
      <c r="Z126" s="100"/>
      <c r="AA126" s="100"/>
      <c r="AB126" s="100"/>
      <c r="AC126" s="100"/>
      <c r="AD126" s="100"/>
      <c r="AE126" s="100"/>
      <c r="AF126" s="100"/>
      <c r="AG126" s="100"/>
      <c r="AH126" s="100"/>
      <c r="AM126" s="8"/>
      <c r="AN126" s="8"/>
      <c r="AO126" s="8"/>
    </row>
    <row r="127" spans="1:45" s="79" customFormat="1" x14ac:dyDescent="0.25">
      <c r="A127" s="80"/>
      <c r="B127" s="80"/>
      <c r="C127" s="82" t="s">
        <v>17</v>
      </c>
      <c r="D127" s="82"/>
      <c r="E127" s="82"/>
      <c r="F127" s="82"/>
      <c r="G127" s="83"/>
      <c r="H127" s="84" t="s">
        <v>7</v>
      </c>
      <c r="I127" s="85" t="s">
        <v>18</v>
      </c>
      <c r="J127" s="86"/>
      <c r="K127" s="86"/>
      <c r="L127" s="87" t="s">
        <v>8</v>
      </c>
      <c r="M127" s="85" t="s">
        <v>8</v>
      </c>
      <c r="N127" s="86"/>
      <c r="O127" s="86"/>
      <c r="P127" s="88" t="s">
        <v>9</v>
      </c>
      <c r="Q127" s="85" t="s">
        <v>19</v>
      </c>
      <c r="R127" s="86"/>
      <c r="S127" s="86"/>
      <c r="T127" s="89" t="s">
        <v>10</v>
      </c>
      <c r="U127" s="90" t="s">
        <v>20</v>
      </c>
      <c r="V127" s="91"/>
      <c r="W127" s="86"/>
      <c r="X127" s="93"/>
      <c r="Y127" s="92"/>
      <c r="Z127" s="90" t="s">
        <v>21</v>
      </c>
      <c r="AA127" s="86"/>
      <c r="AB127" s="91"/>
      <c r="AC127" s="93"/>
      <c r="AD127" s="93"/>
      <c r="AE127" s="93"/>
      <c r="AF127" s="93"/>
      <c r="AG127" s="93"/>
      <c r="AH127" s="94"/>
      <c r="AM127" s="8"/>
      <c r="AN127" s="8"/>
      <c r="AO127" s="8"/>
    </row>
    <row r="128" spans="1:45" s="79" customFormat="1" x14ac:dyDescent="0.25"/>
    <row r="129" s="79" customFormat="1" x14ac:dyDescent="0.25"/>
    <row r="130" s="79" customFormat="1" x14ac:dyDescent="0.25"/>
    <row r="131" s="79" customFormat="1" ht="15" customHeight="1" x14ac:dyDescent="0.25"/>
    <row r="132" s="79" customFormat="1" ht="15" customHeight="1" x14ac:dyDescent="0.25"/>
    <row r="133" s="79" customFormat="1" ht="15" customHeight="1" x14ac:dyDescent="0.25"/>
    <row r="134" s="79" customFormat="1" ht="15" customHeight="1" x14ac:dyDescent="0.25"/>
    <row r="135" s="79" customFormat="1" ht="15" customHeight="1" x14ac:dyDescent="0.25"/>
    <row r="136" s="79" customFormat="1" ht="15" customHeight="1" x14ac:dyDescent="0.25"/>
    <row r="137" s="79" customFormat="1" ht="15" customHeight="1" x14ac:dyDescent="0.25"/>
    <row r="138" s="79" customFormat="1" ht="15" customHeight="1" x14ac:dyDescent="0.25"/>
    <row r="139" s="79" customFormat="1" ht="15" customHeight="1" x14ac:dyDescent="0.25"/>
    <row r="140" s="79" customFormat="1" ht="15" customHeight="1" x14ac:dyDescent="0.25"/>
    <row r="141" s="79" customFormat="1" ht="15" customHeight="1" x14ac:dyDescent="0.25"/>
    <row r="142" s="79" customFormat="1" ht="15" customHeight="1" x14ac:dyDescent="0.25"/>
    <row r="143" s="79" customFormat="1" ht="15" customHeight="1" x14ac:dyDescent="0.25"/>
    <row r="144" s="79" customFormat="1" ht="15" customHeight="1" x14ac:dyDescent="0.25"/>
    <row r="145" s="79" customFormat="1" ht="15" customHeight="1" x14ac:dyDescent="0.25"/>
    <row r="146" s="79" customFormat="1" ht="15" customHeight="1" x14ac:dyDescent="0.25"/>
    <row r="147" s="79" customFormat="1" ht="15" customHeight="1" x14ac:dyDescent="0.25"/>
    <row r="148" s="79" customFormat="1" ht="15" customHeight="1" x14ac:dyDescent="0.25"/>
    <row r="149" s="79" customFormat="1" ht="15" customHeight="1" x14ac:dyDescent="0.25"/>
    <row r="150" s="79" customFormat="1" ht="15" customHeight="1" x14ac:dyDescent="0.25"/>
    <row r="151" s="79" customFormat="1" ht="15" customHeight="1" x14ac:dyDescent="0.25"/>
    <row r="152" s="79" customFormat="1" ht="15" customHeight="1" x14ac:dyDescent="0.25"/>
    <row r="153" s="79" customFormat="1" ht="15" customHeight="1" x14ac:dyDescent="0.25"/>
    <row r="154" s="79" customFormat="1" ht="15" customHeight="1" x14ac:dyDescent="0.25"/>
    <row r="155" s="79" customFormat="1" ht="15" customHeight="1" x14ac:dyDescent="0.25"/>
    <row r="156" s="79" customFormat="1" ht="15" customHeight="1" x14ac:dyDescent="0.25"/>
    <row r="157" s="79" customFormat="1" ht="15" customHeight="1" x14ac:dyDescent="0.25"/>
    <row r="158" s="79" customFormat="1" ht="15" customHeight="1" x14ac:dyDescent="0.25"/>
    <row r="159" s="79" customFormat="1" ht="15" customHeight="1" x14ac:dyDescent="0.25"/>
    <row r="160" s="79" customFormat="1" ht="15" customHeight="1" x14ac:dyDescent="0.25"/>
    <row r="161" s="79" customFormat="1" ht="15" customHeight="1" x14ac:dyDescent="0.25"/>
    <row r="162" s="79" customFormat="1" ht="15" customHeight="1" x14ac:dyDescent="0.25"/>
    <row r="163" s="79" customFormat="1" ht="15" customHeight="1" x14ac:dyDescent="0.25"/>
    <row r="164" s="79" customFormat="1" ht="15" customHeight="1" x14ac:dyDescent="0.25"/>
    <row r="165" s="79" customFormat="1" ht="15" customHeight="1" x14ac:dyDescent="0.25"/>
    <row r="166" s="79" customFormat="1" ht="15" customHeight="1" x14ac:dyDescent="0.25"/>
    <row r="167" s="79" customFormat="1" ht="15" customHeight="1" x14ac:dyDescent="0.25"/>
    <row r="168" s="79" customFormat="1" ht="15" customHeight="1" x14ac:dyDescent="0.25"/>
    <row r="169" s="79" customFormat="1" ht="15" customHeight="1" x14ac:dyDescent="0.25"/>
    <row r="170" s="79" customFormat="1" ht="15" customHeight="1" x14ac:dyDescent="0.25"/>
    <row r="171" s="79" customFormat="1" ht="15" customHeight="1" x14ac:dyDescent="0.25"/>
    <row r="172" s="79" customFormat="1" ht="15" customHeight="1" x14ac:dyDescent="0.25"/>
    <row r="173" s="79" customFormat="1" ht="15" customHeight="1" x14ac:dyDescent="0.25"/>
    <row r="174" s="79" customFormat="1" ht="15" customHeight="1" x14ac:dyDescent="0.25"/>
    <row r="175" s="79" customFormat="1" ht="15" customHeight="1" x14ac:dyDescent="0.25"/>
    <row r="176" s="79" customFormat="1" ht="15" customHeight="1" x14ac:dyDescent="0.25"/>
    <row r="177" s="79" customFormat="1" ht="15" customHeight="1" x14ac:dyDescent="0.25"/>
    <row r="178" s="79" customFormat="1" ht="15" customHeight="1" x14ac:dyDescent="0.25"/>
    <row r="179" s="79" customFormat="1" ht="15" customHeight="1" x14ac:dyDescent="0.25"/>
    <row r="180" s="79" customFormat="1" ht="15" customHeight="1" x14ac:dyDescent="0.25"/>
    <row r="181" s="79" customFormat="1" ht="15" customHeight="1" x14ac:dyDescent="0.25"/>
    <row r="182" s="79" customFormat="1" ht="15" customHeight="1" x14ac:dyDescent="0.25"/>
    <row r="183" s="79" customFormat="1" ht="15" customHeight="1" x14ac:dyDescent="0.25"/>
    <row r="184" s="79" customFormat="1" ht="15" customHeight="1" x14ac:dyDescent="0.25"/>
    <row r="185" s="79" customFormat="1" ht="15" customHeight="1" x14ac:dyDescent="0.25"/>
    <row r="186" s="79" customFormat="1" ht="15" customHeight="1" x14ac:dyDescent="0.25"/>
    <row r="187" s="79" customFormat="1" ht="15" customHeight="1" x14ac:dyDescent="0.25"/>
    <row r="188" s="79" customFormat="1" ht="15" customHeight="1" x14ac:dyDescent="0.25"/>
    <row r="189" s="79" customFormat="1" ht="15" customHeight="1" x14ac:dyDescent="0.25"/>
    <row r="190" s="79" customFormat="1" ht="15" customHeight="1" x14ac:dyDescent="0.25"/>
    <row r="191" s="79" customFormat="1" ht="15" customHeight="1" x14ac:dyDescent="0.25"/>
    <row r="192" s="79" customFormat="1" ht="15" customHeight="1" x14ac:dyDescent="0.25"/>
    <row r="193" s="79" customFormat="1" ht="15" customHeight="1" x14ac:dyDescent="0.25"/>
    <row r="194" s="79" customFormat="1" ht="15" customHeight="1" x14ac:dyDescent="0.25"/>
    <row r="195" s="79" customFormat="1" ht="15" customHeight="1" x14ac:dyDescent="0.25"/>
    <row r="196" s="79" customFormat="1" ht="15" customHeight="1" x14ac:dyDescent="0.25"/>
    <row r="197" s="79" customFormat="1" ht="15" customHeight="1" x14ac:dyDescent="0.25"/>
    <row r="198" s="79" customFormat="1" ht="15" customHeight="1" x14ac:dyDescent="0.25"/>
    <row r="199" s="79" customFormat="1" ht="15" customHeight="1" x14ac:dyDescent="0.25"/>
    <row r="200" s="79" customFormat="1" ht="15" customHeight="1" x14ac:dyDescent="0.25"/>
    <row r="201" s="79" customFormat="1" ht="15" customHeight="1" x14ac:dyDescent="0.25"/>
    <row r="202" s="79" customFormat="1" ht="15" customHeight="1" x14ac:dyDescent="0.25"/>
    <row r="203" s="79" customFormat="1" ht="15" customHeight="1" x14ac:dyDescent="0.25"/>
    <row r="204" s="79" customFormat="1" ht="15" customHeight="1" x14ac:dyDescent="0.25"/>
    <row r="205" s="79" customFormat="1" ht="15" customHeight="1" x14ac:dyDescent="0.25"/>
    <row r="206" s="79" customFormat="1" ht="15" customHeight="1" x14ac:dyDescent="0.25"/>
    <row r="207" s="79" customFormat="1" ht="15" customHeight="1" x14ac:dyDescent="0.25"/>
    <row r="208" s="79" customFormat="1" ht="15" customHeight="1" x14ac:dyDescent="0.25"/>
    <row r="209" s="79" customFormat="1" ht="15" customHeight="1" x14ac:dyDescent="0.25"/>
    <row r="210" s="79" customFormat="1" ht="15" customHeight="1" x14ac:dyDescent="0.25"/>
    <row r="211" s="79" customFormat="1" ht="15" customHeight="1" x14ac:dyDescent="0.25"/>
    <row r="212" s="79" customFormat="1" ht="15" customHeight="1" x14ac:dyDescent="0.25"/>
    <row r="213" s="79" customFormat="1" ht="15" customHeight="1" x14ac:dyDescent="0.25"/>
    <row r="214" s="79" customFormat="1" ht="15" customHeight="1" x14ac:dyDescent="0.25"/>
    <row r="215" s="79" customFormat="1" ht="15" customHeight="1" x14ac:dyDescent="0.25"/>
    <row r="216" s="79" customFormat="1" ht="15" customHeight="1" x14ac:dyDescent="0.25"/>
    <row r="217" s="79" customFormat="1" ht="15" customHeight="1" x14ac:dyDescent="0.25"/>
    <row r="218" s="79" customFormat="1" ht="15" customHeight="1" x14ac:dyDescent="0.25"/>
    <row r="219" s="79" customFormat="1" ht="15" customHeight="1" x14ac:dyDescent="0.25"/>
    <row r="220" s="79" customFormat="1" ht="15" customHeight="1" x14ac:dyDescent="0.25"/>
    <row r="221" s="79" customFormat="1" ht="15" customHeight="1" x14ac:dyDescent="0.25"/>
    <row r="222" s="79" customFormat="1" ht="15" customHeight="1" x14ac:dyDescent="0.25"/>
    <row r="223" s="79" customFormat="1" ht="15" customHeight="1" x14ac:dyDescent="0.25"/>
    <row r="224" s="79" customFormat="1" ht="15" customHeight="1" x14ac:dyDescent="0.25"/>
    <row r="225" s="79" customFormat="1" ht="15" customHeight="1" x14ac:dyDescent="0.25"/>
    <row r="226" s="79" customFormat="1" ht="15" customHeight="1" x14ac:dyDescent="0.25"/>
    <row r="227" s="79" customFormat="1" ht="15" customHeight="1" x14ac:dyDescent="0.25"/>
    <row r="228" s="79" customFormat="1" ht="15" customHeight="1" x14ac:dyDescent="0.25"/>
    <row r="229" s="79" customFormat="1" ht="15" customHeight="1" x14ac:dyDescent="0.25"/>
    <row r="230" s="79" customFormat="1" ht="15" customHeight="1" x14ac:dyDescent="0.25"/>
    <row r="231" s="79" customFormat="1" ht="15" customHeight="1" x14ac:dyDescent="0.25"/>
    <row r="232" s="79" customFormat="1" ht="15" customHeight="1" x14ac:dyDescent="0.25"/>
    <row r="233" s="79" customFormat="1" ht="15" customHeight="1" x14ac:dyDescent="0.25"/>
    <row r="234" s="79" customFormat="1" ht="15" customHeight="1" x14ac:dyDescent="0.25"/>
    <row r="235" s="79" customFormat="1" ht="15" customHeight="1" x14ac:dyDescent="0.25"/>
    <row r="236" s="79" customFormat="1" ht="15" customHeight="1" x14ac:dyDescent="0.25"/>
    <row r="237" s="79" customFormat="1" ht="15" customHeight="1" x14ac:dyDescent="0.25"/>
    <row r="238" s="79" customFormat="1" ht="15" customHeight="1" x14ac:dyDescent="0.25"/>
    <row r="239" s="79" customFormat="1" ht="15" customHeight="1" x14ac:dyDescent="0.25"/>
    <row r="240" s="79" customFormat="1" ht="15" customHeight="1" x14ac:dyDescent="0.25"/>
    <row r="241" s="79" customFormat="1" ht="15" customHeight="1" x14ac:dyDescent="0.25"/>
    <row r="242" s="79" customFormat="1" ht="15" customHeight="1" x14ac:dyDescent="0.25"/>
    <row r="243" s="79" customFormat="1" ht="15" customHeight="1" x14ac:dyDescent="0.25"/>
    <row r="244" s="79" customFormat="1" ht="15" customHeight="1" x14ac:dyDescent="0.25"/>
    <row r="245" s="79" customFormat="1" ht="15" customHeight="1" x14ac:dyDescent="0.25"/>
    <row r="246" s="79" customFormat="1" ht="15" customHeight="1" x14ac:dyDescent="0.25"/>
    <row r="247" s="79" customFormat="1" ht="15" customHeight="1" x14ac:dyDescent="0.25"/>
    <row r="248" s="79" customFormat="1" ht="15" customHeight="1" x14ac:dyDescent="0.25"/>
    <row r="249" s="79" customFormat="1" ht="15" customHeight="1" x14ac:dyDescent="0.25"/>
    <row r="250" s="79" customFormat="1" ht="15" customHeight="1" x14ac:dyDescent="0.25"/>
    <row r="251" s="79" customFormat="1" ht="15" customHeight="1" x14ac:dyDescent="0.25"/>
    <row r="252" s="79" customFormat="1" ht="15" customHeight="1" x14ac:dyDescent="0.25"/>
    <row r="253" s="79" customFormat="1" ht="15" customHeight="1" x14ac:dyDescent="0.25"/>
    <row r="254" s="79" customFormat="1" ht="15" customHeight="1" x14ac:dyDescent="0.25"/>
    <row r="255" s="79" customFormat="1" ht="15" customHeight="1" x14ac:dyDescent="0.25"/>
    <row r="256" s="79" customFormat="1" ht="15" customHeight="1" x14ac:dyDescent="0.25"/>
    <row r="257" s="79" customFormat="1" ht="15" customHeight="1" x14ac:dyDescent="0.25"/>
    <row r="258" s="79" customFormat="1" ht="15" customHeight="1" x14ac:dyDescent="0.25"/>
    <row r="259" s="79" customFormat="1" ht="15" customHeight="1" x14ac:dyDescent="0.25"/>
    <row r="260" s="79" customFormat="1" ht="15" customHeight="1" x14ac:dyDescent="0.25"/>
    <row r="261" s="79" customFormat="1" ht="15" customHeight="1" x14ac:dyDescent="0.25"/>
    <row r="262" s="79" customFormat="1" ht="15" customHeight="1" x14ac:dyDescent="0.25"/>
    <row r="263" s="79" customFormat="1" ht="15" customHeight="1" x14ac:dyDescent="0.25"/>
    <row r="264" s="79" customFormat="1" ht="15" customHeight="1" x14ac:dyDescent="0.25"/>
    <row r="265" s="79" customFormat="1" ht="15" customHeight="1" x14ac:dyDescent="0.25"/>
    <row r="266" s="79" customFormat="1" ht="15" customHeight="1" x14ac:dyDescent="0.25"/>
    <row r="267" s="79" customFormat="1" ht="15" customHeight="1" x14ac:dyDescent="0.25"/>
    <row r="268" s="79" customFormat="1" ht="15" customHeight="1" x14ac:dyDescent="0.25"/>
    <row r="269" s="79" customFormat="1" ht="15" customHeight="1" x14ac:dyDescent="0.25"/>
    <row r="270" s="79" customFormat="1" ht="15" customHeight="1" x14ac:dyDescent="0.25"/>
    <row r="271" s="79" customFormat="1" ht="15" customHeight="1" x14ac:dyDescent="0.25"/>
    <row r="272" s="79" customFormat="1" ht="15" customHeight="1" x14ac:dyDescent="0.25"/>
    <row r="273" s="79" customFormat="1" ht="15" customHeight="1" x14ac:dyDescent="0.25"/>
    <row r="274" s="79" customFormat="1" ht="15" customHeight="1" x14ac:dyDescent="0.25"/>
    <row r="275" s="79" customFormat="1" ht="15" customHeight="1" x14ac:dyDescent="0.25"/>
    <row r="276" s="79" customFormat="1" ht="15" customHeight="1" x14ac:dyDescent="0.25"/>
    <row r="277" s="79" customFormat="1" ht="15" customHeight="1" x14ac:dyDescent="0.25"/>
    <row r="278" s="79" customFormat="1" ht="15" customHeight="1" x14ac:dyDescent="0.25"/>
    <row r="279" s="79" customFormat="1" ht="15" customHeight="1" x14ac:dyDescent="0.25"/>
    <row r="280" s="79" customFormat="1" ht="15" customHeight="1" x14ac:dyDescent="0.25"/>
    <row r="281" s="79" customFormat="1" ht="15" customHeight="1" x14ac:dyDescent="0.25"/>
    <row r="282" s="79" customFormat="1" ht="15" customHeight="1" x14ac:dyDescent="0.25"/>
    <row r="283" s="79" customFormat="1" ht="15" customHeight="1" x14ac:dyDescent="0.25"/>
    <row r="284" s="79" customFormat="1" ht="15" customHeight="1" x14ac:dyDescent="0.25"/>
    <row r="285" s="79" customFormat="1" ht="15" customHeight="1" x14ac:dyDescent="0.25"/>
    <row r="286" s="79" customFormat="1" ht="15" customHeight="1" x14ac:dyDescent="0.25"/>
    <row r="287" s="79" customFormat="1" ht="15" customHeight="1" x14ac:dyDescent="0.25"/>
    <row r="288" s="79" customFormat="1" ht="15" customHeight="1" x14ac:dyDescent="0.25"/>
    <row r="289" s="79" customFormat="1" ht="15" customHeight="1" x14ac:dyDescent="0.25"/>
    <row r="290" s="79" customFormat="1" ht="15" customHeight="1" x14ac:dyDescent="0.25"/>
    <row r="291" s="79" customFormat="1" ht="15" customHeight="1" x14ac:dyDescent="0.25"/>
    <row r="292" s="79" customFormat="1" ht="15" customHeight="1" x14ac:dyDescent="0.25"/>
    <row r="293" s="79" customFormat="1" ht="15" customHeight="1" x14ac:dyDescent="0.25"/>
    <row r="294" s="79" customFormat="1" ht="15" customHeight="1" x14ac:dyDescent="0.25"/>
    <row r="295" s="79" customFormat="1" ht="15" customHeight="1" x14ac:dyDescent="0.25"/>
    <row r="296" s="79" customFormat="1" ht="15" customHeight="1" x14ac:dyDescent="0.25"/>
    <row r="297" s="79" customFormat="1" ht="15" customHeight="1" x14ac:dyDescent="0.25"/>
    <row r="298" s="79" customFormat="1" ht="15" customHeight="1" x14ac:dyDescent="0.25"/>
    <row r="299" s="79" customFormat="1" ht="15" customHeight="1" x14ac:dyDescent="0.25"/>
    <row r="300" s="79" customFormat="1" ht="15" customHeight="1" x14ac:dyDescent="0.25"/>
    <row r="301" s="79" customFormat="1" ht="15" customHeight="1" x14ac:dyDescent="0.25"/>
    <row r="302" s="79" customFormat="1" ht="15" customHeight="1" x14ac:dyDescent="0.25"/>
    <row r="303" s="79" customFormat="1" ht="15" customHeight="1" x14ac:dyDescent="0.25"/>
    <row r="304" s="79" customFormat="1" ht="15" customHeight="1" x14ac:dyDescent="0.25"/>
    <row r="305" s="79" customFormat="1" ht="15" customHeight="1" x14ac:dyDescent="0.25"/>
    <row r="306" s="79" customFormat="1" ht="15" customHeight="1" x14ac:dyDescent="0.25"/>
    <row r="307" s="79" customFormat="1" ht="15" customHeight="1" x14ac:dyDescent="0.25"/>
    <row r="308" s="79" customFormat="1" ht="15" customHeight="1" x14ac:dyDescent="0.25"/>
    <row r="309" s="79" customFormat="1" ht="15" customHeight="1" x14ac:dyDescent="0.25"/>
    <row r="310" s="79" customFormat="1" ht="15" customHeight="1" x14ac:dyDescent="0.25"/>
    <row r="311" s="79" customFormat="1" ht="15" customHeight="1" x14ac:dyDescent="0.25"/>
    <row r="312" s="79" customFormat="1" ht="15" customHeight="1" x14ac:dyDescent="0.25"/>
    <row r="313" s="79" customFormat="1" ht="15" customHeight="1" x14ac:dyDescent="0.25"/>
    <row r="314" s="79" customFormat="1" ht="15" customHeight="1" x14ac:dyDescent="0.25"/>
    <row r="315" s="79" customFormat="1" ht="15" customHeight="1" x14ac:dyDescent="0.25"/>
    <row r="316" s="79" customFormat="1" ht="15" customHeight="1" x14ac:dyDescent="0.25"/>
    <row r="317" s="79" customFormat="1" ht="15" customHeight="1" x14ac:dyDescent="0.25"/>
    <row r="318" s="79" customFormat="1" ht="15" customHeight="1" x14ac:dyDescent="0.25"/>
    <row r="319" s="79" customFormat="1" ht="15" customHeight="1" x14ac:dyDescent="0.25"/>
    <row r="320" s="79" customFormat="1" ht="15" customHeight="1" x14ac:dyDescent="0.25"/>
    <row r="321" s="79" customFormat="1" ht="15" customHeight="1" x14ac:dyDescent="0.25"/>
    <row r="322" s="79" customFormat="1" ht="15" customHeight="1" x14ac:dyDescent="0.25"/>
    <row r="323" s="79" customFormat="1" ht="15" customHeight="1" x14ac:dyDescent="0.25"/>
    <row r="324" s="79" customFormat="1" ht="15" customHeight="1" x14ac:dyDescent="0.25"/>
    <row r="325" s="79" customFormat="1" ht="15" customHeight="1" x14ac:dyDescent="0.25"/>
    <row r="326" s="79" customFormat="1" ht="15" customHeight="1" x14ac:dyDescent="0.25"/>
    <row r="327" s="79" customFormat="1" ht="15" customHeight="1" x14ac:dyDescent="0.25"/>
    <row r="328" s="79" customFormat="1" ht="15" customHeight="1" x14ac:dyDescent="0.25"/>
    <row r="329" s="79" customFormat="1" ht="15" customHeight="1" x14ac:dyDescent="0.25"/>
    <row r="330" s="79" customFormat="1" ht="15" customHeight="1" x14ac:dyDescent="0.25"/>
    <row r="331" s="79" customFormat="1" ht="15" customHeight="1" x14ac:dyDescent="0.25"/>
    <row r="332" s="79" customFormat="1" ht="15" customHeight="1" x14ac:dyDescent="0.25"/>
    <row r="333" s="79" customFormat="1" ht="15" customHeight="1" x14ac:dyDescent="0.25"/>
    <row r="334" s="79" customFormat="1" ht="15" customHeight="1" x14ac:dyDescent="0.25"/>
    <row r="335" s="79" customFormat="1" ht="15" customHeight="1" x14ac:dyDescent="0.25"/>
    <row r="336" s="79" customFormat="1" ht="15" customHeight="1" x14ac:dyDescent="0.25"/>
    <row r="337" s="79" customFormat="1" ht="15" customHeight="1" x14ac:dyDescent="0.25"/>
    <row r="338" s="79" customFormat="1" ht="15" customHeight="1" x14ac:dyDescent="0.25"/>
    <row r="339" s="79" customFormat="1" ht="15" customHeight="1" x14ac:dyDescent="0.25"/>
    <row r="340" s="79" customFormat="1" ht="15" customHeight="1" x14ac:dyDescent="0.25"/>
    <row r="341" s="79" customFormat="1" ht="15" customHeight="1" x14ac:dyDescent="0.25"/>
    <row r="342" s="79" customFormat="1" ht="15" customHeight="1" x14ac:dyDescent="0.25"/>
    <row r="343" s="79" customFormat="1" ht="15" customHeight="1" x14ac:dyDescent="0.25"/>
    <row r="344" s="79" customFormat="1" ht="15" customHeight="1" x14ac:dyDescent="0.25"/>
    <row r="345" s="79" customFormat="1" ht="15" customHeight="1" x14ac:dyDescent="0.25"/>
    <row r="346" s="79" customFormat="1" ht="15" customHeight="1" x14ac:dyDescent="0.25"/>
    <row r="347" s="79" customFormat="1" ht="15" customHeight="1" x14ac:dyDescent="0.25"/>
    <row r="348" s="79" customFormat="1" ht="15" customHeight="1" x14ac:dyDescent="0.25"/>
    <row r="349" s="79" customFormat="1" ht="15" customHeight="1" x14ac:dyDescent="0.25"/>
    <row r="350" s="79" customFormat="1" ht="15" customHeight="1" x14ac:dyDescent="0.25"/>
    <row r="351" s="79" customFormat="1" ht="15" customHeight="1" x14ac:dyDescent="0.25"/>
    <row r="352" s="79" customFormat="1" ht="15" customHeight="1" x14ac:dyDescent="0.25"/>
    <row r="353" s="79" customFormat="1" ht="15" customHeight="1" x14ac:dyDescent="0.25"/>
    <row r="354" s="79" customFormat="1" ht="15" customHeight="1" x14ac:dyDescent="0.25"/>
    <row r="355" s="79" customFormat="1" ht="15" customHeight="1" x14ac:dyDescent="0.25"/>
    <row r="356" s="79" customFormat="1" ht="15" customHeight="1" x14ac:dyDescent="0.25"/>
    <row r="357" s="79" customFormat="1" ht="15" customHeight="1" x14ac:dyDescent="0.25"/>
    <row r="358" s="79" customFormat="1" ht="15" customHeight="1" x14ac:dyDescent="0.25"/>
    <row r="359" s="79" customFormat="1" ht="15" customHeight="1" x14ac:dyDescent="0.25"/>
    <row r="360" s="79" customFormat="1" ht="15" customHeight="1" x14ac:dyDescent="0.25"/>
    <row r="361" s="79" customFormat="1" ht="15" customHeight="1" x14ac:dyDescent="0.25"/>
    <row r="362" s="79" customFormat="1" ht="15" customHeight="1" x14ac:dyDescent="0.25"/>
    <row r="363" s="79" customFormat="1" ht="15" customHeight="1" x14ac:dyDescent="0.25"/>
    <row r="364" s="79" customFormat="1" ht="15" customHeight="1" x14ac:dyDescent="0.25"/>
    <row r="365" s="79" customFormat="1" ht="15" customHeight="1" x14ac:dyDescent="0.25"/>
    <row r="366" s="79" customFormat="1" ht="15" customHeight="1" x14ac:dyDescent="0.25"/>
    <row r="367" s="79" customFormat="1" ht="15" customHeight="1" x14ac:dyDescent="0.25"/>
    <row r="368" s="79" customFormat="1" ht="15" customHeight="1" x14ac:dyDescent="0.25"/>
    <row r="369" s="79" customFormat="1" ht="15" customHeight="1" x14ac:dyDescent="0.25"/>
    <row r="370" s="79" customFormat="1" ht="15" customHeight="1" x14ac:dyDescent="0.25"/>
    <row r="371" s="79" customFormat="1" ht="15" customHeight="1" x14ac:dyDescent="0.25"/>
    <row r="372" s="79" customFormat="1" ht="15" customHeight="1" x14ac:dyDescent="0.25"/>
    <row r="373" s="79" customFormat="1" ht="15" customHeight="1" x14ac:dyDescent="0.25"/>
    <row r="374" s="79" customFormat="1" ht="15" customHeight="1" x14ac:dyDescent="0.25"/>
    <row r="375" s="79" customFormat="1" ht="15" customHeight="1" x14ac:dyDescent="0.25"/>
    <row r="376" s="79" customFormat="1" ht="15" customHeight="1" x14ac:dyDescent="0.25"/>
    <row r="377" s="79" customFormat="1" ht="15" customHeight="1" x14ac:dyDescent="0.25"/>
    <row r="378" s="79" customFormat="1" ht="15" customHeight="1" x14ac:dyDescent="0.25"/>
    <row r="379" s="79" customFormat="1" ht="15" customHeight="1" x14ac:dyDescent="0.25"/>
    <row r="380" s="79" customFormat="1" ht="15" customHeight="1" x14ac:dyDescent="0.25"/>
    <row r="381" s="79" customFormat="1" ht="15" customHeight="1" x14ac:dyDescent="0.25"/>
    <row r="382" s="79" customFormat="1" ht="15" customHeight="1" x14ac:dyDescent="0.25"/>
    <row r="383" s="79" customFormat="1" ht="15" customHeight="1" x14ac:dyDescent="0.25"/>
    <row r="384" s="79" customFormat="1" ht="15" customHeight="1" x14ac:dyDescent="0.25"/>
    <row r="385" s="79" customFormat="1" ht="15" customHeight="1" x14ac:dyDescent="0.25"/>
    <row r="386" s="79" customFormat="1" ht="15" customHeight="1" x14ac:dyDescent="0.25"/>
    <row r="387" s="79" customFormat="1" ht="15" customHeight="1" x14ac:dyDescent="0.25"/>
    <row r="388" s="79" customFormat="1" ht="15" customHeight="1" x14ac:dyDescent="0.25"/>
    <row r="389" s="79" customFormat="1" ht="15" customHeight="1" x14ac:dyDescent="0.25"/>
    <row r="390" s="79" customFormat="1" ht="15" customHeight="1" x14ac:dyDescent="0.25"/>
    <row r="391" s="79" customFormat="1" ht="15" customHeight="1" x14ac:dyDescent="0.25"/>
    <row r="392" s="79" customFormat="1" ht="15" customHeight="1" x14ac:dyDescent="0.25"/>
    <row r="393" s="79" customFormat="1" ht="15" customHeight="1" x14ac:dyDescent="0.25"/>
    <row r="394" s="79" customFormat="1" ht="15" customHeight="1" x14ac:dyDescent="0.25"/>
    <row r="395" s="79" customFormat="1" ht="15" customHeight="1" x14ac:dyDescent="0.25"/>
    <row r="396" s="79" customFormat="1" ht="15" customHeight="1" x14ac:dyDescent="0.25"/>
    <row r="397" s="79" customFormat="1" ht="15" customHeight="1" x14ac:dyDescent="0.25"/>
    <row r="398" s="79" customFormat="1" ht="15" customHeight="1" x14ac:dyDescent="0.25"/>
    <row r="399" s="79" customFormat="1" ht="15" customHeight="1" x14ac:dyDescent="0.25"/>
    <row r="400" s="79" customFormat="1" ht="15" customHeight="1" x14ac:dyDescent="0.25"/>
    <row r="401" s="79" customFormat="1" ht="15" customHeight="1" x14ac:dyDescent="0.25"/>
    <row r="402" s="79" customFormat="1" ht="15" customHeight="1" x14ac:dyDescent="0.25"/>
    <row r="403" s="79" customFormat="1" ht="15" customHeight="1" x14ac:dyDescent="0.25"/>
    <row r="404" s="79" customFormat="1" ht="15" customHeight="1" x14ac:dyDescent="0.25"/>
    <row r="405" s="79" customFormat="1" ht="15" customHeight="1" x14ac:dyDescent="0.25"/>
    <row r="406" s="79" customFormat="1" ht="15" customHeight="1" x14ac:dyDescent="0.25"/>
    <row r="407" s="79" customFormat="1" ht="15" customHeight="1" x14ac:dyDescent="0.25"/>
    <row r="408" s="79" customFormat="1" ht="15" customHeight="1" x14ac:dyDescent="0.25"/>
    <row r="409" s="79" customFormat="1" ht="15" customHeight="1" x14ac:dyDescent="0.25"/>
    <row r="410" s="79" customFormat="1" ht="15" customHeight="1" x14ac:dyDescent="0.25"/>
    <row r="411" s="79" customFormat="1" ht="15" customHeight="1" x14ac:dyDescent="0.25"/>
    <row r="412" s="79" customFormat="1" ht="15" customHeight="1" x14ac:dyDescent="0.25"/>
    <row r="413" s="79" customFormat="1" ht="15" customHeight="1" x14ac:dyDescent="0.25"/>
    <row r="414" s="79" customFormat="1" ht="15" customHeight="1" x14ac:dyDescent="0.25"/>
    <row r="415" s="79" customFormat="1" ht="15" customHeight="1" x14ac:dyDescent="0.25"/>
    <row r="416" s="79" customFormat="1" ht="15" customHeight="1" x14ac:dyDescent="0.25"/>
    <row r="417" s="79" customFormat="1" ht="15" customHeight="1" x14ac:dyDescent="0.25"/>
    <row r="418" s="79" customFormat="1" ht="15" customHeight="1" x14ac:dyDescent="0.25"/>
    <row r="419" s="79" customFormat="1" ht="15" customHeight="1" x14ac:dyDescent="0.25"/>
    <row r="420" s="79" customFormat="1" ht="15" customHeight="1" x14ac:dyDescent="0.25"/>
    <row r="421" s="79" customFormat="1" ht="15" customHeight="1" x14ac:dyDescent="0.25"/>
    <row r="422" s="79" customFormat="1" ht="15" customHeight="1" x14ac:dyDescent="0.25"/>
    <row r="423" s="79" customFormat="1" ht="15" customHeight="1" x14ac:dyDescent="0.25"/>
    <row r="424" s="79" customFormat="1" ht="15" customHeight="1" x14ac:dyDescent="0.25"/>
    <row r="425" s="79" customFormat="1" ht="15" customHeight="1" x14ac:dyDescent="0.25"/>
    <row r="426" s="79" customFormat="1" ht="15" customHeight="1" x14ac:dyDescent="0.25"/>
    <row r="427" s="79" customFormat="1" ht="15" customHeight="1" x14ac:dyDescent="0.25"/>
    <row r="428" s="79" customFormat="1" ht="15" customHeight="1" x14ac:dyDescent="0.25"/>
    <row r="429" s="79" customFormat="1" ht="15" customHeight="1" x14ac:dyDescent="0.25"/>
    <row r="430" s="79" customFormat="1" ht="15" customHeight="1" x14ac:dyDescent="0.25"/>
    <row r="431" s="79" customFormat="1" ht="15" customHeight="1" x14ac:dyDescent="0.25"/>
    <row r="432" s="79" customFormat="1" ht="15" customHeight="1" x14ac:dyDescent="0.25"/>
    <row r="433" s="79" customFormat="1" ht="15" customHeight="1" x14ac:dyDescent="0.25"/>
    <row r="434" s="79" customFormat="1" ht="15" customHeight="1" x14ac:dyDescent="0.25"/>
    <row r="435" s="79" customFormat="1" ht="15" customHeight="1" x14ac:dyDescent="0.25"/>
    <row r="436" s="79" customFormat="1" ht="15" customHeight="1" x14ac:dyDescent="0.25"/>
    <row r="437" s="79" customFormat="1" ht="15" customHeight="1" x14ac:dyDescent="0.25"/>
    <row r="438" s="79" customFormat="1" ht="15" customHeight="1" x14ac:dyDescent="0.25"/>
    <row r="439" s="79" customFormat="1" ht="15" customHeight="1" x14ac:dyDescent="0.25"/>
    <row r="440" s="79" customFormat="1" ht="15" customHeight="1" x14ac:dyDescent="0.25"/>
    <row r="441" s="79" customFormat="1" ht="15" customHeight="1" x14ac:dyDescent="0.25"/>
    <row r="442" s="79" customFormat="1" ht="15" customHeight="1" x14ac:dyDescent="0.25"/>
    <row r="443" s="79" customFormat="1" ht="15" customHeight="1" x14ac:dyDescent="0.25"/>
    <row r="444" s="79" customFormat="1" ht="15" customHeight="1" x14ac:dyDescent="0.25"/>
    <row r="445" s="79" customFormat="1" ht="15" customHeight="1" x14ac:dyDescent="0.25"/>
    <row r="446" s="79" customFormat="1" ht="15" customHeight="1" x14ac:dyDescent="0.25"/>
    <row r="447" s="79" customFormat="1" ht="15" customHeight="1" x14ac:dyDescent="0.25"/>
    <row r="448" s="79" customFormat="1" ht="15" customHeight="1" x14ac:dyDescent="0.25"/>
    <row r="449" s="79" customFormat="1" ht="15" customHeight="1" x14ac:dyDescent="0.25"/>
    <row r="450" s="79" customFormat="1" ht="15" customHeight="1" x14ac:dyDescent="0.25"/>
    <row r="451" s="79" customFormat="1" ht="15" customHeight="1" x14ac:dyDescent="0.25"/>
    <row r="452" s="79" customFormat="1" ht="15" customHeight="1" x14ac:dyDescent="0.25"/>
    <row r="453" s="79" customFormat="1" ht="15" customHeight="1" x14ac:dyDescent="0.25"/>
    <row r="454" s="79" customFormat="1" ht="15" customHeight="1" x14ac:dyDescent="0.25"/>
    <row r="455" s="79" customFormat="1" ht="15" customHeight="1" x14ac:dyDescent="0.25"/>
    <row r="456" s="79" customFormat="1" ht="15" customHeight="1" x14ac:dyDescent="0.25"/>
    <row r="457" s="79" customFormat="1" ht="15" customHeight="1" x14ac:dyDescent="0.25"/>
    <row r="458" s="79" customFormat="1" ht="15" customHeight="1" x14ac:dyDescent="0.25"/>
    <row r="459" s="79" customFormat="1" ht="15" customHeight="1" x14ac:dyDescent="0.25"/>
    <row r="460" s="79" customFormat="1" ht="15" customHeight="1" x14ac:dyDescent="0.25"/>
    <row r="461" s="79" customFormat="1" ht="15" customHeight="1" x14ac:dyDescent="0.25"/>
    <row r="462" s="79" customFormat="1" ht="15" customHeight="1" x14ac:dyDescent="0.25"/>
    <row r="463" s="79" customFormat="1" ht="15" customHeight="1" x14ac:dyDescent="0.25"/>
    <row r="464" s="79" customFormat="1" ht="15" customHeight="1" x14ac:dyDescent="0.25"/>
    <row r="465" s="79" customFormat="1" ht="15" customHeight="1" x14ac:dyDescent="0.25"/>
    <row r="466" s="79" customFormat="1" ht="15" customHeight="1" x14ac:dyDescent="0.25"/>
    <row r="467" s="79" customFormat="1" ht="15" customHeight="1" x14ac:dyDescent="0.25"/>
    <row r="468" s="79" customFormat="1" ht="15" customHeight="1" x14ac:dyDescent="0.25"/>
    <row r="469" s="79" customFormat="1" ht="15" customHeight="1" x14ac:dyDescent="0.25"/>
    <row r="470" s="79" customFormat="1" ht="15" customHeight="1" x14ac:dyDescent="0.25"/>
    <row r="471" s="79" customFormat="1" ht="15" customHeight="1" x14ac:dyDescent="0.25"/>
    <row r="472" s="79" customFormat="1" ht="15" customHeight="1" x14ac:dyDescent="0.25"/>
    <row r="473" s="79" customFormat="1" ht="15" customHeight="1" x14ac:dyDescent="0.25"/>
    <row r="474" s="79" customFormat="1" ht="15" customHeight="1" x14ac:dyDescent="0.25"/>
    <row r="475" s="79" customFormat="1" ht="15" customHeight="1" x14ac:dyDescent="0.25"/>
    <row r="476" s="79" customFormat="1" ht="15" customHeight="1" x14ac:dyDescent="0.25"/>
    <row r="477" s="79" customFormat="1" ht="15" customHeight="1" x14ac:dyDescent="0.25"/>
    <row r="478" s="79" customFormat="1" ht="15" customHeight="1" x14ac:dyDescent="0.25"/>
    <row r="479" s="79" customFormat="1" ht="15" customHeight="1" x14ac:dyDescent="0.25"/>
    <row r="480" s="79" customFormat="1" ht="15" customHeight="1" x14ac:dyDescent="0.25"/>
    <row r="481" s="79" customFormat="1" ht="15" customHeight="1" x14ac:dyDescent="0.25"/>
    <row r="482" s="79" customFormat="1" ht="15" customHeight="1" x14ac:dyDescent="0.25"/>
    <row r="483" s="79" customFormat="1" ht="15" customHeight="1" x14ac:dyDescent="0.25"/>
    <row r="484" s="79" customFormat="1" ht="15" customHeight="1" x14ac:dyDescent="0.25"/>
    <row r="485" s="79" customFormat="1" ht="15" customHeight="1" x14ac:dyDescent="0.25"/>
    <row r="486" s="79" customFormat="1" ht="15" customHeight="1" x14ac:dyDescent="0.25"/>
    <row r="487" s="79" customFormat="1" ht="15" customHeight="1" x14ac:dyDescent="0.25"/>
    <row r="488" s="79" customFormat="1" ht="15" customHeight="1" x14ac:dyDescent="0.25"/>
    <row r="489" s="79" customFormat="1" ht="15" customHeight="1" x14ac:dyDescent="0.25"/>
    <row r="490" s="79" customFormat="1" ht="15" customHeight="1" x14ac:dyDescent="0.25"/>
    <row r="491" s="79" customFormat="1" ht="15" customHeight="1" x14ac:dyDescent="0.25"/>
    <row r="492" s="79" customFormat="1" ht="15" customHeight="1" x14ac:dyDescent="0.25"/>
    <row r="493" s="79" customFormat="1" ht="15" customHeight="1" x14ac:dyDescent="0.25"/>
    <row r="494" s="79" customFormat="1" ht="15" customHeight="1" x14ac:dyDescent="0.25"/>
    <row r="495" s="79" customFormat="1" ht="15" customHeight="1" x14ac:dyDescent="0.25"/>
    <row r="496" s="79" customFormat="1" ht="15" customHeight="1" x14ac:dyDescent="0.25"/>
    <row r="497" s="79" customFormat="1" ht="15" customHeight="1" x14ac:dyDescent="0.25"/>
    <row r="498" s="79" customFormat="1" ht="15" customHeight="1" x14ac:dyDescent="0.25"/>
    <row r="499" s="79" customFormat="1" ht="15" customHeight="1" x14ac:dyDescent="0.25"/>
    <row r="500" s="79" customFormat="1" ht="15" customHeight="1" x14ac:dyDescent="0.25"/>
    <row r="501" s="79" customFormat="1" ht="15" customHeight="1" x14ac:dyDescent="0.25"/>
    <row r="502" s="79" customFormat="1" ht="15" customHeight="1" x14ac:dyDescent="0.25"/>
    <row r="503" s="79" customFormat="1" ht="15" customHeight="1" x14ac:dyDescent="0.25"/>
    <row r="504" s="79" customFormat="1" ht="15" customHeight="1" x14ac:dyDescent="0.25"/>
    <row r="505" s="79" customFormat="1" ht="15" customHeight="1" x14ac:dyDescent="0.25"/>
    <row r="506" s="79" customFormat="1" ht="15" customHeight="1" x14ac:dyDescent="0.25"/>
    <row r="507" s="79" customFormat="1" ht="15" customHeight="1" x14ac:dyDescent="0.25"/>
    <row r="508" s="79" customFormat="1" ht="15" customHeight="1" x14ac:dyDescent="0.25"/>
    <row r="509" s="79" customFormat="1" ht="15" customHeight="1" x14ac:dyDescent="0.25"/>
    <row r="510" s="79" customFormat="1" ht="15" customHeight="1" x14ac:dyDescent="0.25"/>
    <row r="511" s="79" customFormat="1" ht="15" customHeight="1" x14ac:dyDescent="0.25"/>
    <row r="512" s="79" customFormat="1" ht="15" customHeight="1" x14ac:dyDescent="0.25"/>
    <row r="513" s="79" customFormat="1" ht="15" customHeight="1" x14ac:dyDescent="0.25"/>
    <row r="514" s="79" customFormat="1" ht="15" customHeight="1" x14ac:dyDescent="0.25"/>
    <row r="515" s="79" customFormat="1" ht="15" customHeight="1" x14ac:dyDescent="0.25"/>
    <row r="516" s="79" customFormat="1" ht="15" customHeight="1" x14ac:dyDescent="0.25"/>
    <row r="517" s="79" customFormat="1" ht="15" customHeight="1" x14ac:dyDescent="0.25"/>
    <row r="518" s="79" customFormat="1" ht="15" customHeight="1" x14ac:dyDescent="0.25"/>
    <row r="519" s="79" customFormat="1" ht="15" customHeight="1" x14ac:dyDescent="0.25"/>
    <row r="520" s="79" customFormat="1" ht="15" customHeight="1" x14ac:dyDescent="0.25"/>
    <row r="521" s="79" customFormat="1" ht="15" customHeight="1" x14ac:dyDescent="0.25"/>
    <row r="522" s="79" customFormat="1" ht="15" customHeight="1" x14ac:dyDescent="0.25"/>
    <row r="523" s="79" customFormat="1" ht="15" customHeight="1" x14ac:dyDescent="0.25"/>
    <row r="524" s="79" customFormat="1" ht="15" customHeight="1" x14ac:dyDescent="0.25"/>
    <row r="525" s="79" customFormat="1" ht="15" customHeight="1" x14ac:dyDescent="0.25"/>
    <row r="526" s="79" customFormat="1" ht="15" customHeight="1" x14ac:dyDescent="0.25"/>
    <row r="527" s="79" customFormat="1" ht="15" customHeight="1" x14ac:dyDescent="0.25"/>
    <row r="528" s="79" customFormat="1" ht="15" customHeight="1" x14ac:dyDescent="0.25"/>
    <row r="529" s="79" customFormat="1" ht="15" customHeight="1" x14ac:dyDescent="0.25"/>
    <row r="530" s="79" customFormat="1" ht="15" customHeight="1" x14ac:dyDescent="0.25"/>
    <row r="531" s="79" customFormat="1" ht="15" customHeight="1" x14ac:dyDescent="0.25"/>
    <row r="532" s="79" customFormat="1" ht="15" customHeight="1" x14ac:dyDescent="0.25"/>
    <row r="533" s="79" customFormat="1" ht="15" customHeight="1" x14ac:dyDescent="0.25"/>
    <row r="534" s="79" customFormat="1" ht="15" customHeight="1" x14ac:dyDescent="0.25"/>
    <row r="535" s="79" customFormat="1" ht="15" customHeight="1" x14ac:dyDescent="0.25"/>
    <row r="536" s="79" customFormat="1" ht="15" customHeight="1" x14ac:dyDescent="0.25"/>
    <row r="537" s="79" customFormat="1" ht="15" customHeight="1" x14ac:dyDescent="0.25"/>
    <row r="538" s="79" customFormat="1" ht="15" customHeight="1" x14ac:dyDescent="0.25"/>
    <row r="539" s="79" customFormat="1" ht="15" customHeight="1" x14ac:dyDescent="0.25"/>
    <row r="540" s="79" customFormat="1" ht="15" customHeight="1" x14ac:dyDescent="0.25"/>
    <row r="541" s="79" customFormat="1" ht="15" customHeight="1" x14ac:dyDescent="0.25"/>
    <row r="542" s="79" customFormat="1" ht="15" customHeight="1" x14ac:dyDescent="0.25"/>
    <row r="543" s="79" customFormat="1" ht="15" customHeight="1" x14ac:dyDescent="0.25"/>
    <row r="544" s="79" customFormat="1" ht="15" customHeight="1" x14ac:dyDescent="0.25"/>
    <row r="545" s="79" customFormat="1" ht="15" customHeight="1" x14ac:dyDescent="0.25"/>
    <row r="546" s="79" customFormat="1" ht="15" customHeight="1" x14ac:dyDescent="0.25"/>
    <row r="547" s="79" customFormat="1" ht="15" customHeight="1" x14ac:dyDescent="0.25"/>
    <row r="548" s="79" customFormat="1" ht="15" customHeight="1" x14ac:dyDescent="0.25"/>
    <row r="549" s="79" customFormat="1" ht="15" customHeight="1" x14ac:dyDescent="0.25"/>
    <row r="550" s="79" customFormat="1" ht="15" customHeight="1" x14ac:dyDescent="0.25"/>
    <row r="551" s="79" customFormat="1" ht="15" customHeight="1" x14ac:dyDescent="0.25"/>
    <row r="552" s="79" customFormat="1" ht="15" customHeight="1" x14ac:dyDescent="0.25"/>
    <row r="553" s="79" customFormat="1" ht="15" customHeight="1" x14ac:dyDescent="0.25"/>
    <row r="554" s="79" customFormat="1" ht="15" customHeight="1" x14ac:dyDescent="0.25"/>
    <row r="555" s="79" customFormat="1" ht="15" customHeight="1" x14ac:dyDescent="0.25"/>
    <row r="556" s="79" customFormat="1" ht="15" customHeight="1" x14ac:dyDescent="0.25"/>
    <row r="557" s="79" customFormat="1" ht="15" customHeight="1" x14ac:dyDescent="0.25"/>
    <row r="558" s="79" customFormat="1" ht="15" customHeight="1" x14ac:dyDescent="0.25"/>
    <row r="559" s="79" customFormat="1" ht="15" customHeight="1" x14ac:dyDescent="0.25"/>
    <row r="560" s="79" customFormat="1" ht="15" customHeight="1" x14ac:dyDescent="0.25"/>
    <row r="561" s="79" customFormat="1" ht="15" customHeight="1" x14ac:dyDescent="0.25"/>
    <row r="562" s="79" customFormat="1" ht="15" customHeight="1" x14ac:dyDescent="0.25"/>
    <row r="563" s="79" customFormat="1" ht="15" customHeight="1" x14ac:dyDescent="0.25"/>
    <row r="564" s="79" customFormat="1" ht="15" customHeight="1" x14ac:dyDescent="0.25"/>
    <row r="565" s="79" customFormat="1" ht="15" customHeight="1" x14ac:dyDescent="0.25"/>
    <row r="566" s="79" customFormat="1" ht="15" customHeight="1" x14ac:dyDescent="0.25"/>
    <row r="567" s="79" customFormat="1" ht="15" customHeight="1" x14ac:dyDescent="0.25"/>
    <row r="568" s="79" customFormat="1" ht="15" customHeight="1" x14ac:dyDescent="0.25"/>
    <row r="569" s="79" customFormat="1" ht="15" customHeight="1" x14ac:dyDescent="0.25"/>
    <row r="570" s="79" customFormat="1" ht="15" customHeight="1" x14ac:dyDescent="0.25"/>
    <row r="571" s="79" customFormat="1" ht="15" customHeight="1" x14ac:dyDescent="0.25"/>
    <row r="572" s="79" customFormat="1" ht="15" customHeight="1" x14ac:dyDescent="0.25"/>
    <row r="573" s="79" customFormat="1" ht="15" customHeight="1" x14ac:dyDescent="0.25"/>
    <row r="574" s="79" customFormat="1" ht="15" customHeight="1" x14ac:dyDescent="0.25"/>
    <row r="575" s="79" customFormat="1" ht="15" customHeight="1" x14ac:dyDescent="0.25"/>
    <row r="576" s="79" customFormat="1" ht="15" customHeight="1" x14ac:dyDescent="0.25"/>
    <row r="577" s="79" customFormat="1" ht="15" customHeight="1" x14ac:dyDescent="0.25"/>
    <row r="578" s="79" customFormat="1" ht="15" customHeight="1" x14ac:dyDescent="0.25"/>
    <row r="579" s="79" customFormat="1" ht="15" customHeight="1" x14ac:dyDescent="0.25"/>
    <row r="580" s="79" customFormat="1" ht="15" customHeight="1" x14ac:dyDescent="0.25"/>
    <row r="581" s="79" customFormat="1" ht="15" customHeight="1" x14ac:dyDescent="0.25"/>
    <row r="582" s="79" customFormat="1" ht="15" customHeight="1" x14ac:dyDescent="0.25"/>
    <row r="583" s="79" customFormat="1" ht="15" customHeight="1" x14ac:dyDescent="0.25"/>
    <row r="584" s="79" customFormat="1" ht="15" customHeight="1" x14ac:dyDescent="0.25"/>
    <row r="585" s="79" customFormat="1" ht="15" customHeight="1" x14ac:dyDescent="0.25"/>
    <row r="586" s="79" customFormat="1" ht="15" customHeight="1" x14ac:dyDescent="0.25"/>
    <row r="587" s="79" customFormat="1" ht="15" customHeight="1" x14ac:dyDescent="0.25"/>
    <row r="588" s="79" customFormat="1" ht="15" customHeight="1" x14ac:dyDescent="0.25"/>
    <row r="589" s="79" customFormat="1" ht="15" customHeight="1" x14ac:dyDescent="0.25"/>
    <row r="590" s="79" customFormat="1" ht="15" customHeight="1" x14ac:dyDescent="0.25"/>
    <row r="591" s="79" customFormat="1" ht="15" customHeight="1" x14ac:dyDescent="0.25"/>
    <row r="592" s="79" customFormat="1" ht="15" customHeight="1" x14ac:dyDescent="0.25"/>
    <row r="593" s="79" customFormat="1" ht="15" customHeight="1" x14ac:dyDescent="0.25"/>
    <row r="594" s="79" customFormat="1" ht="15" customHeight="1" x14ac:dyDescent="0.25"/>
    <row r="595" s="79" customFormat="1" ht="15" customHeight="1" x14ac:dyDescent="0.25"/>
    <row r="596" s="79" customFormat="1" ht="15" customHeight="1" x14ac:dyDescent="0.25"/>
    <row r="597" s="79" customFormat="1" ht="15" customHeight="1" x14ac:dyDescent="0.25"/>
    <row r="598" s="79" customFormat="1" ht="15" customHeight="1" x14ac:dyDescent="0.25"/>
    <row r="599" s="79" customFormat="1" ht="15" customHeight="1" x14ac:dyDescent="0.25"/>
    <row r="600" s="79" customFormat="1" ht="15" customHeight="1" x14ac:dyDescent="0.25"/>
    <row r="601" s="79" customFormat="1" ht="15" customHeight="1" x14ac:dyDescent="0.25"/>
    <row r="602" s="79" customFormat="1" ht="15" customHeight="1" x14ac:dyDescent="0.25"/>
    <row r="603" s="79" customFormat="1" ht="15" customHeight="1" x14ac:dyDescent="0.25"/>
    <row r="604" s="79" customFormat="1" ht="15" customHeight="1" x14ac:dyDescent="0.25"/>
    <row r="605" s="79" customFormat="1" ht="15" customHeight="1" x14ac:dyDescent="0.25"/>
    <row r="606" s="79" customFormat="1" ht="15" customHeight="1" x14ac:dyDescent="0.25"/>
    <row r="607" s="79" customFormat="1" ht="15" customHeight="1" x14ac:dyDescent="0.25"/>
    <row r="608" s="79" customFormat="1" ht="15" customHeight="1" x14ac:dyDescent="0.25"/>
    <row r="609" s="79" customFormat="1" ht="15" customHeight="1" x14ac:dyDescent="0.25"/>
    <row r="610" s="79" customFormat="1" ht="15" customHeight="1" x14ac:dyDescent="0.25"/>
    <row r="611" s="79" customFormat="1" ht="15" customHeight="1" x14ac:dyDescent="0.25"/>
    <row r="612" s="79" customFormat="1" ht="15" customHeight="1" x14ac:dyDescent="0.25"/>
    <row r="613" s="79" customFormat="1" ht="15" customHeight="1" x14ac:dyDescent="0.25"/>
    <row r="614" s="79" customFormat="1" ht="15" customHeight="1" x14ac:dyDescent="0.25"/>
    <row r="615" s="79" customFormat="1" ht="15" customHeight="1" x14ac:dyDescent="0.25"/>
    <row r="616" s="79" customFormat="1" ht="15" customHeight="1" x14ac:dyDescent="0.25"/>
    <row r="617" s="79" customFormat="1" ht="15" customHeight="1" x14ac:dyDescent="0.25"/>
    <row r="618" s="79" customFormat="1" ht="15" customHeight="1" x14ac:dyDescent="0.25"/>
    <row r="619" s="79" customFormat="1" ht="15" customHeight="1" x14ac:dyDescent="0.25"/>
    <row r="620" s="79" customFormat="1" ht="15" customHeight="1" x14ac:dyDescent="0.25"/>
    <row r="621" s="79" customFormat="1" ht="15" customHeight="1" x14ac:dyDescent="0.25"/>
    <row r="622" s="79" customFormat="1" ht="15" customHeight="1" x14ac:dyDescent="0.25"/>
    <row r="623" s="79" customFormat="1" ht="15" customHeight="1" x14ac:dyDescent="0.25"/>
    <row r="624" s="79" customFormat="1" ht="15" customHeight="1" x14ac:dyDescent="0.25"/>
    <row r="625" s="79" customFormat="1" ht="15" customHeight="1" x14ac:dyDescent="0.25"/>
    <row r="626" s="79" customFormat="1" ht="15" customHeight="1" x14ac:dyDescent="0.25"/>
    <row r="627" s="79" customFormat="1" ht="15" customHeight="1" x14ac:dyDescent="0.25"/>
    <row r="628" s="79" customFormat="1" ht="15" customHeight="1" x14ac:dyDescent="0.25"/>
    <row r="629" s="79" customFormat="1" ht="15" customHeight="1" x14ac:dyDescent="0.25"/>
    <row r="630" s="79" customFormat="1" ht="15" customHeight="1" x14ac:dyDescent="0.25"/>
    <row r="631" s="79" customFormat="1" ht="15" customHeight="1" x14ac:dyDescent="0.25"/>
    <row r="632" s="79" customFormat="1" ht="15" customHeight="1" x14ac:dyDescent="0.25"/>
    <row r="633" s="79" customFormat="1" ht="15" customHeight="1" x14ac:dyDescent="0.25"/>
    <row r="634" s="79" customFormat="1" ht="15" customHeight="1" x14ac:dyDescent="0.25"/>
    <row r="635" s="79" customFormat="1" ht="15" customHeight="1" x14ac:dyDescent="0.25"/>
    <row r="636" s="79" customFormat="1" ht="15" customHeight="1" x14ac:dyDescent="0.25"/>
    <row r="637" s="79" customFormat="1" ht="15" customHeight="1" x14ac:dyDescent="0.25"/>
    <row r="638" s="79" customFormat="1" ht="15" customHeight="1" x14ac:dyDescent="0.25"/>
    <row r="639" s="79" customFormat="1" ht="15" customHeight="1" x14ac:dyDescent="0.25"/>
    <row r="640" s="79" customFormat="1" ht="15" customHeight="1" x14ac:dyDescent="0.25"/>
    <row r="641" s="79" customFormat="1" ht="15" customHeight="1" x14ac:dyDescent="0.25"/>
    <row r="642" s="79" customFormat="1" ht="15" customHeight="1" x14ac:dyDescent="0.25"/>
    <row r="643" s="79" customFormat="1" ht="15" customHeight="1" x14ac:dyDescent="0.25"/>
    <row r="644" s="79" customFormat="1" ht="15" customHeight="1" x14ac:dyDescent="0.25"/>
    <row r="645" s="79" customFormat="1" ht="15" customHeight="1" x14ac:dyDescent="0.25"/>
    <row r="646" s="79" customFormat="1" ht="15" customHeight="1" x14ac:dyDescent="0.25"/>
    <row r="647" s="79" customFormat="1" ht="15" customHeight="1" x14ac:dyDescent="0.25"/>
    <row r="648" s="79" customFormat="1" ht="15" customHeight="1" x14ac:dyDescent="0.25"/>
    <row r="649" s="79" customFormat="1" ht="15" customHeight="1" x14ac:dyDescent="0.25"/>
    <row r="650" s="79" customFormat="1" ht="15" customHeight="1" x14ac:dyDescent="0.25"/>
    <row r="651" s="79" customFormat="1" ht="15" customHeight="1" x14ac:dyDescent="0.25"/>
    <row r="652" s="79" customFormat="1" ht="15" customHeight="1" x14ac:dyDescent="0.25"/>
    <row r="653" s="79" customFormat="1" ht="15" customHeight="1" x14ac:dyDescent="0.25"/>
    <row r="654" s="79" customFormat="1" ht="15" customHeight="1" x14ac:dyDescent="0.25"/>
    <row r="655" s="79" customFormat="1" ht="15" customHeight="1" x14ac:dyDescent="0.25"/>
    <row r="656" s="79" customFormat="1" ht="15" customHeight="1" x14ac:dyDescent="0.25"/>
    <row r="657" s="79" customFormat="1" ht="15" customHeight="1" x14ac:dyDescent="0.25"/>
    <row r="658" s="79" customFormat="1" ht="15" customHeight="1" x14ac:dyDescent="0.25"/>
    <row r="659" s="79" customFormat="1" ht="15" customHeight="1" x14ac:dyDescent="0.25"/>
    <row r="660" s="79" customFormat="1" ht="15" customHeight="1" x14ac:dyDescent="0.25"/>
    <row r="661" s="79" customFormat="1" ht="15" customHeight="1" x14ac:dyDescent="0.25"/>
    <row r="662" s="79" customFormat="1" ht="15" customHeight="1" x14ac:dyDescent="0.25"/>
    <row r="663" s="79" customFormat="1" ht="15" customHeight="1" x14ac:dyDescent="0.25"/>
    <row r="664" s="79" customFormat="1" ht="15" customHeight="1" x14ac:dyDescent="0.25"/>
    <row r="665" s="79" customFormat="1" ht="15" customHeight="1" x14ac:dyDescent="0.25"/>
    <row r="666" s="79" customFormat="1" ht="15" customHeight="1" x14ac:dyDescent="0.25"/>
    <row r="667" s="79" customFormat="1" ht="15" customHeight="1" x14ac:dyDescent="0.25"/>
    <row r="668" s="79" customFormat="1" ht="15" customHeight="1" x14ac:dyDescent="0.25"/>
    <row r="669" s="79" customFormat="1" ht="15" customHeight="1" x14ac:dyDescent="0.25"/>
    <row r="670" s="79" customFormat="1" ht="15" customHeight="1" x14ac:dyDescent="0.25"/>
    <row r="671" s="79" customFormat="1" ht="15" customHeight="1" x14ac:dyDescent="0.25"/>
    <row r="672" s="79" customFormat="1" ht="15" customHeight="1" x14ac:dyDescent="0.25"/>
    <row r="673" s="79" customFormat="1" ht="15" customHeight="1" x14ac:dyDescent="0.25"/>
    <row r="674" s="79" customFormat="1" ht="15" customHeight="1" x14ac:dyDescent="0.25"/>
    <row r="675" s="79" customFormat="1" ht="15" customHeight="1" x14ac:dyDescent="0.25"/>
    <row r="676" s="79" customFormat="1" ht="15" customHeight="1" x14ac:dyDescent="0.25"/>
    <row r="677" s="79" customFormat="1" ht="15" customHeight="1" x14ac:dyDescent="0.25"/>
    <row r="678" s="79" customFormat="1" ht="15" customHeight="1" x14ac:dyDescent="0.25"/>
    <row r="679" s="79" customFormat="1" ht="15" customHeight="1" x14ac:dyDescent="0.25"/>
    <row r="680" s="79" customFormat="1" ht="15" customHeight="1" x14ac:dyDescent="0.25"/>
    <row r="681" s="79" customFormat="1" ht="15" customHeight="1" x14ac:dyDescent="0.25"/>
    <row r="682" s="79" customFormat="1" ht="15" customHeight="1" x14ac:dyDescent="0.25"/>
    <row r="683" s="79" customFormat="1" ht="15" customHeight="1" x14ac:dyDescent="0.25"/>
    <row r="684" s="79" customFormat="1" ht="15" customHeight="1" x14ac:dyDescent="0.25"/>
    <row r="685" s="79" customFormat="1" ht="15" customHeight="1" x14ac:dyDescent="0.25"/>
    <row r="686" s="79" customFormat="1" ht="15" customHeight="1" x14ac:dyDescent="0.25"/>
    <row r="687" s="79" customFormat="1" ht="15" customHeight="1" x14ac:dyDescent="0.25"/>
    <row r="688" s="79" customFormat="1" ht="15" customHeight="1" x14ac:dyDescent="0.25"/>
    <row r="689" s="79" customFormat="1" ht="15" customHeight="1" x14ac:dyDescent="0.25"/>
    <row r="690" s="79" customFormat="1" ht="15" customHeight="1" x14ac:dyDescent="0.25"/>
    <row r="691" s="79" customFormat="1" ht="15" customHeight="1" x14ac:dyDescent="0.25"/>
    <row r="692" s="79" customFormat="1" ht="15" customHeight="1" x14ac:dyDescent="0.25"/>
    <row r="693" s="79" customFormat="1" ht="15" customHeight="1" x14ac:dyDescent="0.25"/>
    <row r="694" s="79" customFormat="1" ht="15" customHeight="1" x14ac:dyDescent="0.25"/>
    <row r="695" s="79" customFormat="1" ht="15" customHeight="1" x14ac:dyDescent="0.25"/>
    <row r="696" s="79" customFormat="1" ht="15" customHeight="1" x14ac:dyDescent="0.25"/>
    <row r="697" s="79" customFormat="1" ht="15" customHeight="1" x14ac:dyDescent="0.25"/>
    <row r="698" s="79" customFormat="1" ht="15" customHeight="1" x14ac:dyDescent="0.25"/>
    <row r="699" s="79" customFormat="1" ht="15" customHeight="1" x14ac:dyDescent="0.25"/>
    <row r="700" s="79" customFormat="1" ht="15" customHeight="1" x14ac:dyDescent="0.25"/>
    <row r="701" s="79" customFormat="1" ht="15" customHeight="1" x14ac:dyDescent="0.25"/>
    <row r="702" s="79" customFormat="1" ht="15" customHeight="1" x14ac:dyDescent="0.25"/>
    <row r="703" s="79" customFormat="1" ht="15" customHeight="1" x14ac:dyDescent="0.25"/>
    <row r="704" s="79" customFormat="1" ht="15" customHeight="1" x14ac:dyDescent="0.25"/>
    <row r="705" s="79" customFormat="1" ht="15" customHeight="1" x14ac:dyDescent="0.25"/>
    <row r="706" s="79" customFormat="1" ht="15" customHeight="1" x14ac:dyDescent="0.25"/>
    <row r="707" s="79" customFormat="1" ht="15" customHeight="1" x14ac:dyDescent="0.25"/>
    <row r="708" s="79" customFormat="1" ht="15" customHeight="1" x14ac:dyDescent="0.25"/>
    <row r="709" s="79" customFormat="1" ht="15" customHeight="1" x14ac:dyDescent="0.25"/>
    <row r="710" s="79" customFormat="1" ht="15" customHeight="1" x14ac:dyDescent="0.25"/>
    <row r="711" s="79" customFormat="1" ht="15" customHeight="1" x14ac:dyDescent="0.25"/>
    <row r="712" s="79" customFormat="1" ht="15" customHeight="1" x14ac:dyDescent="0.25"/>
    <row r="713" s="79" customFormat="1" ht="15" customHeight="1" x14ac:dyDescent="0.25"/>
    <row r="714" s="79" customFormat="1" ht="15" customHeight="1" x14ac:dyDescent="0.25"/>
    <row r="715" s="79" customFormat="1" ht="15" customHeight="1" x14ac:dyDescent="0.25"/>
    <row r="716" s="79" customFormat="1" ht="15" customHeight="1" x14ac:dyDescent="0.25"/>
    <row r="717" s="79" customFormat="1" ht="15" customHeight="1" x14ac:dyDescent="0.25"/>
    <row r="718" s="79" customFormat="1" ht="15" customHeight="1" x14ac:dyDescent="0.25"/>
    <row r="719" s="79" customFormat="1" ht="15" customHeight="1" x14ac:dyDescent="0.25"/>
    <row r="720" s="79" customFormat="1" ht="15" customHeight="1" x14ac:dyDescent="0.25"/>
    <row r="721" s="79" customFormat="1" ht="15" customHeight="1" x14ac:dyDescent="0.25"/>
    <row r="722" s="79" customFormat="1" ht="15" customHeight="1" x14ac:dyDescent="0.25"/>
    <row r="723" s="79" customFormat="1" ht="15" customHeight="1" x14ac:dyDescent="0.25"/>
    <row r="724" s="79" customFormat="1" ht="15" customHeight="1" x14ac:dyDescent="0.25"/>
    <row r="725" s="79" customFormat="1" ht="15" customHeight="1" x14ac:dyDescent="0.25"/>
    <row r="726" s="79" customFormat="1" ht="15" customHeight="1" x14ac:dyDescent="0.25"/>
    <row r="727" s="79" customFormat="1" ht="15" customHeight="1" x14ac:dyDescent="0.25"/>
    <row r="728" s="79" customFormat="1" ht="15" customHeight="1" x14ac:dyDescent="0.25"/>
    <row r="729" s="79" customFormat="1" ht="15" customHeight="1" x14ac:dyDescent="0.25"/>
    <row r="730" s="79" customFormat="1" ht="15" customHeight="1" x14ac:dyDescent="0.25"/>
    <row r="731" s="79" customFormat="1" ht="15" customHeight="1" x14ac:dyDescent="0.25"/>
    <row r="732" s="79" customFormat="1" ht="15" customHeight="1" x14ac:dyDescent="0.25"/>
    <row r="733" s="79" customFormat="1" ht="15" customHeight="1" x14ac:dyDescent="0.25"/>
    <row r="734" s="79" customFormat="1" ht="15" customHeight="1" x14ac:dyDescent="0.25"/>
    <row r="735" s="79" customFormat="1" ht="15" customHeight="1" x14ac:dyDescent="0.25"/>
    <row r="736" s="79" customFormat="1" ht="15" customHeight="1" x14ac:dyDescent="0.25"/>
    <row r="737" s="79" customFormat="1" ht="15" customHeight="1" x14ac:dyDescent="0.25"/>
    <row r="738" s="79" customFormat="1" ht="15" customHeight="1" x14ac:dyDescent="0.25"/>
    <row r="739" s="79" customFormat="1" ht="15" customHeight="1" x14ac:dyDescent="0.25"/>
    <row r="740" s="79" customFormat="1" ht="15" customHeight="1" x14ac:dyDescent="0.25"/>
    <row r="741" s="79" customFormat="1" ht="15" customHeight="1" x14ac:dyDescent="0.25"/>
    <row r="742" s="79" customFormat="1" ht="15" customHeight="1" x14ac:dyDescent="0.25"/>
    <row r="743" s="79" customFormat="1" ht="15" customHeight="1" x14ac:dyDescent="0.25"/>
    <row r="744" s="79" customFormat="1" ht="15" customHeight="1" x14ac:dyDescent="0.25"/>
    <row r="745" s="79" customFormat="1" ht="15" customHeight="1" x14ac:dyDescent="0.25"/>
    <row r="746" s="79" customFormat="1" ht="15" customHeight="1" x14ac:dyDescent="0.25"/>
    <row r="747" s="79" customFormat="1" ht="15" customHeight="1" x14ac:dyDescent="0.25"/>
    <row r="748" s="79" customFormat="1" ht="15" customHeight="1" x14ac:dyDescent="0.25"/>
    <row r="749" s="79" customFormat="1" ht="15" customHeight="1" x14ac:dyDescent="0.25"/>
    <row r="750" s="79" customFormat="1" ht="15" customHeight="1" x14ac:dyDescent="0.25"/>
    <row r="751" s="79" customFormat="1" ht="15" customHeight="1" x14ac:dyDescent="0.25"/>
    <row r="752" s="79" customFormat="1" ht="15" customHeight="1" x14ac:dyDescent="0.25"/>
    <row r="753" s="79" customFormat="1" ht="15" customHeight="1" x14ac:dyDescent="0.25"/>
    <row r="754" s="79" customFormat="1" ht="15" customHeight="1" x14ac:dyDescent="0.25"/>
    <row r="755" s="79" customFormat="1" ht="15" customHeight="1" x14ac:dyDescent="0.25"/>
    <row r="756" s="79" customFormat="1" ht="15" customHeight="1" x14ac:dyDescent="0.25"/>
    <row r="757" s="79" customFormat="1" ht="15" customHeight="1" x14ac:dyDescent="0.25"/>
    <row r="758" s="79" customFormat="1" ht="15" customHeight="1" x14ac:dyDescent="0.25"/>
    <row r="759" s="79" customFormat="1" ht="15" customHeight="1" x14ac:dyDescent="0.25"/>
    <row r="760" s="79" customFormat="1" ht="15" customHeight="1" x14ac:dyDescent="0.25"/>
    <row r="761" s="79" customFormat="1" ht="15" customHeight="1" x14ac:dyDescent="0.25"/>
    <row r="762" s="79" customFormat="1" ht="15" customHeight="1" x14ac:dyDescent="0.25"/>
    <row r="763" s="79" customFormat="1" ht="15" customHeight="1" x14ac:dyDescent="0.25"/>
    <row r="764" s="79" customFormat="1" ht="15" customHeight="1" x14ac:dyDescent="0.25"/>
    <row r="765" s="79" customFormat="1" ht="15" customHeight="1" x14ac:dyDescent="0.25"/>
    <row r="766" s="79" customFormat="1" ht="15" customHeight="1" x14ac:dyDescent="0.25"/>
    <row r="767" s="79" customFormat="1" ht="15" customHeight="1" x14ac:dyDescent="0.25"/>
    <row r="768" s="79" customFormat="1" ht="15" customHeight="1" x14ac:dyDescent="0.25"/>
    <row r="769" s="79" customFormat="1" ht="15" customHeight="1" x14ac:dyDescent="0.25"/>
    <row r="770" s="79" customFormat="1" ht="15" customHeight="1" x14ac:dyDescent="0.25"/>
    <row r="771" s="79" customFormat="1" ht="15" customHeight="1" x14ac:dyDescent="0.25"/>
    <row r="772" s="79" customFormat="1" ht="15" customHeight="1" x14ac:dyDescent="0.25"/>
    <row r="773" s="79" customFormat="1" ht="15" customHeight="1" x14ac:dyDescent="0.25"/>
    <row r="774" s="79" customFormat="1" ht="15" customHeight="1" x14ac:dyDescent="0.25"/>
    <row r="775" s="79" customFormat="1" ht="15" customHeight="1" x14ac:dyDescent="0.25"/>
    <row r="776" s="79" customFormat="1" ht="15" customHeight="1" x14ac:dyDescent="0.25"/>
    <row r="777" s="79" customFormat="1" ht="15" customHeight="1" x14ac:dyDescent="0.25"/>
    <row r="778" s="79" customFormat="1" ht="15" customHeight="1" x14ac:dyDescent="0.25"/>
    <row r="779" s="79" customFormat="1" ht="15" customHeight="1" x14ac:dyDescent="0.25"/>
    <row r="780" s="79" customFormat="1" ht="15" customHeight="1" x14ac:dyDescent="0.25"/>
    <row r="781" s="79" customFormat="1" ht="15" customHeight="1" x14ac:dyDescent="0.25"/>
    <row r="782" s="79" customFormat="1" ht="15" customHeight="1" x14ac:dyDescent="0.25"/>
    <row r="783" s="79" customFormat="1" ht="15" customHeight="1" x14ac:dyDescent="0.25"/>
    <row r="784" s="79" customFormat="1" ht="15" customHeight="1" x14ac:dyDescent="0.25"/>
    <row r="785" s="79" customFormat="1" ht="15" customHeight="1" x14ac:dyDescent="0.25"/>
    <row r="786" s="79" customFormat="1" ht="15" customHeight="1" x14ac:dyDescent="0.25"/>
    <row r="787" s="79" customFormat="1" ht="15" customHeight="1" x14ac:dyDescent="0.25"/>
    <row r="788" s="79" customFormat="1" ht="15" customHeight="1" x14ac:dyDescent="0.25"/>
    <row r="789" s="79" customFormat="1" ht="15" customHeight="1" x14ac:dyDescent="0.25"/>
    <row r="790" s="79" customFormat="1" ht="15" customHeight="1" x14ac:dyDescent="0.25"/>
    <row r="791" s="79" customFormat="1" ht="15" customHeight="1" x14ac:dyDescent="0.25"/>
    <row r="792" s="79" customFormat="1" ht="15" customHeight="1" x14ac:dyDescent="0.25"/>
    <row r="793" s="79" customFormat="1" ht="15" customHeight="1" x14ac:dyDescent="0.25"/>
    <row r="794" s="79" customFormat="1" ht="15" customHeight="1" x14ac:dyDescent="0.25"/>
    <row r="795" s="79" customFormat="1" ht="15" customHeight="1" x14ac:dyDescent="0.25"/>
    <row r="796" s="79" customFormat="1" ht="15" customHeight="1" x14ac:dyDescent="0.25"/>
    <row r="797" s="79" customFormat="1" ht="15" customHeight="1" x14ac:dyDescent="0.25"/>
    <row r="798" s="79" customFormat="1" ht="15" customHeight="1" x14ac:dyDescent="0.25"/>
    <row r="799" s="79" customFormat="1" ht="15" customHeight="1" x14ac:dyDescent="0.25"/>
    <row r="800" s="79" customFormat="1" ht="15" customHeight="1" x14ac:dyDescent="0.25"/>
    <row r="801" s="79" customFormat="1" ht="15" customHeight="1" x14ac:dyDescent="0.25"/>
    <row r="802" s="79" customFormat="1" ht="15" customHeight="1" x14ac:dyDescent="0.25"/>
    <row r="803" s="79" customFormat="1" ht="15" customHeight="1" x14ac:dyDescent="0.25"/>
    <row r="804" s="79" customFormat="1" ht="15" customHeight="1" x14ac:dyDescent="0.25"/>
    <row r="805" s="79" customFormat="1" ht="15" customHeight="1" x14ac:dyDescent="0.25"/>
    <row r="806" s="79" customFormat="1" ht="15" customHeight="1" x14ac:dyDescent="0.25"/>
    <row r="807" s="79" customFormat="1" ht="15" customHeight="1" x14ac:dyDescent="0.25"/>
    <row r="808" s="79" customFormat="1" ht="15" customHeight="1" x14ac:dyDescent="0.25"/>
    <row r="809" s="79" customFormat="1" ht="15" customHeight="1" x14ac:dyDescent="0.25"/>
    <row r="810" s="79" customFormat="1" ht="15" customHeight="1" x14ac:dyDescent="0.25"/>
    <row r="811" s="79" customFormat="1" ht="15" customHeight="1" x14ac:dyDescent="0.25"/>
    <row r="812" s="79" customFormat="1" ht="15" customHeight="1" x14ac:dyDescent="0.25"/>
    <row r="813" s="79" customFormat="1" ht="15" customHeight="1" x14ac:dyDescent="0.25"/>
    <row r="814" s="79" customFormat="1" ht="15" customHeight="1" x14ac:dyDescent="0.25"/>
    <row r="815" s="79" customFormat="1" ht="15" customHeight="1" x14ac:dyDescent="0.25"/>
    <row r="816" s="79" customFormat="1" ht="15" customHeight="1" x14ac:dyDescent="0.25"/>
    <row r="817" s="79" customFormat="1" ht="15" customHeight="1" x14ac:dyDescent="0.25"/>
    <row r="818" s="79" customFormat="1" ht="15" customHeight="1" x14ac:dyDescent="0.25"/>
    <row r="819" s="79" customFormat="1" ht="15" customHeight="1" x14ac:dyDescent="0.25"/>
    <row r="820" s="79" customFormat="1" ht="15" customHeight="1" x14ac:dyDescent="0.25"/>
    <row r="821" s="79" customFormat="1" ht="15" customHeight="1" x14ac:dyDescent="0.25"/>
    <row r="822" s="79" customFormat="1" ht="15" customHeight="1" x14ac:dyDescent="0.25"/>
    <row r="823" s="79" customFormat="1" ht="15" customHeight="1" x14ac:dyDescent="0.25"/>
    <row r="824" s="79" customFormat="1" ht="15" customHeight="1" x14ac:dyDescent="0.25"/>
    <row r="825" s="79" customFormat="1" ht="15" customHeight="1" x14ac:dyDescent="0.25"/>
    <row r="826" s="79" customFormat="1" ht="15" customHeight="1" x14ac:dyDescent="0.25"/>
    <row r="827" s="79" customFormat="1" ht="15" customHeight="1" x14ac:dyDescent="0.25"/>
    <row r="828" s="79" customFormat="1" ht="15" customHeight="1" x14ac:dyDescent="0.25"/>
    <row r="829" s="79" customFormat="1" ht="15" customHeight="1" x14ac:dyDescent="0.25"/>
    <row r="830" s="79" customFormat="1" ht="15" customHeight="1" x14ac:dyDescent="0.25"/>
    <row r="831" s="79" customFormat="1" ht="15" customHeight="1" x14ac:dyDescent="0.25"/>
    <row r="832" s="79" customFormat="1" ht="15" customHeight="1" x14ac:dyDescent="0.25"/>
    <row r="833" s="79" customFormat="1" ht="15" customHeight="1" x14ac:dyDescent="0.25"/>
    <row r="834" s="79" customFormat="1" ht="15" customHeight="1" x14ac:dyDescent="0.25"/>
    <row r="835" s="79" customFormat="1" ht="15" customHeight="1" x14ac:dyDescent="0.25"/>
    <row r="836" s="79" customFormat="1" ht="15" customHeight="1" x14ac:dyDescent="0.25"/>
    <row r="837" s="79" customFormat="1" ht="15" customHeight="1" x14ac:dyDescent="0.25"/>
    <row r="838" s="79" customFormat="1" ht="15" customHeight="1" x14ac:dyDescent="0.25"/>
    <row r="839" s="79" customFormat="1" ht="15" customHeight="1" x14ac:dyDescent="0.25"/>
    <row r="840" s="79" customFormat="1" ht="15" customHeight="1" x14ac:dyDescent="0.25"/>
    <row r="841" s="79" customFormat="1" ht="15" customHeight="1" x14ac:dyDescent="0.25"/>
    <row r="842" s="79" customFormat="1" ht="15" customHeight="1" x14ac:dyDescent="0.25"/>
    <row r="843" s="79" customFormat="1" ht="15" customHeight="1" x14ac:dyDescent="0.25"/>
    <row r="844" s="79" customFormat="1" ht="15" customHeight="1" x14ac:dyDescent="0.25"/>
    <row r="845" s="79" customFormat="1" ht="15" customHeight="1" x14ac:dyDescent="0.25"/>
    <row r="846" s="79" customFormat="1" ht="15" customHeight="1" x14ac:dyDescent="0.25"/>
    <row r="847" s="79" customFormat="1" ht="15" customHeight="1" x14ac:dyDescent="0.25"/>
    <row r="848" s="79" customFormat="1" ht="15" customHeight="1" x14ac:dyDescent="0.25"/>
    <row r="849" s="79" customFormat="1" ht="15" customHeight="1" x14ac:dyDescent="0.25"/>
    <row r="850" s="79" customFormat="1" ht="15" customHeight="1" x14ac:dyDescent="0.25"/>
    <row r="851" s="79" customFormat="1" ht="15" customHeight="1" x14ac:dyDescent="0.25"/>
    <row r="852" s="79" customFormat="1" ht="15" customHeight="1" x14ac:dyDescent="0.25"/>
    <row r="853" s="79" customFormat="1" ht="15" customHeight="1" x14ac:dyDescent="0.25"/>
    <row r="854" s="79" customFormat="1" ht="15" customHeight="1" x14ac:dyDescent="0.25"/>
    <row r="855" s="79" customFormat="1" ht="15" customHeight="1" x14ac:dyDescent="0.25"/>
    <row r="856" s="79" customFormat="1" ht="15" customHeight="1" x14ac:dyDescent="0.25"/>
    <row r="857" s="79" customFormat="1" ht="15" customHeight="1" x14ac:dyDescent="0.25"/>
    <row r="858" s="79" customFormat="1" ht="15" customHeight="1" x14ac:dyDescent="0.25"/>
    <row r="859" s="79" customFormat="1" ht="15" customHeight="1" x14ac:dyDescent="0.25"/>
    <row r="860" s="79" customFormat="1" ht="15" customHeight="1" x14ac:dyDescent="0.25"/>
    <row r="861" s="79" customFormat="1" ht="15" customHeight="1" x14ac:dyDescent="0.25"/>
    <row r="862" s="79" customFormat="1" ht="15" customHeight="1" x14ac:dyDescent="0.25"/>
    <row r="863" s="79" customFormat="1" ht="15" customHeight="1" x14ac:dyDescent="0.25"/>
    <row r="864" s="79" customFormat="1" ht="15" customHeight="1" x14ac:dyDescent="0.25"/>
    <row r="865" s="79" customFormat="1" ht="15" customHeight="1" x14ac:dyDescent="0.25"/>
    <row r="866" s="79" customFormat="1" ht="15" customHeight="1" x14ac:dyDescent="0.25"/>
    <row r="867" s="79" customFormat="1" ht="15" customHeight="1" x14ac:dyDescent="0.25"/>
    <row r="868" s="79" customFormat="1" ht="15" customHeight="1" x14ac:dyDescent="0.25"/>
    <row r="869" s="79" customFormat="1" ht="15" customHeight="1" x14ac:dyDescent="0.25"/>
    <row r="870" s="79" customFormat="1" ht="15" customHeight="1" x14ac:dyDescent="0.25"/>
    <row r="871" s="79" customFormat="1" ht="15" customHeight="1" x14ac:dyDescent="0.25"/>
    <row r="872" s="79" customFormat="1" ht="15" customHeight="1" x14ac:dyDescent="0.25"/>
    <row r="873" s="79" customFormat="1" ht="15" customHeight="1" x14ac:dyDescent="0.25"/>
    <row r="874" s="79" customFormat="1" ht="15" customHeight="1" x14ac:dyDescent="0.25"/>
    <row r="875" s="79" customFormat="1" ht="15" customHeight="1" x14ac:dyDescent="0.25"/>
    <row r="876" s="79" customFormat="1" ht="15" customHeight="1" x14ac:dyDescent="0.25"/>
    <row r="877" s="79" customFormat="1" ht="15" customHeight="1" x14ac:dyDescent="0.25"/>
    <row r="878" s="79" customFormat="1" ht="15" customHeight="1" x14ac:dyDescent="0.25"/>
    <row r="879" s="79" customFormat="1" ht="15" customHeight="1" x14ac:dyDescent="0.25"/>
    <row r="880" s="79" customFormat="1" ht="15" customHeight="1" x14ac:dyDescent="0.25"/>
    <row r="881" s="79" customFormat="1" ht="15" customHeight="1" x14ac:dyDescent="0.25"/>
    <row r="882" s="79" customFormat="1" ht="15" customHeight="1" x14ac:dyDescent="0.25"/>
    <row r="883" s="79" customFormat="1" ht="15" customHeight="1" x14ac:dyDescent="0.25"/>
    <row r="884" s="79" customFormat="1" ht="15" customHeight="1" x14ac:dyDescent="0.25"/>
    <row r="885" s="79" customFormat="1" ht="15" customHeight="1" x14ac:dyDescent="0.25"/>
    <row r="886" s="79" customFormat="1" ht="15" customHeight="1" x14ac:dyDescent="0.25"/>
    <row r="887" s="79" customFormat="1" ht="15" customHeight="1" x14ac:dyDescent="0.25"/>
    <row r="888" s="79" customFormat="1" ht="15" customHeight="1" x14ac:dyDescent="0.25"/>
    <row r="889" s="79" customFormat="1" ht="15" customHeight="1" x14ac:dyDescent="0.25"/>
    <row r="890" s="79" customFormat="1" ht="15" customHeight="1" x14ac:dyDescent="0.25"/>
    <row r="891" s="79" customFormat="1" ht="15" customHeight="1" x14ac:dyDescent="0.25"/>
    <row r="892" s="79" customFormat="1" ht="15" customHeight="1" x14ac:dyDescent="0.25"/>
    <row r="893" s="79" customFormat="1" ht="15" customHeight="1" x14ac:dyDescent="0.25"/>
    <row r="894" s="79" customFormat="1" ht="15" customHeight="1" x14ac:dyDescent="0.25"/>
    <row r="895" s="79" customFormat="1" ht="15" customHeight="1" x14ac:dyDescent="0.25"/>
    <row r="896" s="79" customFormat="1" ht="15" customHeight="1" x14ac:dyDescent="0.25"/>
    <row r="897" s="79" customFormat="1" ht="15" customHeight="1" x14ac:dyDescent="0.25"/>
    <row r="898" s="79" customFormat="1" ht="15" customHeight="1" x14ac:dyDescent="0.25"/>
    <row r="899" s="79" customFormat="1" ht="15" customHeight="1" x14ac:dyDescent="0.25"/>
    <row r="900" s="79" customFormat="1" ht="15" customHeight="1" x14ac:dyDescent="0.25"/>
    <row r="901" s="79" customFormat="1" ht="15" customHeight="1" x14ac:dyDescent="0.25"/>
    <row r="902" s="79" customFormat="1" ht="15" customHeight="1" x14ac:dyDescent="0.25"/>
    <row r="903" s="79" customFormat="1" ht="15" customHeight="1" x14ac:dyDescent="0.25"/>
    <row r="904" s="79" customFormat="1" ht="15" customHeight="1" x14ac:dyDescent="0.25"/>
    <row r="905" s="79" customFormat="1" ht="15" customHeight="1" x14ac:dyDescent="0.25"/>
    <row r="906" s="79" customFormat="1" ht="15" customHeight="1" x14ac:dyDescent="0.25"/>
    <row r="907" s="79" customFormat="1" ht="15" customHeight="1" x14ac:dyDescent="0.25"/>
    <row r="908" s="79" customFormat="1" ht="15" customHeight="1" x14ac:dyDescent="0.25"/>
    <row r="909" s="79" customFormat="1" ht="15" customHeight="1" x14ac:dyDescent="0.25"/>
    <row r="910" s="79" customFormat="1" ht="15" customHeight="1" x14ac:dyDescent="0.25"/>
    <row r="911" s="79" customFormat="1" ht="15" customHeight="1" x14ac:dyDescent="0.25"/>
    <row r="912" s="79" customFormat="1" ht="15" customHeight="1" x14ac:dyDescent="0.25"/>
    <row r="913" s="79" customFormat="1" ht="15" customHeight="1" x14ac:dyDescent="0.25"/>
    <row r="914" s="79" customFormat="1" ht="15" customHeight="1" x14ac:dyDescent="0.25"/>
    <row r="915" s="79" customFormat="1" ht="15" customHeight="1" x14ac:dyDescent="0.25"/>
    <row r="916" s="79" customFormat="1" ht="15" customHeight="1" x14ac:dyDescent="0.25"/>
    <row r="917" s="79" customFormat="1" ht="15" customHeight="1" x14ac:dyDescent="0.25"/>
    <row r="918" s="79" customFormat="1" ht="15" customHeight="1" x14ac:dyDescent="0.25"/>
    <row r="919" s="79" customFormat="1" ht="15" customHeight="1" x14ac:dyDescent="0.25"/>
    <row r="920" s="79" customFormat="1" ht="15" customHeight="1" x14ac:dyDescent="0.25"/>
    <row r="921" s="79" customFormat="1" ht="15" customHeight="1" x14ac:dyDescent="0.25"/>
    <row r="922" s="79" customFormat="1" ht="15" customHeight="1" x14ac:dyDescent="0.25"/>
    <row r="923" s="79" customFormat="1" ht="15" customHeight="1" x14ac:dyDescent="0.25"/>
    <row r="924" s="79" customFormat="1" ht="15" customHeight="1" x14ac:dyDescent="0.25"/>
    <row r="925" s="79" customFormat="1" ht="15" customHeight="1" x14ac:dyDescent="0.25"/>
    <row r="926" s="79" customFormat="1" ht="15" customHeight="1" x14ac:dyDescent="0.25"/>
    <row r="927" s="79" customFormat="1" ht="15" customHeight="1" x14ac:dyDescent="0.25"/>
    <row r="928" s="79" customFormat="1" ht="15" customHeight="1" x14ac:dyDescent="0.25"/>
    <row r="929" s="79" customFormat="1" ht="15" customHeight="1" x14ac:dyDescent="0.25"/>
    <row r="930" s="79" customFormat="1" ht="15" customHeight="1" x14ac:dyDescent="0.25"/>
    <row r="931" s="79" customFormat="1" ht="15" customHeight="1" x14ac:dyDescent="0.25"/>
    <row r="932" s="79" customFormat="1" ht="15" customHeight="1" x14ac:dyDescent="0.25"/>
    <row r="933" s="79" customFormat="1" ht="15" customHeight="1" x14ac:dyDescent="0.25"/>
    <row r="934" s="79" customFormat="1" ht="15" customHeight="1" x14ac:dyDescent="0.25"/>
    <row r="935" s="79" customFormat="1" ht="15" customHeight="1" x14ac:dyDescent="0.25"/>
    <row r="936" s="79" customFormat="1" ht="15" customHeight="1" x14ac:dyDescent="0.25"/>
    <row r="937" s="79" customFormat="1" ht="15" customHeight="1" x14ac:dyDescent="0.25"/>
    <row r="938" s="79" customFormat="1" ht="15" customHeight="1" x14ac:dyDescent="0.25"/>
    <row r="939" s="79" customFormat="1" ht="15" customHeight="1" x14ac:dyDescent="0.25"/>
    <row r="940" s="79" customFormat="1" ht="15" customHeight="1" x14ac:dyDescent="0.25"/>
    <row r="941" s="79" customFormat="1" ht="15" customHeight="1" x14ac:dyDescent="0.25"/>
    <row r="942" s="79" customFormat="1" ht="15" customHeight="1" x14ac:dyDescent="0.25"/>
    <row r="943" s="79" customFormat="1" ht="15" customHeight="1" x14ac:dyDescent="0.25"/>
    <row r="944" s="79" customFormat="1" ht="15" customHeight="1" x14ac:dyDescent="0.25"/>
    <row r="945" s="79" customFormat="1" ht="15" customHeight="1" x14ac:dyDescent="0.25"/>
    <row r="946" s="79" customFormat="1" ht="15" customHeight="1" x14ac:dyDescent="0.25"/>
    <row r="947" s="79" customFormat="1" ht="15" customHeight="1" x14ac:dyDescent="0.25"/>
    <row r="948" s="79" customFormat="1" ht="15" customHeight="1" x14ac:dyDescent="0.25"/>
    <row r="949" s="79" customFormat="1" ht="15" customHeight="1" x14ac:dyDescent="0.25"/>
    <row r="950" s="79" customFormat="1" ht="15" customHeight="1" x14ac:dyDescent="0.25"/>
    <row r="951" s="79" customFormat="1" ht="15" customHeight="1" x14ac:dyDescent="0.25"/>
    <row r="952" s="79" customFormat="1" ht="15" customHeight="1" x14ac:dyDescent="0.25"/>
    <row r="953" s="79" customFormat="1" ht="15" customHeight="1" x14ac:dyDescent="0.25"/>
    <row r="954" s="79" customFormat="1" ht="15" customHeight="1" x14ac:dyDescent="0.25"/>
    <row r="955" s="79" customFormat="1" ht="15" customHeight="1" x14ac:dyDescent="0.25"/>
    <row r="956" s="79" customFormat="1" ht="15" customHeight="1" x14ac:dyDescent="0.25"/>
    <row r="957" s="79" customFormat="1" ht="15" customHeight="1" x14ac:dyDescent="0.25"/>
    <row r="958" s="79" customFormat="1" ht="15" customHeight="1" x14ac:dyDescent="0.25"/>
    <row r="959" s="79" customFormat="1" ht="15" customHeight="1" x14ac:dyDescent="0.25"/>
    <row r="960" s="79" customFormat="1" ht="15" customHeight="1" x14ac:dyDescent="0.25"/>
    <row r="961" s="79" customFormat="1" ht="15" customHeight="1" x14ac:dyDescent="0.25"/>
    <row r="962" s="79" customFormat="1" ht="15" customHeight="1" x14ac:dyDescent="0.25"/>
    <row r="963" s="79" customFormat="1" ht="15" customHeight="1" x14ac:dyDescent="0.25"/>
    <row r="964" s="79" customFormat="1" ht="15" customHeight="1" x14ac:dyDescent="0.25"/>
    <row r="965" s="79" customFormat="1" ht="15" customHeight="1" x14ac:dyDescent="0.25"/>
    <row r="966" s="79" customFormat="1" ht="15" customHeight="1" x14ac:dyDescent="0.25"/>
    <row r="967" s="79" customFormat="1" ht="15" customHeight="1" x14ac:dyDescent="0.25"/>
    <row r="968" s="79" customFormat="1" ht="15" customHeight="1" x14ac:dyDescent="0.25"/>
    <row r="969" s="79" customFormat="1" ht="15" customHeight="1" x14ac:dyDescent="0.25"/>
    <row r="970" s="79" customFormat="1" ht="15" customHeight="1" x14ac:dyDescent="0.25"/>
    <row r="971" s="79" customFormat="1" ht="15" customHeight="1" x14ac:dyDescent="0.25"/>
    <row r="972" s="79" customFormat="1" ht="15" customHeight="1" x14ac:dyDescent="0.25"/>
    <row r="973" s="79" customFormat="1" ht="15" customHeight="1" x14ac:dyDescent="0.25"/>
    <row r="974" s="79" customFormat="1" ht="15" customHeight="1" x14ac:dyDescent="0.25"/>
    <row r="975" s="79" customFormat="1" ht="15" customHeight="1" x14ac:dyDescent="0.25"/>
    <row r="976" s="79" customFormat="1" ht="15" customHeight="1" x14ac:dyDescent="0.25"/>
    <row r="977" s="79" customFormat="1" ht="15" customHeight="1" x14ac:dyDescent="0.25"/>
    <row r="978" s="79" customFormat="1" ht="15" customHeight="1" x14ac:dyDescent="0.25"/>
    <row r="979" s="79" customFormat="1" ht="15" customHeight="1" x14ac:dyDescent="0.25"/>
    <row r="980" s="79" customFormat="1" ht="15" customHeight="1" x14ac:dyDescent="0.25"/>
    <row r="981" s="79" customFormat="1" ht="15" customHeight="1" x14ac:dyDescent="0.25"/>
    <row r="982" s="79" customFormat="1" ht="15" customHeight="1" x14ac:dyDescent="0.25"/>
    <row r="983" s="79" customFormat="1" ht="15" customHeight="1" x14ac:dyDescent="0.25"/>
    <row r="984" s="79" customFormat="1" ht="15" customHeight="1" x14ac:dyDescent="0.25"/>
    <row r="985" s="79" customFormat="1" ht="15" customHeight="1" x14ac:dyDescent="0.25"/>
    <row r="986" s="79" customFormat="1" ht="15" customHeight="1" x14ac:dyDescent="0.25"/>
    <row r="987" s="79" customFormat="1" ht="15" customHeight="1" x14ac:dyDescent="0.25"/>
    <row r="988" s="79" customFormat="1" ht="15" customHeight="1" x14ac:dyDescent="0.25"/>
    <row r="989" s="79" customFormat="1" ht="15" customHeight="1" x14ac:dyDescent="0.25"/>
    <row r="990" s="79" customFormat="1" ht="15" customHeight="1" x14ac:dyDescent="0.25"/>
    <row r="991" s="79" customFormat="1" ht="15" customHeight="1" x14ac:dyDescent="0.25"/>
    <row r="992" s="79" customFormat="1" ht="15" customHeight="1" x14ac:dyDescent="0.25"/>
    <row r="993" s="79" customFormat="1" ht="15" customHeight="1" x14ac:dyDescent="0.25"/>
    <row r="994" s="79" customFormat="1" ht="15" customHeight="1" x14ac:dyDescent="0.25"/>
    <row r="995" s="79" customFormat="1" ht="15" customHeight="1" x14ac:dyDescent="0.25"/>
    <row r="996" s="79" customFormat="1" ht="15" customHeight="1" x14ac:dyDescent="0.25"/>
    <row r="997" s="79" customFormat="1" ht="15" customHeight="1" x14ac:dyDescent="0.25"/>
    <row r="998" s="79" customFormat="1" ht="15" customHeight="1" x14ac:dyDescent="0.25"/>
    <row r="999" s="79" customFormat="1" ht="15" customHeight="1" x14ac:dyDescent="0.25"/>
    <row r="1000" s="79" customFormat="1" ht="15" customHeight="1" x14ac:dyDescent="0.25"/>
    <row r="1001" s="79" customFormat="1" ht="15" customHeight="1" x14ac:dyDescent="0.25"/>
    <row r="1002" s="79" customFormat="1" ht="15" customHeight="1" x14ac:dyDescent="0.25"/>
    <row r="1003" s="79" customFormat="1" ht="15" customHeight="1" x14ac:dyDescent="0.25"/>
    <row r="1004" s="79" customFormat="1" ht="15" customHeight="1" x14ac:dyDescent="0.25"/>
    <row r="1005" s="79" customFormat="1" ht="15" customHeight="1" x14ac:dyDescent="0.25"/>
    <row r="1006" s="79" customFormat="1" ht="15" customHeight="1" x14ac:dyDescent="0.25"/>
    <row r="1007" s="79" customFormat="1" ht="15" customHeight="1" x14ac:dyDescent="0.25"/>
    <row r="1008" s="79" customFormat="1" ht="15" customHeight="1" x14ac:dyDescent="0.25"/>
    <row r="1009" s="79" customFormat="1" ht="15" customHeight="1" x14ac:dyDescent="0.25"/>
    <row r="1010" s="79" customFormat="1" ht="15" customHeight="1" x14ac:dyDescent="0.25"/>
    <row r="1011" s="79" customFormat="1" ht="15" customHeight="1" x14ac:dyDescent="0.25"/>
    <row r="1012" s="79" customFormat="1" ht="15" customHeight="1" x14ac:dyDescent="0.25"/>
    <row r="1013" s="79" customFormat="1" ht="15" customHeight="1" x14ac:dyDescent="0.25"/>
    <row r="1014" s="79" customFormat="1" ht="15" customHeight="1" x14ac:dyDescent="0.25"/>
    <row r="1015" s="79" customFormat="1" ht="15" customHeight="1" x14ac:dyDescent="0.25"/>
    <row r="1016" s="79" customFormat="1" ht="15" customHeight="1" x14ac:dyDescent="0.25"/>
    <row r="1017" s="79" customFormat="1" ht="15" customHeight="1" x14ac:dyDescent="0.25"/>
    <row r="1018" s="79" customFormat="1" ht="15" customHeight="1" x14ac:dyDescent="0.25"/>
    <row r="1019" s="79" customFormat="1" ht="15" customHeight="1" x14ac:dyDescent="0.25"/>
    <row r="1020" s="79" customFormat="1" ht="15" customHeight="1" x14ac:dyDescent="0.25"/>
    <row r="1021" s="79" customFormat="1" ht="15" customHeight="1" x14ac:dyDescent="0.25"/>
    <row r="1022" s="79" customFormat="1" ht="15" customHeight="1" x14ac:dyDescent="0.25"/>
    <row r="1023" s="79" customFormat="1" ht="15" customHeight="1" x14ac:dyDescent="0.25"/>
    <row r="1024" s="79" customFormat="1" ht="15" customHeight="1" x14ac:dyDescent="0.25"/>
    <row r="1025" s="79" customFormat="1" ht="15" customHeight="1" x14ac:dyDescent="0.25"/>
    <row r="1026" s="79" customFormat="1" ht="15" customHeight="1" x14ac:dyDescent="0.25"/>
    <row r="1027" s="79" customFormat="1" ht="15" customHeight="1" x14ac:dyDescent="0.25"/>
    <row r="1028" s="79" customFormat="1" ht="15" customHeight="1" x14ac:dyDescent="0.25"/>
    <row r="1029" s="79" customFormat="1" ht="15" customHeight="1" x14ac:dyDescent="0.25"/>
    <row r="1030" s="79" customFormat="1" ht="15" customHeight="1" x14ac:dyDescent="0.25"/>
    <row r="1031" s="79" customFormat="1" ht="15" customHeight="1" x14ac:dyDescent="0.25"/>
    <row r="1032" s="79" customFormat="1" ht="15" customHeight="1" x14ac:dyDescent="0.25"/>
    <row r="1033" s="79" customFormat="1" ht="15" customHeight="1" x14ac:dyDescent="0.25"/>
    <row r="1034" s="79" customFormat="1" ht="15" customHeight="1" x14ac:dyDescent="0.25"/>
    <row r="1035" s="79" customFormat="1" ht="15" customHeight="1" x14ac:dyDescent="0.25"/>
    <row r="1036" s="79" customFormat="1" ht="15" customHeight="1" x14ac:dyDescent="0.25"/>
    <row r="1037" s="79" customFormat="1" ht="15" customHeight="1" x14ac:dyDescent="0.25"/>
    <row r="1038" s="79" customFormat="1" ht="15" customHeight="1" x14ac:dyDescent="0.25"/>
    <row r="1039" s="79" customFormat="1" ht="15" customHeight="1" x14ac:dyDescent="0.25"/>
    <row r="1040" s="79" customFormat="1" ht="15" customHeight="1" x14ac:dyDescent="0.25"/>
    <row r="1041" s="79" customFormat="1" ht="15" customHeight="1" x14ac:dyDescent="0.25"/>
    <row r="1042" s="79" customFormat="1" ht="15" customHeight="1" x14ac:dyDescent="0.25"/>
    <row r="1043" s="79" customFormat="1" ht="15" customHeight="1" x14ac:dyDescent="0.25"/>
    <row r="1044" s="79" customFormat="1" ht="15" customHeight="1" x14ac:dyDescent="0.25"/>
    <row r="1045" s="79" customFormat="1" ht="15" customHeight="1" x14ac:dyDescent="0.25"/>
    <row r="1046" s="79" customFormat="1" ht="15" customHeight="1" x14ac:dyDescent="0.25"/>
    <row r="1047" s="79" customFormat="1" ht="15" customHeight="1" x14ac:dyDescent="0.25"/>
    <row r="1048" s="79" customFormat="1" ht="15" customHeight="1" x14ac:dyDescent="0.25"/>
    <row r="1049" s="79" customFormat="1" ht="15" customHeight="1" x14ac:dyDescent="0.25"/>
    <row r="1050" s="79" customFormat="1" ht="15" customHeight="1" x14ac:dyDescent="0.25"/>
    <row r="1051" s="79" customFormat="1" ht="15" customHeight="1" x14ac:dyDescent="0.25"/>
    <row r="1052" s="79" customFormat="1" ht="15" customHeight="1" x14ac:dyDescent="0.25"/>
    <row r="1053" s="79" customFormat="1" ht="15" customHeight="1" x14ac:dyDescent="0.25"/>
    <row r="1054" s="79" customFormat="1" ht="15" customHeight="1" x14ac:dyDescent="0.25"/>
    <row r="1055" s="79" customFormat="1" ht="15" customHeight="1" x14ac:dyDescent="0.25"/>
    <row r="1056" s="79" customFormat="1" ht="15" customHeight="1" x14ac:dyDescent="0.25"/>
    <row r="1057" s="79" customFormat="1" ht="15" customHeight="1" x14ac:dyDescent="0.25"/>
    <row r="1058" s="79" customFormat="1" ht="15" customHeight="1" x14ac:dyDescent="0.25"/>
    <row r="1059" s="79" customFormat="1" ht="15" customHeight="1" x14ac:dyDescent="0.25"/>
    <row r="1060" s="79" customFormat="1" ht="15" customHeight="1" x14ac:dyDescent="0.25"/>
    <row r="1061" s="79" customFormat="1" ht="15" customHeight="1" x14ac:dyDescent="0.25"/>
    <row r="1062" s="79" customFormat="1" ht="15" customHeight="1" x14ac:dyDescent="0.25"/>
    <row r="1063" s="79" customFormat="1" ht="15" customHeight="1" x14ac:dyDescent="0.25"/>
    <row r="1064" s="79" customFormat="1" ht="15" customHeight="1" x14ac:dyDescent="0.25"/>
    <row r="1065" s="79" customFormat="1" ht="15" customHeight="1" x14ac:dyDescent="0.25"/>
    <row r="1066" s="79" customFormat="1" ht="15" customHeight="1" x14ac:dyDescent="0.25"/>
    <row r="1067" s="79" customFormat="1" ht="15" customHeight="1" x14ac:dyDescent="0.25"/>
    <row r="1068" s="79" customFormat="1" ht="15" customHeight="1" x14ac:dyDescent="0.25"/>
    <row r="1069" s="79" customFormat="1" ht="15" customHeight="1" x14ac:dyDescent="0.25"/>
    <row r="1070" s="79" customFormat="1" ht="15" customHeight="1" x14ac:dyDescent="0.25"/>
    <row r="1071" s="79" customFormat="1" ht="15" customHeight="1" x14ac:dyDescent="0.25"/>
    <row r="1072" s="79" customFormat="1" ht="15" customHeight="1" x14ac:dyDescent="0.25"/>
    <row r="1073" s="79" customFormat="1" ht="15" customHeight="1" x14ac:dyDescent="0.25"/>
    <row r="1074" s="79" customFormat="1" ht="15" customHeight="1" x14ac:dyDescent="0.25"/>
    <row r="1075" s="79" customFormat="1" ht="15" customHeight="1" x14ac:dyDescent="0.25"/>
    <row r="1076" s="79" customFormat="1" ht="15" customHeight="1" x14ac:dyDescent="0.25"/>
    <row r="1077" s="79" customFormat="1" ht="15" customHeight="1" x14ac:dyDescent="0.25"/>
    <row r="1078" s="79" customFormat="1" ht="15" customHeight="1" x14ac:dyDescent="0.25"/>
    <row r="1079" s="79" customFormat="1" ht="15" customHeight="1" x14ac:dyDescent="0.25"/>
    <row r="1080" s="79" customFormat="1" ht="15" customHeight="1" x14ac:dyDescent="0.25"/>
    <row r="1081" s="79" customFormat="1" ht="15" customHeight="1" x14ac:dyDescent="0.25"/>
    <row r="1082" s="79" customFormat="1" ht="15" customHeight="1" x14ac:dyDescent="0.25"/>
    <row r="1083" s="79" customFormat="1" ht="15" customHeight="1" x14ac:dyDescent="0.25"/>
    <row r="1084" s="79" customFormat="1" ht="15" customHeight="1" x14ac:dyDescent="0.25"/>
    <row r="1085" s="79" customFormat="1" ht="15" customHeight="1" x14ac:dyDescent="0.25"/>
    <row r="1086" s="79" customFormat="1" ht="15" customHeight="1" x14ac:dyDescent="0.25"/>
    <row r="1087" s="79" customFormat="1" ht="15" customHeight="1" x14ac:dyDescent="0.25"/>
    <row r="1088" s="79" customFormat="1" ht="15" customHeight="1" x14ac:dyDescent="0.25"/>
    <row r="1089" s="79" customFormat="1" ht="15" customHeight="1" x14ac:dyDescent="0.25"/>
    <row r="1090" s="79" customFormat="1" ht="15" customHeight="1" x14ac:dyDescent="0.25"/>
    <row r="1091" s="79" customFormat="1" ht="15" customHeight="1" x14ac:dyDescent="0.25"/>
    <row r="1092" s="79" customFormat="1" ht="15" customHeight="1" x14ac:dyDescent="0.25"/>
    <row r="1093" s="79" customFormat="1" ht="15" customHeight="1" x14ac:dyDescent="0.25"/>
    <row r="1094" s="79" customFormat="1" ht="15" customHeight="1" x14ac:dyDescent="0.25"/>
    <row r="1095" s="79" customFormat="1" ht="15" customHeight="1" x14ac:dyDescent="0.25"/>
    <row r="1096" s="79" customFormat="1" ht="15" customHeight="1" x14ac:dyDescent="0.25"/>
    <row r="1097" s="79" customFormat="1" ht="15" customHeight="1" x14ac:dyDescent="0.25"/>
    <row r="1098" s="79" customFormat="1" ht="15" customHeight="1" x14ac:dyDescent="0.25"/>
    <row r="1099" s="79" customFormat="1" ht="15" customHeight="1" x14ac:dyDescent="0.25"/>
    <row r="1100" s="79" customFormat="1" ht="15" customHeight="1" x14ac:dyDescent="0.25"/>
    <row r="1101" s="79" customFormat="1" ht="15" customHeight="1" x14ac:dyDescent="0.25"/>
    <row r="1102" s="79" customFormat="1" ht="15" customHeight="1" x14ac:dyDescent="0.25"/>
    <row r="1103" s="79" customFormat="1" ht="15" customHeight="1" x14ac:dyDescent="0.25"/>
    <row r="1104" s="79" customFormat="1" ht="15" customHeight="1" x14ac:dyDescent="0.25"/>
    <row r="1105" s="79" customFormat="1" ht="15" customHeight="1" x14ac:dyDescent="0.25"/>
    <row r="1106" s="79" customFormat="1" ht="15" customHeight="1" x14ac:dyDescent="0.25"/>
    <row r="1107" s="79" customFormat="1" ht="15" customHeight="1" x14ac:dyDescent="0.25"/>
    <row r="1108" s="79" customFormat="1" ht="15" customHeight="1" x14ac:dyDescent="0.25"/>
    <row r="1109" s="79" customFormat="1" ht="15" customHeight="1" x14ac:dyDescent="0.25"/>
    <row r="1110" s="79" customFormat="1" ht="15" customHeight="1" x14ac:dyDescent="0.25"/>
    <row r="1111" s="79" customFormat="1" ht="15" customHeight="1" x14ac:dyDescent="0.25"/>
    <row r="1112" s="79" customFormat="1" ht="15" customHeight="1" x14ac:dyDescent="0.25"/>
    <row r="1113" s="79" customFormat="1" ht="15" customHeight="1" x14ac:dyDescent="0.25"/>
    <row r="1114" s="79" customFormat="1" ht="15" customHeight="1" x14ac:dyDescent="0.25"/>
    <row r="1115" s="79" customFormat="1" ht="15" customHeight="1" x14ac:dyDescent="0.25"/>
    <row r="1116" s="79" customFormat="1" ht="15" customHeight="1" x14ac:dyDescent="0.25"/>
    <row r="1117" s="79" customFormat="1" ht="15" customHeight="1" x14ac:dyDescent="0.25"/>
    <row r="1118" s="79" customFormat="1" ht="15" customHeight="1" x14ac:dyDescent="0.25"/>
    <row r="1119" s="79" customFormat="1" ht="15" customHeight="1" x14ac:dyDescent="0.25"/>
    <row r="1120" s="79" customFormat="1" ht="15" customHeight="1" x14ac:dyDescent="0.25"/>
    <row r="1121" s="79" customFormat="1" ht="15" customHeight="1" x14ac:dyDescent="0.25"/>
    <row r="1122" s="79" customFormat="1" ht="15" customHeight="1" x14ac:dyDescent="0.25"/>
    <row r="1123" s="79" customFormat="1" ht="15" customHeight="1" x14ac:dyDescent="0.25"/>
    <row r="1124" s="79" customFormat="1" ht="15" customHeight="1" x14ac:dyDescent="0.25"/>
    <row r="1125" s="79" customFormat="1" ht="15" customHeight="1" x14ac:dyDescent="0.25"/>
    <row r="1126" s="79" customFormat="1" ht="15" customHeight="1" x14ac:dyDescent="0.25"/>
    <row r="1127" s="79" customFormat="1" ht="15" customHeight="1" x14ac:dyDescent="0.25"/>
    <row r="1128" s="79" customFormat="1" ht="15" customHeight="1" x14ac:dyDescent="0.25"/>
    <row r="1129" s="79" customFormat="1" ht="15" customHeight="1" x14ac:dyDescent="0.25"/>
    <row r="1130" s="79" customFormat="1" ht="15" customHeight="1" x14ac:dyDescent="0.25"/>
    <row r="1131" s="79" customFormat="1" ht="15" customHeight="1" x14ac:dyDescent="0.25"/>
    <row r="1132" s="79" customFormat="1" ht="15" customHeight="1" x14ac:dyDescent="0.25"/>
    <row r="1133" s="79" customFormat="1" ht="15" customHeight="1" x14ac:dyDescent="0.25"/>
    <row r="1134" s="79" customFormat="1" ht="15" customHeight="1" x14ac:dyDescent="0.25"/>
    <row r="1135" s="79" customFormat="1" ht="15" customHeight="1" x14ac:dyDescent="0.25"/>
    <row r="1136" s="79" customFormat="1" ht="15" customHeight="1" x14ac:dyDescent="0.25"/>
    <row r="1137" s="79" customFormat="1" ht="15" customHeight="1" x14ac:dyDescent="0.25"/>
    <row r="1138" s="79" customFormat="1" ht="15" customHeight="1" x14ac:dyDescent="0.25"/>
    <row r="1139" s="79" customFormat="1" ht="15" customHeight="1" x14ac:dyDescent="0.25"/>
    <row r="1140" s="79" customFormat="1" ht="15" customHeight="1" x14ac:dyDescent="0.25"/>
    <row r="1141" s="79" customFormat="1" ht="15" customHeight="1" x14ac:dyDescent="0.25"/>
    <row r="1142" s="79" customFormat="1" ht="15" customHeight="1" x14ac:dyDescent="0.25"/>
    <row r="1143" s="79" customFormat="1" ht="15" customHeight="1" x14ac:dyDescent="0.25"/>
    <row r="1144" s="79" customFormat="1" ht="15" customHeight="1" x14ac:dyDescent="0.25"/>
    <row r="1145" s="79" customFormat="1" ht="15" customHeight="1" x14ac:dyDescent="0.25"/>
    <row r="1146" s="79" customFormat="1" ht="15" customHeight="1" x14ac:dyDescent="0.25"/>
    <row r="1147" s="79" customFormat="1" ht="15" customHeight="1" x14ac:dyDescent="0.25"/>
    <row r="1148" s="79" customFormat="1" ht="15" customHeight="1" x14ac:dyDescent="0.25"/>
    <row r="1149" s="79" customFormat="1" ht="15" customHeight="1" x14ac:dyDescent="0.25"/>
    <row r="1150" s="79" customFormat="1" ht="15" customHeight="1" x14ac:dyDescent="0.25"/>
    <row r="1151" s="79" customFormat="1" ht="15" customHeight="1" x14ac:dyDescent="0.25"/>
    <row r="1152" s="79" customFormat="1" ht="15" customHeight="1" x14ac:dyDescent="0.25"/>
    <row r="1153" s="79" customFormat="1" ht="15" customHeight="1" x14ac:dyDescent="0.25"/>
    <row r="1154" s="79" customFormat="1" ht="15" customHeight="1" x14ac:dyDescent="0.25"/>
    <row r="1155" s="79" customFormat="1" ht="15" customHeight="1" x14ac:dyDescent="0.25"/>
    <row r="1156" s="79" customFormat="1" ht="15" customHeight="1" x14ac:dyDescent="0.25"/>
    <row r="1157" s="79" customFormat="1" ht="15" customHeight="1" x14ac:dyDescent="0.25"/>
    <row r="1158" s="79" customFormat="1" ht="15" customHeight="1" x14ac:dyDescent="0.25"/>
    <row r="1159" s="79" customFormat="1" ht="15" customHeight="1" x14ac:dyDescent="0.25"/>
    <row r="1160" s="79" customFormat="1" ht="15" customHeight="1" x14ac:dyDescent="0.25"/>
    <row r="1161" s="79" customFormat="1" ht="15" customHeight="1" x14ac:dyDescent="0.25"/>
    <row r="1162" s="79" customFormat="1" ht="15" customHeight="1" x14ac:dyDescent="0.25"/>
    <row r="1163" s="79" customFormat="1" ht="15" customHeight="1" x14ac:dyDescent="0.25"/>
    <row r="1164" s="79" customFormat="1" ht="15" customHeight="1" x14ac:dyDescent="0.25"/>
    <row r="1165" s="79" customFormat="1" ht="15" customHeight="1" x14ac:dyDescent="0.25"/>
    <row r="1166" s="79" customFormat="1" ht="15" customHeight="1" x14ac:dyDescent="0.25"/>
    <row r="1167" s="79" customFormat="1" ht="15" customHeight="1" x14ac:dyDescent="0.25"/>
    <row r="1168" s="79" customFormat="1" ht="15" customHeight="1" x14ac:dyDescent="0.25"/>
    <row r="1169" s="79" customFormat="1" ht="15" customHeight="1" x14ac:dyDescent="0.25"/>
    <row r="1170" s="79" customFormat="1" ht="15" customHeight="1" x14ac:dyDescent="0.25"/>
    <row r="1171" s="79" customFormat="1" ht="15" customHeight="1" x14ac:dyDescent="0.25"/>
    <row r="1172" s="79" customFormat="1" ht="15" customHeight="1" x14ac:dyDescent="0.25"/>
    <row r="1173" s="79" customFormat="1" ht="15" customHeight="1" x14ac:dyDescent="0.25"/>
    <row r="1174" s="79" customFormat="1" ht="15" customHeight="1" x14ac:dyDescent="0.25"/>
    <row r="1175" s="79" customFormat="1" ht="15" customHeight="1" x14ac:dyDescent="0.25"/>
    <row r="1176" s="79" customFormat="1" ht="15" customHeight="1" x14ac:dyDescent="0.25"/>
    <row r="1177" s="79" customFormat="1" ht="15" customHeight="1" x14ac:dyDescent="0.25"/>
    <row r="1178" s="79" customFormat="1" ht="15" customHeight="1" x14ac:dyDescent="0.25"/>
    <row r="1179" s="79" customFormat="1" ht="15" customHeight="1" x14ac:dyDescent="0.25"/>
    <row r="1180" s="79" customFormat="1" ht="15" customHeight="1" x14ac:dyDescent="0.25"/>
    <row r="1181" s="79" customFormat="1" ht="15" customHeight="1" x14ac:dyDescent="0.25"/>
    <row r="1182" s="79" customFormat="1" ht="15" customHeight="1" x14ac:dyDescent="0.25"/>
    <row r="1183" s="79" customFormat="1" ht="15" customHeight="1" x14ac:dyDescent="0.25"/>
    <row r="1184" s="79" customFormat="1" ht="15" customHeight="1" x14ac:dyDescent="0.25"/>
    <row r="1185" s="79" customFormat="1" ht="15" customHeight="1" x14ac:dyDescent="0.25"/>
    <row r="1186" s="79" customFormat="1" ht="15" customHeight="1" x14ac:dyDescent="0.25"/>
    <row r="1187" s="79" customFormat="1" ht="15" customHeight="1" x14ac:dyDescent="0.25"/>
    <row r="1188" s="79" customFormat="1" ht="15" customHeight="1" x14ac:dyDescent="0.25"/>
    <row r="1189" s="79" customFormat="1" ht="15" customHeight="1" x14ac:dyDescent="0.25"/>
    <row r="1190" s="79" customFormat="1" ht="15" customHeight="1" x14ac:dyDescent="0.25"/>
    <row r="1191" s="79" customFormat="1" ht="15" customHeight="1" x14ac:dyDescent="0.25"/>
    <row r="1192" s="79" customFormat="1" ht="15" customHeight="1" x14ac:dyDescent="0.25"/>
    <row r="1193" s="79" customFormat="1" ht="15" customHeight="1" x14ac:dyDescent="0.25"/>
    <row r="1194" s="79" customFormat="1" ht="15" customHeight="1" x14ac:dyDescent="0.25"/>
    <row r="1195" s="79" customFormat="1" ht="15" customHeight="1" x14ac:dyDescent="0.25"/>
    <row r="1196" s="79" customFormat="1" ht="15" customHeight="1" x14ac:dyDescent="0.25"/>
    <row r="1197" s="79" customFormat="1" ht="15" customHeight="1" x14ac:dyDescent="0.25"/>
    <row r="1198" s="79" customFormat="1" ht="15" customHeight="1" x14ac:dyDescent="0.25"/>
    <row r="1199" s="79" customFormat="1" ht="15" customHeight="1" x14ac:dyDescent="0.25"/>
    <row r="1200" s="79" customFormat="1" ht="15" customHeight="1" x14ac:dyDescent="0.25"/>
    <row r="1201" s="79" customFormat="1" ht="15" customHeight="1" x14ac:dyDescent="0.25"/>
    <row r="1202" s="79" customFormat="1" ht="15" customHeight="1" x14ac:dyDescent="0.25"/>
    <row r="1203" s="79" customFormat="1" ht="15" customHeight="1" x14ac:dyDescent="0.25"/>
    <row r="1204" s="79" customFormat="1" ht="15" customHeight="1" x14ac:dyDescent="0.25"/>
    <row r="1205" s="79" customFormat="1" ht="15" customHeight="1" x14ac:dyDescent="0.25"/>
    <row r="1206" s="79" customFormat="1" ht="15" customHeight="1" x14ac:dyDescent="0.25"/>
    <row r="1207" s="79" customFormat="1" ht="15" customHeight="1" x14ac:dyDescent="0.25"/>
    <row r="1208" s="79" customFormat="1" ht="15" customHeight="1" x14ac:dyDescent="0.25"/>
    <row r="1209" s="79" customFormat="1" ht="15" customHeight="1" x14ac:dyDescent="0.25"/>
    <row r="1210" s="79" customFormat="1" ht="15" customHeight="1" x14ac:dyDescent="0.25"/>
    <row r="1211" s="79" customFormat="1" ht="15" customHeight="1" x14ac:dyDescent="0.25"/>
    <row r="1212" s="79" customFormat="1" ht="15" customHeight="1" x14ac:dyDescent="0.25"/>
    <row r="1213" s="79" customFormat="1" ht="15" customHeight="1" x14ac:dyDescent="0.25"/>
    <row r="1214" s="79" customFormat="1" ht="15" customHeight="1" x14ac:dyDescent="0.25"/>
    <row r="1215" s="79" customFormat="1" ht="15" customHeight="1" x14ac:dyDescent="0.25"/>
    <row r="1216" s="79" customFormat="1" ht="15" customHeight="1" x14ac:dyDescent="0.25"/>
    <row r="1217" s="79" customFormat="1" ht="15" customHeight="1" x14ac:dyDescent="0.25"/>
    <row r="1218" s="79" customFormat="1" ht="15" customHeight="1" x14ac:dyDescent="0.25"/>
    <row r="1219" s="79" customFormat="1" ht="15" customHeight="1" x14ac:dyDescent="0.25"/>
    <row r="1220" s="79" customFormat="1" ht="15" customHeight="1" x14ac:dyDescent="0.25"/>
    <row r="1221" s="79" customFormat="1" ht="15" customHeight="1" x14ac:dyDescent="0.25"/>
    <row r="1222" s="79" customFormat="1" ht="15" customHeight="1" x14ac:dyDescent="0.25"/>
    <row r="1223" s="79" customFormat="1" ht="15" customHeight="1" x14ac:dyDescent="0.25"/>
    <row r="1224" s="79" customFormat="1" ht="15" customHeight="1" x14ac:dyDescent="0.25"/>
    <row r="1225" s="79" customFormat="1" ht="15" customHeight="1" x14ac:dyDescent="0.25"/>
    <row r="1226" s="79" customFormat="1" ht="15" customHeight="1" x14ac:dyDescent="0.25"/>
    <row r="1227" s="79" customFormat="1" ht="15" customHeight="1" x14ac:dyDescent="0.25"/>
    <row r="1228" s="79" customFormat="1" ht="15" customHeight="1" x14ac:dyDescent="0.25"/>
    <row r="1229" s="79" customFormat="1" ht="15" customHeight="1" x14ac:dyDescent="0.25"/>
    <row r="1230" s="79" customFormat="1" ht="15" customHeight="1" x14ac:dyDescent="0.25"/>
    <row r="1231" s="79" customFormat="1" ht="15" customHeight="1" x14ac:dyDescent="0.25"/>
    <row r="1232" s="79" customFormat="1" ht="15" customHeight="1" x14ac:dyDescent="0.25"/>
    <row r="1233" s="79" customFormat="1" ht="15" customHeight="1" x14ac:dyDescent="0.25"/>
    <row r="1234" s="79" customFormat="1" ht="15" customHeight="1" x14ac:dyDescent="0.25"/>
    <row r="1235" s="79" customFormat="1" ht="15" customHeight="1" x14ac:dyDescent="0.25"/>
    <row r="1236" s="79" customFormat="1" ht="15" customHeight="1" x14ac:dyDescent="0.25"/>
    <row r="1237" s="79" customFormat="1" ht="15" customHeight="1" x14ac:dyDescent="0.25"/>
    <row r="1238" s="79" customFormat="1" ht="15" customHeight="1" x14ac:dyDescent="0.25"/>
    <row r="1239" s="79" customFormat="1" ht="15" customHeight="1" x14ac:dyDescent="0.25"/>
    <row r="1240" s="79" customFormat="1" ht="15" customHeight="1" x14ac:dyDescent="0.25"/>
    <row r="1241" s="79" customFormat="1" ht="15" customHeight="1" x14ac:dyDescent="0.25"/>
    <row r="1242" s="79" customFormat="1" ht="15" customHeight="1" x14ac:dyDescent="0.25"/>
    <row r="1243" s="79" customFormat="1" ht="15" customHeight="1" x14ac:dyDescent="0.25"/>
    <row r="1244" s="79" customFormat="1" ht="15" customHeight="1" x14ac:dyDescent="0.25"/>
    <row r="1245" s="79" customFormat="1" ht="15" customHeight="1" x14ac:dyDescent="0.25"/>
    <row r="1246" s="79" customFormat="1" ht="15" customHeight="1" x14ac:dyDescent="0.25"/>
    <row r="1247" s="79" customFormat="1" ht="15" customHeight="1" x14ac:dyDescent="0.25"/>
    <row r="1248" s="79" customFormat="1" ht="15" customHeight="1" x14ac:dyDescent="0.25"/>
    <row r="1249" s="79" customFormat="1" ht="15" customHeight="1" x14ac:dyDescent="0.25"/>
    <row r="1250" s="79" customFormat="1" ht="15" customHeight="1" x14ac:dyDescent="0.25"/>
    <row r="1251" s="79" customFormat="1" ht="15" customHeight="1" x14ac:dyDescent="0.25"/>
    <row r="1252" s="79" customFormat="1" ht="15" customHeight="1" x14ac:dyDescent="0.25"/>
    <row r="1253" s="79" customFormat="1" ht="15" customHeight="1" x14ac:dyDescent="0.25"/>
    <row r="1254" s="79" customFormat="1" ht="15" customHeight="1" x14ac:dyDescent="0.25"/>
    <row r="1255" s="79" customFormat="1" ht="15" customHeight="1" x14ac:dyDescent="0.25"/>
    <row r="1256" s="79" customFormat="1" ht="15" customHeight="1" x14ac:dyDescent="0.25"/>
    <row r="1257" s="79" customFormat="1" ht="15" customHeight="1" x14ac:dyDescent="0.25"/>
    <row r="1258" s="79" customFormat="1" ht="15" customHeight="1" x14ac:dyDescent="0.25"/>
    <row r="1259" s="79" customFormat="1" ht="15" customHeight="1" x14ac:dyDescent="0.25"/>
    <row r="1260" s="79" customFormat="1" ht="15" customHeight="1" x14ac:dyDescent="0.25"/>
    <row r="1261" s="79" customFormat="1" ht="15" customHeight="1" x14ac:dyDescent="0.25"/>
    <row r="1262" s="79" customFormat="1" ht="15" customHeight="1" x14ac:dyDescent="0.25"/>
    <row r="1263" s="79" customFormat="1" ht="15" customHeight="1" x14ac:dyDescent="0.25"/>
    <row r="1264" s="79" customFormat="1" ht="15" customHeight="1" x14ac:dyDescent="0.25"/>
    <row r="1265" s="79" customFormat="1" ht="15" customHeight="1" x14ac:dyDescent="0.25"/>
    <row r="1266" s="79" customFormat="1" ht="15" customHeight="1" x14ac:dyDescent="0.25"/>
    <row r="1267" s="79" customFormat="1" ht="15" customHeight="1" x14ac:dyDescent="0.25"/>
    <row r="1268" s="79" customFormat="1" ht="15" customHeight="1" x14ac:dyDescent="0.25"/>
    <row r="1269" s="79" customFormat="1" ht="15" customHeight="1" x14ac:dyDescent="0.25"/>
    <row r="1270" s="79" customFormat="1" ht="15" customHeight="1" x14ac:dyDescent="0.25"/>
    <row r="1271" s="79" customFormat="1" ht="15" customHeight="1" x14ac:dyDescent="0.25"/>
    <row r="1272" s="79" customFormat="1" ht="15" customHeight="1" x14ac:dyDescent="0.25"/>
    <row r="1273" s="79" customFormat="1" ht="15" customHeight="1" x14ac:dyDescent="0.25"/>
    <row r="1274" s="79" customFormat="1" ht="15" customHeight="1" x14ac:dyDescent="0.25"/>
    <row r="1275" s="79" customFormat="1" ht="15" customHeight="1" x14ac:dyDescent="0.25"/>
    <row r="1276" s="79" customFormat="1" ht="15" customHeight="1" x14ac:dyDescent="0.25"/>
    <row r="1277" s="79" customFormat="1" ht="15" customHeight="1" x14ac:dyDescent="0.25"/>
    <row r="1278" s="79" customFormat="1" ht="15" customHeight="1" x14ac:dyDescent="0.25"/>
    <row r="1279" s="79" customFormat="1" ht="15" customHeight="1" x14ac:dyDescent="0.25"/>
    <row r="1280" s="79" customFormat="1" ht="15" customHeight="1" x14ac:dyDescent="0.25"/>
    <row r="1281" s="79" customFormat="1" ht="15" customHeight="1" x14ac:dyDescent="0.25"/>
    <row r="1282" s="79" customFormat="1" ht="15" customHeight="1" x14ac:dyDescent="0.25"/>
    <row r="1283" s="79" customFormat="1" ht="15" customHeight="1" x14ac:dyDescent="0.25"/>
    <row r="1284" s="79" customFormat="1" ht="15" customHeight="1" x14ac:dyDescent="0.25"/>
    <row r="1285" s="79" customFormat="1" ht="15" customHeight="1" x14ac:dyDescent="0.25"/>
    <row r="1286" s="79" customFormat="1" ht="15" customHeight="1" x14ac:dyDescent="0.25"/>
    <row r="1287" s="79" customFormat="1" ht="15" customHeight="1" x14ac:dyDescent="0.25"/>
    <row r="1288" s="79" customFormat="1" ht="15" customHeight="1" x14ac:dyDescent="0.25"/>
    <row r="1289" s="79" customFormat="1" ht="15" customHeight="1" x14ac:dyDescent="0.25"/>
    <row r="1290" s="79" customFormat="1" ht="15" customHeight="1" x14ac:dyDescent="0.25"/>
    <row r="1291" s="79" customFormat="1" ht="15" customHeight="1" x14ac:dyDescent="0.25"/>
    <row r="1292" s="79" customFormat="1" ht="15" customHeight="1" x14ac:dyDescent="0.25"/>
    <row r="1293" s="79" customFormat="1" ht="15" customHeight="1" x14ac:dyDescent="0.25"/>
    <row r="1294" s="79" customFormat="1" ht="15" customHeight="1" x14ac:dyDescent="0.25"/>
    <row r="1295" s="79" customFormat="1" ht="15" customHeight="1" x14ac:dyDescent="0.25"/>
    <row r="1296" s="79" customFormat="1" ht="15" customHeight="1" x14ac:dyDescent="0.25"/>
    <row r="1297" s="79" customFormat="1" ht="15" customHeight="1" x14ac:dyDescent="0.25"/>
    <row r="1298" s="79" customFormat="1" ht="15" customHeight="1" x14ac:dyDescent="0.25"/>
    <row r="1299" s="79" customFormat="1" ht="15" customHeight="1" x14ac:dyDescent="0.25"/>
    <row r="1300" s="79" customFormat="1" ht="15" customHeight="1" x14ac:dyDescent="0.25"/>
    <row r="1301" s="79" customFormat="1" ht="15" customHeight="1" x14ac:dyDescent="0.25"/>
    <row r="1302" s="79" customFormat="1" ht="15" customHeight="1" x14ac:dyDescent="0.25"/>
    <row r="1303" s="79" customFormat="1" ht="15" customHeight="1" x14ac:dyDescent="0.25"/>
    <row r="1304" s="79" customFormat="1" ht="15" customHeight="1" x14ac:dyDescent="0.25"/>
    <row r="1305" s="79" customFormat="1" ht="15" customHeight="1" x14ac:dyDescent="0.25"/>
    <row r="1306" s="79" customFormat="1" ht="15" customHeight="1" x14ac:dyDescent="0.25"/>
    <row r="1307" s="79" customFormat="1" ht="15" customHeight="1" x14ac:dyDescent="0.25"/>
    <row r="1308" s="79" customFormat="1" ht="15" customHeight="1" x14ac:dyDescent="0.25"/>
    <row r="1309" s="79" customFormat="1" ht="15" customHeight="1" x14ac:dyDescent="0.25"/>
    <row r="1310" s="79" customFormat="1" ht="15" customHeight="1" x14ac:dyDescent="0.25"/>
    <row r="1311" s="79" customFormat="1" ht="15" customHeight="1" x14ac:dyDescent="0.25"/>
    <row r="1312" s="79" customFormat="1" ht="15" customHeight="1" x14ac:dyDescent="0.25"/>
    <row r="1313" s="79" customFormat="1" ht="15" customHeight="1" x14ac:dyDescent="0.25"/>
    <row r="1314" s="79" customFormat="1" ht="15" customHeight="1" x14ac:dyDescent="0.25"/>
    <row r="1315" s="79" customFormat="1" ht="15" customHeight="1" x14ac:dyDescent="0.25"/>
    <row r="1316" s="79" customFormat="1" ht="15" customHeight="1" x14ac:dyDescent="0.25"/>
    <row r="1317" s="79" customFormat="1" ht="15" customHeight="1" x14ac:dyDescent="0.25"/>
    <row r="1318" s="79" customFormat="1" ht="15" customHeight="1" x14ac:dyDescent="0.25"/>
    <row r="1319" s="79" customFormat="1" ht="15" customHeight="1" x14ac:dyDescent="0.25"/>
    <row r="1320" s="79" customFormat="1" ht="15" customHeight="1" x14ac:dyDescent="0.25"/>
    <row r="1321" s="79" customFormat="1" ht="15" customHeight="1" x14ac:dyDescent="0.25"/>
    <row r="1322" s="79" customFormat="1" ht="15" customHeight="1" x14ac:dyDescent="0.25"/>
    <row r="1323" s="79" customFormat="1" ht="15" customHeight="1" x14ac:dyDescent="0.25"/>
    <row r="1324" s="79" customFormat="1" ht="15" customHeight="1" x14ac:dyDescent="0.25"/>
    <row r="1325" s="79" customFormat="1" ht="15" customHeight="1" x14ac:dyDescent="0.25"/>
    <row r="1326" s="79" customFormat="1" ht="15" customHeight="1" x14ac:dyDescent="0.25"/>
    <row r="1327" s="79" customFormat="1" ht="15" customHeight="1" x14ac:dyDescent="0.25"/>
    <row r="1328" s="79" customFormat="1" ht="15" customHeight="1" x14ac:dyDescent="0.25"/>
    <row r="1329" s="79" customFormat="1" ht="15" customHeight="1" x14ac:dyDescent="0.25"/>
    <row r="1330" s="79" customFormat="1" ht="15" customHeight="1" x14ac:dyDescent="0.25"/>
    <row r="1331" s="79" customFormat="1" ht="15" customHeight="1" x14ac:dyDescent="0.25"/>
    <row r="1332" s="79" customFormat="1" ht="15" customHeight="1" x14ac:dyDescent="0.25"/>
    <row r="1333" s="79" customFormat="1" ht="15" customHeight="1" x14ac:dyDescent="0.25"/>
    <row r="1334" s="79" customFormat="1" ht="15" customHeight="1" x14ac:dyDescent="0.25"/>
    <row r="1335" s="79" customFormat="1" ht="15" customHeight="1" x14ac:dyDescent="0.25"/>
    <row r="1336" s="79" customFormat="1" ht="15" customHeight="1" x14ac:dyDescent="0.25"/>
    <row r="1337" s="79" customFormat="1" ht="15" customHeight="1" x14ac:dyDescent="0.25"/>
    <row r="1338" s="79" customFormat="1" ht="15" customHeight="1" x14ac:dyDescent="0.25"/>
    <row r="1339" s="79" customFormat="1" ht="15" customHeight="1" x14ac:dyDescent="0.25"/>
    <row r="1340" s="79" customFormat="1" ht="15" customHeight="1" x14ac:dyDescent="0.25"/>
    <row r="1341" s="79" customFormat="1" ht="15" customHeight="1" x14ac:dyDescent="0.25"/>
    <row r="1342" s="79" customFormat="1" ht="15" customHeight="1" x14ac:dyDescent="0.25"/>
    <row r="1343" s="79" customFormat="1" ht="15" customHeight="1" x14ac:dyDescent="0.25"/>
    <row r="1344" s="79" customFormat="1" ht="15" customHeight="1" x14ac:dyDescent="0.25"/>
    <row r="1345" s="79" customFormat="1" ht="15" customHeight="1" x14ac:dyDescent="0.25"/>
    <row r="1346" s="79" customFormat="1" ht="15" customHeight="1" x14ac:dyDescent="0.25"/>
    <row r="1347" s="79" customFormat="1" ht="15" customHeight="1" x14ac:dyDescent="0.25"/>
    <row r="1348" s="79" customFormat="1" ht="15" customHeight="1" x14ac:dyDescent="0.25"/>
    <row r="1349" s="79" customFormat="1" ht="15" customHeight="1" x14ac:dyDescent="0.25"/>
    <row r="1350" s="79" customFormat="1" ht="15" customHeight="1" x14ac:dyDescent="0.25"/>
    <row r="1351" s="79" customFormat="1" ht="15" customHeight="1" x14ac:dyDescent="0.25"/>
    <row r="1352" s="79" customFormat="1" ht="15" customHeight="1" x14ac:dyDescent="0.25"/>
    <row r="1353" s="79" customFormat="1" ht="15" customHeight="1" x14ac:dyDescent="0.25"/>
    <row r="1354" s="79" customFormat="1" ht="15" customHeight="1" x14ac:dyDescent="0.25"/>
    <row r="1355" s="79" customFormat="1" ht="15" customHeight="1" x14ac:dyDescent="0.25"/>
    <row r="1356" s="79" customFormat="1" ht="15" customHeight="1" x14ac:dyDescent="0.25"/>
    <row r="1357" s="79" customFormat="1" ht="15" customHeight="1" x14ac:dyDescent="0.25"/>
    <row r="1358" s="79" customFormat="1" ht="15" customHeight="1" x14ac:dyDescent="0.25"/>
    <row r="1359" s="79" customFormat="1" ht="15" customHeight="1" x14ac:dyDescent="0.25"/>
    <row r="1360" s="79" customFormat="1" ht="15" customHeight="1" x14ac:dyDescent="0.25"/>
    <row r="1361" s="79" customFormat="1" ht="15" customHeight="1" x14ac:dyDescent="0.25"/>
    <row r="1362" s="79" customFormat="1" ht="15" customHeight="1" x14ac:dyDescent="0.25"/>
    <row r="1363" s="79" customFormat="1" ht="15" customHeight="1" x14ac:dyDescent="0.25"/>
    <row r="1364" s="79" customFormat="1" ht="15" customHeight="1" x14ac:dyDescent="0.25"/>
    <row r="1365" s="79" customFormat="1" ht="15" customHeight="1" x14ac:dyDescent="0.25"/>
    <row r="1366" s="79" customFormat="1" ht="15" customHeight="1" x14ac:dyDescent="0.25"/>
    <row r="1367" s="79" customFormat="1" ht="15" customHeight="1" x14ac:dyDescent="0.25"/>
    <row r="1368" s="79" customFormat="1" ht="15" customHeight="1" x14ac:dyDescent="0.25"/>
    <row r="1369" s="79" customFormat="1" ht="15" customHeight="1" x14ac:dyDescent="0.25"/>
    <row r="1370" s="79" customFormat="1" ht="15" customHeight="1" x14ac:dyDescent="0.25"/>
    <row r="1371" s="79" customFormat="1" ht="15" customHeight="1" x14ac:dyDescent="0.25"/>
    <row r="1372" s="79" customFormat="1" ht="15" customHeight="1" x14ac:dyDescent="0.25"/>
    <row r="1373" s="79" customFormat="1" ht="15" customHeight="1" x14ac:dyDescent="0.25"/>
    <row r="1374" s="79" customFormat="1" ht="15" customHeight="1" x14ac:dyDescent="0.25"/>
    <row r="1375" s="79" customFormat="1" ht="15" customHeight="1" x14ac:dyDescent="0.25"/>
    <row r="1376" s="79" customFormat="1" ht="15" customHeight="1" x14ac:dyDescent="0.25"/>
    <row r="1377" s="79" customFormat="1" ht="15" customHeight="1" x14ac:dyDescent="0.25"/>
    <row r="1378" s="79" customFormat="1" ht="15" customHeight="1" x14ac:dyDescent="0.25"/>
    <row r="1379" s="79" customFormat="1" ht="15" customHeight="1" x14ac:dyDescent="0.25"/>
    <row r="1380" s="79" customFormat="1" ht="15" customHeight="1" x14ac:dyDescent="0.25"/>
    <row r="1381" s="79" customFormat="1" ht="15" customHeight="1" x14ac:dyDescent="0.25"/>
    <row r="1382" s="79" customFormat="1" ht="15" customHeight="1" x14ac:dyDescent="0.25"/>
    <row r="1383" s="79" customFormat="1" ht="15" customHeight="1" x14ac:dyDescent="0.25"/>
    <row r="1384" s="79" customFormat="1" ht="15" customHeight="1" x14ac:dyDescent="0.25"/>
    <row r="1385" s="79" customFormat="1" ht="15" customHeight="1" x14ac:dyDescent="0.25"/>
    <row r="1386" s="79" customFormat="1" ht="15" customHeight="1" x14ac:dyDescent="0.25"/>
    <row r="1387" s="79" customFormat="1" ht="15" customHeight="1" x14ac:dyDescent="0.25"/>
    <row r="1388" s="79" customFormat="1" ht="15" customHeight="1" x14ac:dyDescent="0.25"/>
    <row r="1389" s="79" customFormat="1" ht="15" customHeight="1" x14ac:dyDescent="0.25"/>
    <row r="1390" s="79" customFormat="1" ht="15" customHeight="1" x14ac:dyDescent="0.25"/>
    <row r="1391" s="79" customFormat="1" ht="15" customHeight="1" x14ac:dyDescent="0.25"/>
    <row r="1392" s="79" customFormat="1" ht="15" customHeight="1" x14ac:dyDescent="0.25"/>
    <row r="1393" s="79" customFormat="1" ht="15" customHeight="1" x14ac:dyDescent="0.25"/>
    <row r="1394" s="79" customFormat="1" ht="15" customHeight="1" x14ac:dyDescent="0.25"/>
    <row r="1395" s="79" customFormat="1" ht="15" customHeight="1" x14ac:dyDescent="0.25"/>
    <row r="1396" s="79" customFormat="1" ht="15" customHeight="1" x14ac:dyDescent="0.25"/>
    <row r="1397" s="79" customFormat="1" ht="15" customHeight="1" x14ac:dyDescent="0.25"/>
    <row r="1398" s="79" customFormat="1" ht="15" customHeight="1" x14ac:dyDescent="0.25"/>
    <row r="1399" s="79" customFormat="1" ht="15" customHeight="1" x14ac:dyDescent="0.25"/>
    <row r="1400" s="79" customFormat="1" ht="15" customHeight="1" x14ac:dyDescent="0.25"/>
    <row r="1401" s="79" customFormat="1" ht="15" customHeight="1" x14ac:dyDescent="0.25"/>
    <row r="1402" s="79" customFormat="1" ht="15" customHeight="1" x14ac:dyDescent="0.25"/>
    <row r="1403" s="79" customFormat="1" ht="15" customHeight="1" x14ac:dyDescent="0.25"/>
    <row r="1404" s="79" customFormat="1" ht="15" customHeight="1" x14ac:dyDescent="0.25"/>
    <row r="1405" s="79" customFormat="1" ht="15" customHeight="1" x14ac:dyDescent="0.25"/>
    <row r="1406" s="79" customFormat="1" ht="15" customHeight="1" x14ac:dyDescent="0.25"/>
    <row r="1407" s="79" customFormat="1" ht="15" customHeight="1" x14ac:dyDescent="0.25"/>
    <row r="1408" s="79" customFormat="1" ht="15" customHeight="1" x14ac:dyDescent="0.25"/>
    <row r="1409" s="79" customFormat="1" ht="15" customHeight="1" x14ac:dyDescent="0.25"/>
    <row r="1410" s="79" customFormat="1" ht="15" customHeight="1" x14ac:dyDescent="0.25"/>
    <row r="1411" s="79" customFormat="1" ht="15" customHeight="1" x14ac:dyDescent="0.25"/>
    <row r="1412" s="79" customFormat="1" ht="15" customHeight="1" x14ac:dyDescent="0.25"/>
    <row r="1413" s="79" customFormat="1" ht="15" customHeight="1" x14ac:dyDescent="0.25"/>
    <row r="1414" s="79" customFormat="1" ht="15" customHeight="1" x14ac:dyDescent="0.25"/>
    <row r="1415" s="79" customFormat="1" ht="15" customHeight="1" x14ac:dyDescent="0.25"/>
    <row r="1416" s="79" customFormat="1" ht="15" customHeight="1" x14ac:dyDescent="0.25"/>
    <row r="1417" s="79" customFormat="1" ht="15" customHeight="1" x14ac:dyDescent="0.25"/>
    <row r="1418" s="79" customFormat="1" ht="15" customHeight="1" x14ac:dyDescent="0.25"/>
    <row r="1419" s="79" customFormat="1" ht="15" customHeight="1" x14ac:dyDescent="0.25"/>
    <row r="1420" s="79" customFormat="1" ht="15" customHeight="1" x14ac:dyDescent="0.25"/>
    <row r="1421" s="79" customFormat="1" ht="15" customHeight="1" x14ac:dyDescent="0.25"/>
    <row r="1422" s="79" customFormat="1" ht="15" customHeight="1" x14ac:dyDescent="0.25"/>
    <row r="1423" s="79" customFormat="1" ht="15" customHeight="1" x14ac:dyDescent="0.25"/>
    <row r="1424" s="79" customFormat="1" ht="15" customHeight="1" x14ac:dyDescent="0.25"/>
    <row r="1425" s="79" customFormat="1" ht="15" customHeight="1" x14ac:dyDescent="0.25"/>
    <row r="1426" s="79" customFormat="1" ht="15" customHeight="1" x14ac:dyDescent="0.25"/>
    <row r="1427" s="79" customFormat="1" ht="15" customHeight="1" x14ac:dyDescent="0.25"/>
    <row r="1428" s="79" customFormat="1" ht="15" customHeight="1" x14ac:dyDescent="0.25"/>
    <row r="1429" s="79" customFormat="1" ht="15" customHeight="1" x14ac:dyDescent="0.25"/>
    <row r="1430" s="79" customFormat="1" ht="15" customHeight="1" x14ac:dyDescent="0.25"/>
    <row r="1431" s="79" customFormat="1" ht="15" customHeight="1" x14ac:dyDescent="0.25"/>
    <row r="1432" s="79" customFormat="1" ht="15" customHeight="1" x14ac:dyDescent="0.25"/>
    <row r="1433" s="79" customFormat="1" ht="15" customHeight="1" x14ac:dyDescent="0.25"/>
    <row r="1434" s="79" customFormat="1" ht="15" customHeight="1" x14ac:dyDescent="0.25"/>
    <row r="1435" s="79" customFormat="1" ht="15" customHeight="1" x14ac:dyDescent="0.25"/>
    <row r="1436" s="79" customFormat="1" ht="15" customHeight="1" x14ac:dyDescent="0.25"/>
    <row r="1437" s="79" customFormat="1" ht="15" customHeight="1" x14ac:dyDescent="0.25"/>
    <row r="1438" s="79" customFormat="1" ht="15" customHeight="1" x14ac:dyDescent="0.25"/>
    <row r="1439" s="79" customFormat="1" ht="15" customHeight="1" x14ac:dyDescent="0.25"/>
    <row r="1440" s="79" customFormat="1" ht="15" customHeight="1" x14ac:dyDescent="0.25"/>
    <row r="1441" s="79" customFormat="1" ht="15" customHeight="1" x14ac:dyDescent="0.25"/>
    <row r="1442" s="79" customFormat="1" ht="15" customHeight="1" x14ac:dyDescent="0.25"/>
    <row r="1443" s="79" customFormat="1" ht="15" customHeight="1" x14ac:dyDescent="0.25"/>
    <row r="1444" s="79" customFormat="1" ht="15" customHeight="1" x14ac:dyDescent="0.25"/>
    <row r="1445" s="79" customFormat="1" ht="15" customHeight="1" x14ac:dyDescent="0.25"/>
    <row r="1446" s="79" customFormat="1" ht="15" customHeight="1" x14ac:dyDescent="0.25"/>
    <row r="1447" s="79" customFormat="1" ht="15" customHeight="1" x14ac:dyDescent="0.25"/>
    <row r="1448" s="79" customFormat="1" ht="15" customHeight="1" x14ac:dyDescent="0.25"/>
    <row r="1449" s="79" customFormat="1" ht="15" customHeight="1" x14ac:dyDescent="0.25"/>
    <row r="1450" s="79" customFormat="1" ht="15" customHeight="1" x14ac:dyDescent="0.25"/>
    <row r="1451" s="79" customFormat="1" ht="15" customHeight="1" x14ac:dyDescent="0.25"/>
    <row r="1452" s="79" customFormat="1" ht="15" customHeight="1" x14ac:dyDescent="0.25"/>
    <row r="1453" s="79" customFormat="1" ht="15" customHeight="1" x14ac:dyDescent="0.25"/>
    <row r="1454" s="79" customFormat="1" ht="15" customHeight="1" x14ac:dyDescent="0.25"/>
    <row r="1455" s="79" customFormat="1" ht="15" customHeight="1" x14ac:dyDescent="0.25"/>
    <row r="1456" s="79" customFormat="1" ht="15" customHeight="1" x14ac:dyDescent="0.25"/>
    <row r="1457" s="79" customFormat="1" ht="15" customHeight="1" x14ac:dyDescent="0.25"/>
    <row r="1458" s="79" customFormat="1" ht="15" customHeight="1" x14ac:dyDescent="0.25"/>
    <row r="1459" s="79" customFormat="1" ht="15" customHeight="1" x14ac:dyDescent="0.25"/>
    <row r="1460" s="79" customFormat="1" ht="15" customHeight="1" x14ac:dyDescent="0.25"/>
    <row r="1461" s="79" customFormat="1" ht="15" customHeight="1" x14ac:dyDescent="0.25"/>
    <row r="1462" s="79" customFormat="1" ht="15" customHeight="1" x14ac:dyDescent="0.25"/>
    <row r="1463" s="79" customFormat="1" ht="15" customHeight="1" x14ac:dyDescent="0.25"/>
    <row r="1464" s="79" customFormat="1" ht="15" customHeight="1" x14ac:dyDescent="0.25"/>
    <row r="1465" s="79" customFormat="1" ht="15" customHeight="1" x14ac:dyDescent="0.25"/>
    <row r="1466" s="79" customFormat="1" ht="15" customHeight="1" x14ac:dyDescent="0.25"/>
    <row r="1467" s="79" customFormat="1" ht="15" customHeight="1" x14ac:dyDescent="0.25"/>
    <row r="1468" s="79" customFormat="1" ht="15" customHeight="1" x14ac:dyDescent="0.25"/>
    <row r="1469" s="79" customFormat="1" ht="15" customHeight="1" x14ac:dyDescent="0.25"/>
    <row r="1470" s="79" customFormat="1" ht="15" customHeight="1" x14ac:dyDescent="0.25"/>
    <row r="1471" s="79" customFormat="1" ht="15" customHeight="1" x14ac:dyDescent="0.25"/>
    <row r="1472" s="79" customFormat="1" ht="15" customHeight="1" x14ac:dyDescent="0.25"/>
    <row r="1473" s="79" customFormat="1" ht="15" customHeight="1" x14ac:dyDescent="0.25"/>
    <row r="1474" s="79" customFormat="1" ht="15" customHeight="1" x14ac:dyDescent="0.25"/>
    <row r="1475" s="79" customFormat="1" ht="15" customHeight="1" x14ac:dyDescent="0.25"/>
    <row r="1476" s="79" customFormat="1" ht="15" customHeight="1" x14ac:dyDescent="0.25"/>
    <row r="1477" s="79" customFormat="1" ht="15" customHeight="1" x14ac:dyDescent="0.25"/>
    <row r="1478" s="79" customFormat="1" ht="15" customHeight="1" x14ac:dyDescent="0.25"/>
    <row r="1479" s="79" customFormat="1" ht="15" customHeight="1" x14ac:dyDescent="0.25"/>
    <row r="1480" s="79" customFormat="1" ht="15" customHeight="1" x14ac:dyDescent="0.25"/>
    <row r="1481" s="79" customFormat="1" ht="15" customHeight="1" x14ac:dyDescent="0.25"/>
    <row r="1482" s="79" customFormat="1" ht="15" customHeight="1" x14ac:dyDescent="0.25"/>
    <row r="1483" s="79" customFormat="1" ht="15" customHeight="1" x14ac:dyDescent="0.25"/>
    <row r="1484" s="79" customFormat="1" ht="15" customHeight="1" x14ac:dyDescent="0.25"/>
    <row r="1485" s="79" customFormat="1" ht="15" customHeight="1" x14ac:dyDescent="0.25"/>
    <row r="1486" s="79" customFormat="1" ht="15" customHeight="1" x14ac:dyDescent="0.25"/>
    <row r="1487" s="79" customFormat="1" ht="15" customHeight="1" x14ac:dyDescent="0.25"/>
    <row r="1488" s="79" customFormat="1" ht="15" customHeight="1" x14ac:dyDescent="0.25"/>
    <row r="1489" s="79" customFormat="1" ht="15" customHeight="1" x14ac:dyDescent="0.25"/>
    <row r="1490" s="79" customFormat="1" ht="15" customHeight="1" x14ac:dyDescent="0.25"/>
    <row r="1491" s="79" customFormat="1" ht="15" customHeight="1" x14ac:dyDescent="0.25"/>
    <row r="1492" s="79" customFormat="1" ht="15" customHeight="1" x14ac:dyDescent="0.25"/>
    <row r="1493" s="79" customFormat="1" ht="15" customHeight="1" x14ac:dyDescent="0.25"/>
    <row r="1494" s="79" customFormat="1" ht="15" customHeight="1" x14ac:dyDescent="0.25"/>
    <row r="1495" s="79" customFormat="1" ht="15" customHeight="1" x14ac:dyDescent="0.25"/>
    <row r="1496" s="79" customFormat="1" ht="15" customHeight="1" x14ac:dyDescent="0.25"/>
    <row r="1497" s="79" customFormat="1" ht="15" customHeight="1" x14ac:dyDescent="0.25"/>
    <row r="1498" s="79" customFormat="1" ht="15" customHeight="1" x14ac:dyDescent="0.25"/>
    <row r="1499" s="79" customFormat="1" ht="15" customHeight="1" x14ac:dyDescent="0.25"/>
    <row r="1500" s="79" customFormat="1" ht="15" customHeight="1" x14ac:dyDescent="0.25"/>
    <row r="1501" s="79" customFormat="1" ht="15" customHeight="1" x14ac:dyDescent="0.25"/>
    <row r="1502" s="79" customFormat="1" ht="15" customHeight="1" x14ac:dyDescent="0.25"/>
    <row r="1503" s="79" customFormat="1" ht="15" customHeight="1" x14ac:dyDescent="0.25"/>
    <row r="1504" s="79" customFormat="1" ht="15" customHeight="1" x14ac:dyDescent="0.25"/>
    <row r="1505" s="79" customFormat="1" ht="15" customHeight="1" x14ac:dyDescent="0.25"/>
    <row r="1506" s="79" customFormat="1" ht="15" customHeight="1" x14ac:dyDescent="0.25"/>
    <row r="1507" s="79" customFormat="1" ht="15" customHeight="1" x14ac:dyDescent="0.25"/>
    <row r="1508" s="79" customFormat="1" ht="15" customHeight="1" x14ac:dyDescent="0.25"/>
    <row r="1509" s="79" customFormat="1" ht="15" customHeight="1" x14ac:dyDescent="0.25"/>
    <row r="1510" s="79" customFormat="1" ht="15" customHeight="1" x14ac:dyDescent="0.25"/>
    <row r="1511" s="79" customFormat="1" ht="15" customHeight="1" x14ac:dyDescent="0.25"/>
    <row r="1512" s="79" customFormat="1" ht="15" customHeight="1" x14ac:dyDescent="0.25"/>
    <row r="1513" s="79" customFormat="1" ht="15" customHeight="1" x14ac:dyDescent="0.25"/>
    <row r="1514" s="79" customFormat="1" ht="15" customHeight="1" x14ac:dyDescent="0.25"/>
  </sheetData>
  <sheetProtection selectLockedCells="1"/>
  <mergeCells count="5">
    <mergeCell ref="C2:AG2"/>
    <mergeCell ref="AH2:AH3"/>
    <mergeCell ref="AI2:AL3"/>
    <mergeCell ref="AM2:AP3"/>
    <mergeCell ref="AQ2:AR3"/>
  </mergeCells>
  <conditionalFormatting sqref="C17:C18 C9:AG11 C5:AG7">
    <cfRule type="expression" priority="1830" stopIfTrue="1">
      <formula>C5=""</formula>
    </cfRule>
    <cfRule type="expression" dxfId="6114" priority="1831" stopIfTrue="1">
      <formula>C5=CléPersonnalisée2</formula>
    </cfRule>
    <cfRule type="expression" dxfId="6113" priority="1832" stopIfTrue="1">
      <formula>C5=CléPersonnalisée1</formula>
    </cfRule>
    <cfRule type="expression" dxfId="6112" priority="1833" stopIfTrue="1">
      <formula>C5=CléMaladie</formula>
    </cfRule>
    <cfRule type="expression" dxfId="6111" priority="1834" stopIfTrue="1">
      <formula>C5=CléPersonnelle</formula>
    </cfRule>
    <cfRule type="expression" dxfId="6110" priority="1835" stopIfTrue="1">
      <formula>C5=CléCongés</formula>
    </cfRule>
  </conditionalFormatting>
  <conditionalFormatting sqref="AH5:AH6 AH9:AH11">
    <cfRule type="dataBar" priority="1836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{AA6F4E89-E0D2-4E20-9C98-90302CD2E59F}</x14:id>
        </ext>
      </extLst>
    </cfRule>
  </conditionalFormatting>
  <conditionalFormatting sqref="AI5:AL6 AI9:AL11">
    <cfRule type="expression" priority="1824" stopIfTrue="1">
      <formula>AI5=""</formula>
    </cfRule>
    <cfRule type="expression" dxfId="6109" priority="1825" stopIfTrue="1">
      <formula>AI5=CléPersonnalisée2</formula>
    </cfRule>
    <cfRule type="expression" dxfId="6108" priority="1826" stopIfTrue="1">
      <formula>AI5=CléPersonnalisée1</formula>
    </cfRule>
    <cfRule type="expression" dxfId="6107" priority="1827" stopIfTrue="1">
      <formula>AI5=CléMaladie</formula>
    </cfRule>
    <cfRule type="expression" dxfId="6106" priority="1828" stopIfTrue="1">
      <formula>AI5=CléPersonnelle</formula>
    </cfRule>
    <cfRule type="expression" dxfId="6105" priority="1829" stopIfTrue="1">
      <formula>AI5=CléCongés</formula>
    </cfRule>
  </conditionalFormatting>
  <conditionalFormatting sqref="AM5:AP6 AM9:AP10">
    <cfRule type="expression" priority="1818" stopIfTrue="1">
      <formula>AM5=""</formula>
    </cfRule>
    <cfRule type="expression" dxfId="6104" priority="1819" stopIfTrue="1">
      <formula>AM5=CléPersonnalisée2</formula>
    </cfRule>
    <cfRule type="expression" dxfId="6103" priority="1820" stopIfTrue="1">
      <formula>AM5=CléPersonnalisée1</formula>
    </cfRule>
    <cfRule type="expression" dxfId="6102" priority="1821" stopIfTrue="1">
      <formula>AM5=CléMaladie</formula>
    </cfRule>
    <cfRule type="expression" dxfId="6101" priority="1822" stopIfTrue="1">
      <formula>AM5=CléPersonnelle</formula>
    </cfRule>
    <cfRule type="expression" dxfId="6100" priority="1823" stopIfTrue="1">
      <formula>AM5=CléCongés</formula>
    </cfRule>
  </conditionalFormatting>
  <conditionalFormatting sqref="AQ5:AR6 AQ9:AR10 AQ32:AR32 AQ44:AR44">
    <cfRule type="expression" priority="1812" stopIfTrue="1">
      <formula>AQ5=""</formula>
    </cfRule>
    <cfRule type="expression" dxfId="6099" priority="1813" stopIfTrue="1">
      <formula>AQ5=CléPersonnalisée2</formula>
    </cfRule>
    <cfRule type="expression" dxfId="6098" priority="1814" stopIfTrue="1">
      <formula>AQ5=CléPersonnalisée1</formula>
    </cfRule>
    <cfRule type="expression" dxfId="6097" priority="1815" stopIfTrue="1">
      <formula>AQ5=CléMaladie</formula>
    </cfRule>
    <cfRule type="expression" dxfId="6096" priority="1816" stopIfTrue="1">
      <formula>AQ5=CléPersonnelle</formula>
    </cfRule>
    <cfRule type="expression" dxfId="6095" priority="1817" stopIfTrue="1">
      <formula>AQ5=CléCongés</formula>
    </cfRule>
  </conditionalFormatting>
  <conditionalFormatting sqref="AP7:AP8">
    <cfRule type="expression" priority="1806" stopIfTrue="1">
      <formula>AP7=""</formula>
    </cfRule>
    <cfRule type="expression" dxfId="6094" priority="1807" stopIfTrue="1">
      <formula>AP7=CléPersonnalisée2</formula>
    </cfRule>
    <cfRule type="expression" dxfId="6093" priority="1808" stopIfTrue="1">
      <formula>AP7=CléPersonnalisée1</formula>
    </cfRule>
    <cfRule type="expression" dxfId="6092" priority="1809" stopIfTrue="1">
      <formula>AP7=CléMaladie</formula>
    </cfRule>
    <cfRule type="expression" dxfId="6091" priority="1810" stopIfTrue="1">
      <formula>AP7=CléPersonnelle</formula>
    </cfRule>
    <cfRule type="expression" dxfId="6090" priority="1811" stopIfTrue="1">
      <formula>AP7=CléCongés</formula>
    </cfRule>
  </conditionalFormatting>
  <conditionalFormatting sqref="AQ8:AR8 AR7">
    <cfRule type="expression" priority="1800" stopIfTrue="1">
      <formula>AQ7=""</formula>
    </cfRule>
    <cfRule type="expression" dxfId="6089" priority="1801" stopIfTrue="1">
      <formula>AQ7=CléPersonnalisée2</formula>
    </cfRule>
    <cfRule type="expression" dxfId="6088" priority="1802" stopIfTrue="1">
      <formula>AQ7=CléPersonnalisée1</formula>
    </cfRule>
    <cfRule type="expression" dxfId="6087" priority="1803" stopIfTrue="1">
      <formula>AQ7=CléMaladie</formula>
    </cfRule>
    <cfRule type="expression" dxfId="6086" priority="1804" stopIfTrue="1">
      <formula>AQ7=CléPersonnelle</formula>
    </cfRule>
    <cfRule type="expression" dxfId="6085" priority="1805" stopIfTrue="1">
      <formula>AQ7=CléCongés</formula>
    </cfRule>
  </conditionalFormatting>
  <conditionalFormatting sqref="AM11 AP11">
    <cfRule type="expression" priority="1794" stopIfTrue="1">
      <formula>AM11=""</formula>
    </cfRule>
    <cfRule type="expression" dxfId="6084" priority="1795" stopIfTrue="1">
      <formula>AM11=CléPersonnalisée2</formula>
    </cfRule>
    <cfRule type="expression" dxfId="6083" priority="1796" stopIfTrue="1">
      <formula>AM11=CléPersonnalisée1</formula>
    </cfRule>
    <cfRule type="expression" dxfId="6082" priority="1797" stopIfTrue="1">
      <formula>AM11=CléMaladie</formula>
    </cfRule>
    <cfRule type="expression" dxfId="6081" priority="1798" stopIfTrue="1">
      <formula>AM11=CléPersonnelle</formula>
    </cfRule>
    <cfRule type="expression" dxfId="6080" priority="1799" stopIfTrue="1">
      <formula>AM11=CléCongés</formula>
    </cfRule>
  </conditionalFormatting>
  <conditionalFormatting sqref="AQ48:AR48">
    <cfRule type="expression" priority="1788" stopIfTrue="1">
      <formula>AQ48=""</formula>
    </cfRule>
    <cfRule type="expression" dxfId="6079" priority="1789" stopIfTrue="1">
      <formula>AQ48=CléPersonnalisée2</formula>
    </cfRule>
    <cfRule type="expression" dxfId="6078" priority="1790" stopIfTrue="1">
      <formula>AQ48=CléPersonnalisée1</formula>
    </cfRule>
    <cfRule type="expression" dxfId="6077" priority="1791" stopIfTrue="1">
      <formula>AQ48=CléMaladie</formula>
    </cfRule>
    <cfRule type="expression" dxfId="6076" priority="1792" stopIfTrue="1">
      <formula>AQ48=CléPersonnelle</formula>
    </cfRule>
    <cfRule type="expression" dxfId="6075" priority="1793" stopIfTrue="1">
      <formula>AQ48=CléCongés</formula>
    </cfRule>
  </conditionalFormatting>
  <conditionalFormatting sqref="AQ52:AR52">
    <cfRule type="expression" priority="1782" stopIfTrue="1">
      <formula>AQ52=""</formula>
    </cfRule>
    <cfRule type="expression" dxfId="6074" priority="1783" stopIfTrue="1">
      <formula>AQ52=CléPersonnalisée2</formula>
    </cfRule>
    <cfRule type="expression" dxfId="6073" priority="1784" stopIfTrue="1">
      <formula>AQ52=CléPersonnalisée1</formula>
    </cfRule>
    <cfRule type="expression" dxfId="6072" priority="1785" stopIfTrue="1">
      <formula>AQ52=CléMaladie</formula>
    </cfRule>
    <cfRule type="expression" dxfId="6071" priority="1786" stopIfTrue="1">
      <formula>AQ52=CléPersonnelle</formula>
    </cfRule>
    <cfRule type="expression" dxfId="6070" priority="1787" stopIfTrue="1">
      <formula>AQ52=CléCongés</formula>
    </cfRule>
  </conditionalFormatting>
  <conditionalFormatting sqref="AQ56:AR56 AQ60:AR60">
    <cfRule type="expression" priority="1776" stopIfTrue="1">
      <formula>AQ56=""</formula>
    </cfRule>
    <cfRule type="expression" dxfId="6069" priority="1777" stopIfTrue="1">
      <formula>AQ56=CléPersonnalisée2</formula>
    </cfRule>
    <cfRule type="expression" dxfId="6068" priority="1778" stopIfTrue="1">
      <formula>AQ56=CléPersonnalisée1</formula>
    </cfRule>
    <cfRule type="expression" dxfId="6067" priority="1779" stopIfTrue="1">
      <formula>AQ56=CléMaladie</formula>
    </cfRule>
    <cfRule type="expression" dxfId="6066" priority="1780" stopIfTrue="1">
      <formula>AQ56=CléPersonnelle</formula>
    </cfRule>
    <cfRule type="expression" dxfId="6065" priority="1781" stopIfTrue="1">
      <formula>AQ56=CléCongés</formula>
    </cfRule>
  </conditionalFormatting>
  <conditionalFormatting sqref="AQ64:AR64 AQ68:AR68">
    <cfRule type="expression" priority="1770" stopIfTrue="1">
      <formula>AQ64=""</formula>
    </cfRule>
    <cfRule type="expression" dxfId="6064" priority="1771" stopIfTrue="1">
      <formula>AQ64=CléPersonnalisée2</formula>
    </cfRule>
    <cfRule type="expression" dxfId="6063" priority="1772" stopIfTrue="1">
      <formula>AQ64=CléPersonnalisée1</formula>
    </cfRule>
    <cfRule type="expression" dxfId="6062" priority="1773" stopIfTrue="1">
      <formula>AQ64=CléMaladie</formula>
    </cfRule>
    <cfRule type="expression" dxfId="6061" priority="1774" stopIfTrue="1">
      <formula>AQ64=CléPersonnelle</formula>
    </cfRule>
    <cfRule type="expression" dxfId="6060" priority="1775" stopIfTrue="1">
      <formula>AQ64=CléCongés</formula>
    </cfRule>
  </conditionalFormatting>
  <conditionalFormatting sqref="AQ72:AR72 AQ76:AR76 AQ84:AR84 AQ88:AR88 AQ92:AR92 AQ80:AR80">
    <cfRule type="expression" priority="1764" stopIfTrue="1">
      <formula>AQ72=""</formula>
    </cfRule>
    <cfRule type="expression" dxfId="6059" priority="1765" stopIfTrue="1">
      <formula>AQ72=CléPersonnalisée2</formula>
    </cfRule>
    <cfRule type="expression" dxfId="6058" priority="1766" stopIfTrue="1">
      <formula>AQ72=CléPersonnalisée1</formula>
    </cfRule>
    <cfRule type="expression" dxfId="6057" priority="1767" stopIfTrue="1">
      <formula>AQ72=CléMaladie</formula>
    </cfRule>
    <cfRule type="expression" dxfId="6056" priority="1768" stopIfTrue="1">
      <formula>AQ72=CléPersonnelle</formula>
    </cfRule>
    <cfRule type="expression" dxfId="6055" priority="1769" stopIfTrue="1">
      <formula>AQ72=CléCongés</formula>
    </cfRule>
  </conditionalFormatting>
  <conditionalFormatting sqref="D17:AG18 C19:AG19">
    <cfRule type="expression" priority="1758" stopIfTrue="1">
      <formula>C17=""</formula>
    </cfRule>
    <cfRule type="expression" dxfId="6054" priority="1759" stopIfTrue="1">
      <formula>C17=CléPersonnalisée2</formula>
    </cfRule>
    <cfRule type="expression" dxfId="6053" priority="1760" stopIfTrue="1">
      <formula>C17=CléPersonnalisée1</formula>
    </cfRule>
    <cfRule type="expression" dxfId="6052" priority="1761" stopIfTrue="1">
      <formula>C17=CléMaladie</formula>
    </cfRule>
    <cfRule type="expression" dxfId="6051" priority="1762" stopIfTrue="1">
      <formula>C17=CléPersonnelle</formula>
    </cfRule>
    <cfRule type="expression" dxfId="6050" priority="1763" stopIfTrue="1">
      <formula>C17=CléCongés</formula>
    </cfRule>
  </conditionalFormatting>
  <conditionalFormatting sqref="AJ17:AL19">
    <cfRule type="expression" priority="1752" stopIfTrue="1">
      <formula>AJ17=""</formula>
    </cfRule>
    <cfRule type="expression" dxfId="6049" priority="1753" stopIfTrue="1">
      <formula>AJ17=CléPersonnalisée2</formula>
    </cfRule>
    <cfRule type="expression" dxfId="6048" priority="1754" stopIfTrue="1">
      <formula>AJ17=CléPersonnalisée1</formula>
    </cfRule>
    <cfRule type="expression" dxfId="6047" priority="1755" stopIfTrue="1">
      <formula>AJ17=CléMaladie</formula>
    </cfRule>
    <cfRule type="expression" dxfId="6046" priority="1756" stopIfTrue="1">
      <formula>AJ17=CléPersonnelle</formula>
    </cfRule>
    <cfRule type="expression" dxfId="6045" priority="1757" stopIfTrue="1">
      <formula>AJ17=CléCongés</formula>
    </cfRule>
  </conditionalFormatting>
  <conditionalFormatting sqref="C21:AG23">
    <cfRule type="expression" priority="1746" stopIfTrue="1">
      <formula>C21=""</formula>
    </cfRule>
    <cfRule type="expression" dxfId="6044" priority="1747" stopIfTrue="1">
      <formula>C21=CléPersonnalisée2</formula>
    </cfRule>
    <cfRule type="expression" dxfId="6043" priority="1748" stopIfTrue="1">
      <formula>C21=CléPersonnalisée1</formula>
    </cfRule>
    <cfRule type="expression" dxfId="6042" priority="1749" stopIfTrue="1">
      <formula>C21=CléMaladie</formula>
    </cfRule>
    <cfRule type="expression" dxfId="6041" priority="1750" stopIfTrue="1">
      <formula>C21=CléPersonnelle</formula>
    </cfRule>
    <cfRule type="expression" dxfId="6040" priority="1751" stopIfTrue="1">
      <formula>C21=CléCongés</formula>
    </cfRule>
  </conditionalFormatting>
  <conditionalFormatting sqref="AJ21:AL23">
    <cfRule type="expression" priority="1740" stopIfTrue="1">
      <formula>AJ21=""</formula>
    </cfRule>
    <cfRule type="expression" dxfId="6039" priority="1741" stopIfTrue="1">
      <formula>AJ21=CléPersonnalisée2</formula>
    </cfRule>
    <cfRule type="expression" dxfId="6038" priority="1742" stopIfTrue="1">
      <formula>AJ21=CléPersonnalisée1</formula>
    </cfRule>
    <cfRule type="expression" dxfId="6037" priority="1743" stopIfTrue="1">
      <formula>AJ21=CléMaladie</formula>
    </cfRule>
    <cfRule type="expression" dxfId="6036" priority="1744" stopIfTrue="1">
      <formula>AJ21=CléPersonnelle</formula>
    </cfRule>
    <cfRule type="expression" dxfId="6035" priority="1745" stopIfTrue="1">
      <formula>AJ21=CléCongés</formula>
    </cfRule>
  </conditionalFormatting>
  <conditionalFormatting sqref="C25:AG27">
    <cfRule type="expression" priority="1733" stopIfTrue="1">
      <formula>C25=""</formula>
    </cfRule>
    <cfRule type="expression" dxfId="6034" priority="1734" stopIfTrue="1">
      <formula>C25=CléPersonnalisée2</formula>
    </cfRule>
    <cfRule type="expression" dxfId="6033" priority="1735" stopIfTrue="1">
      <formula>C25=CléPersonnalisée1</formula>
    </cfRule>
    <cfRule type="expression" dxfId="6032" priority="1736" stopIfTrue="1">
      <formula>C25=CléMaladie</formula>
    </cfRule>
    <cfRule type="expression" dxfId="6031" priority="1737" stopIfTrue="1">
      <formula>C25=CléPersonnelle</formula>
    </cfRule>
    <cfRule type="expression" dxfId="6030" priority="1738" stopIfTrue="1">
      <formula>C25=CléCongés</formula>
    </cfRule>
  </conditionalFormatting>
  <conditionalFormatting sqref="AH27">
    <cfRule type="dataBar" priority="1739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{CBD4569E-922A-4A92-B5F8-91E8D50350C4}</x14:id>
        </ext>
      </extLst>
    </cfRule>
  </conditionalFormatting>
  <conditionalFormatting sqref="AI27:AL27 AJ25:AL26">
    <cfRule type="expression" priority="1727" stopIfTrue="1">
      <formula>AI25=""</formula>
    </cfRule>
    <cfRule type="expression" dxfId="6029" priority="1728" stopIfTrue="1">
      <formula>AI25=CléPersonnalisée2</formula>
    </cfRule>
    <cfRule type="expression" dxfId="6028" priority="1729" stopIfTrue="1">
      <formula>AI25=CléPersonnalisée1</formula>
    </cfRule>
    <cfRule type="expression" dxfId="6027" priority="1730" stopIfTrue="1">
      <formula>AI25=CléMaladie</formula>
    </cfRule>
    <cfRule type="expression" dxfId="6026" priority="1731" stopIfTrue="1">
      <formula>AI25=CléPersonnelle</formula>
    </cfRule>
    <cfRule type="expression" dxfId="6025" priority="1732" stopIfTrue="1">
      <formula>AI25=CléCongés</formula>
    </cfRule>
  </conditionalFormatting>
  <conditionalFormatting sqref="AM25:AP26">
    <cfRule type="expression" priority="1721" stopIfTrue="1">
      <formula>AM25=""</formula>
    </cfRule>
    <cfRule type="expression" dxfId="6024" priority="1722" stopIfTrue="1">
      <formula>AM25=CléPersonnalisée2</formula>
    </cfRule>
    <cfRule type="expression" dxfId="6023" priority="1723" stopIfTrue="1">
      <formula>AM25=CléPersonnalisée1</formula>
    </cfRule>
    <cfRule type="expression" dxfId="6022" priority="1724" stopIfTrue="1">
      <formula>AM25=CléMaladie</formula>
    </cfRule>
    <cfRule type="expression" dxfId="6021" priority="1725" stopIfTrue="1">
      <formula>AM25=CléPersonnelle</formula>
    </cfRule>
    <cfRule type="expression" dxfId="6020" priority="1726" stopIfTrue="1">
      <formula>AM25=CléCongés</formula>
    </cfRule>
  </conditionalFormatting>
  <conditionalFormatting sqref="AQ25:AR26">
    <cfRule type="expression" priority="1715" stopIfTrue="1">
      <formula>AQ25=""</formula>
    </cfRule>
    <cfRule type="expression" dxfId="6019" priority="1716" stopIfTrue="1">
      <formula>AQ25=CléPersonnalisée2</formula>
    </cfRule>
    <cfRule type="expression" dxfId="6018" priority="1717" stopIfTrue="1">
      <formula>AQ25=CléPersonnalisée1</formula>
    </cfRule>
    <cfRule type="expression" dxfId="6017" priority="1718" stopIfTrue="1">
      <formula>AQ25=CléMaladie</formula>
    </cfRule>
    <cfRule type="expression" dxfId="6016" priority="1719" stopIfTrue="1">
      <formula>AQ25=CléPersonnelle</formula>
    </cfRule>
    <cfRule type="expression" dxfId="6015" priority="1720" stopIfTrue="1">
      <formula>AQ25=CléCongés</formula>
    </cfRule>
  </conditionalFormatting>
  <conditionalFormatting sqref="AM27 AP27">
    <cfRule type="expression" priority="1709" stopIfTrue="1">
      <formula>AM27=""</formula>
    </cfRule>
    <cfRule type="expression" dxfId="6014" priority="1710" stopIfTrue="1">
      <formula>AM27=CléPersonnalisée2</formula>
    </cfRule>
    <cfRule type="expression" dxfId="6013" priority="1711" stopIfTrue="1">
      <formula>AM27=CléPersonnalisée1</formula>
    </cfRule>
    <cfRule type="expression" dxfId="6012" priority="1712" stopIfTrue="1">
      <formula>AM27=CléMaladie</formula>
    </cfRule>
    <cfRule type="expression" dxfId="6011" priority="1713" stopIfTrue="1">
      <formula>AM27=CléPersonnelle</formula>
    </cfRule>
    <cfRule type="expression" dxfId="6010" priority="1714" stopIfTrue="1">
      <formula>AM27=CléCongés</formula>
    </cfRule>
  </conditionalFormatting>
  <conditionalFormatting sqref="C29:AG31">
    <cfRule type="expression" priority="1702" stopIfTrue="1">
      <formula>C29=""</formula>
    </cfRule>
    <cfRule type="expression" dxfId="6009" priority="1703" stopIfTrue="1">
      <formula>C29=CléPersonnalisée2</formula>
    </cfRule>
    <cfRule type="expression" dxfId="6008" priority="1704" stopIfTrue="1">
      <formula>C29=CléPersonnalisée1</formula>
    </cfRule>
    <cfRule type="expression" dxfId="6007" priority="1705" stopIfTrue="1">
      <formula>C29=CléMaladie</formula>
    </cfRule>
    <cfRule type="expression" dxfId="6006" priority="1706" stopIfTrue="1">
      <formula>C29=CléPersonnelle</formula>
    </cfRule>
    <cfRule type="expression" dxfId="6005" priority="1707" stopIfTrue="1">
      <formula>C29=CléCongés</formula>
    </cfRule>
  </conditionalFormatting>
  <conditionalFormatting sqref="AH31">
    <cfRule type="dataBar" priority="1708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{30C35390-03A0-425A-8B15-05EFBD96C28A}</x14:id>
        </ext>
      </extLst>
    </cfRule>
  </conditionalFormatting>
  <conditionalFormatting sqref="AI31:AL31 AJ29:AL30">
    <cfRule type="expression" priority="1696" stopIfTrue="1">
      <formula>AI29=""</formula>
    </cfRule>
    <cfRule type="expression" dxfId="6004" priority="1697" stopIfTrue="1">
      <formula>AI29=CléPersonnalisée2</formula>
    </cfRule>
    <cfRule type="expression" dxfId="6003" priority="1698" stopIfTrue="1">
      <formula>AI29=CléPersonnalisée1</formula>
    </cfRule>
    <cfRule type="expression" dxfId="6002" priority="1699" stopIfTrue="1">
      <formula>AI29=CléMaladie</formula>
    </cfRule>
    <cfRule type="expression" dxfId="6001" priority="1700" stopIfTrue="1">
      <formula>AI29=CléPersonnelle</formula>
    </cfRule>
    <cfRule type="expression" dxfId="6000" priority="1701" stopIfTrue="1">
      <formula>AI29=CléCongés</formula>
    </cfRule>
  </conditionalFormatting>
  <conditionalFormatting sqref="AM29:AP30">
    <cfRule type="expression" priority="1690" stopIfTrue="1">
      <formula>AM29=""</formula>
    </cfRule>
    <cfRule type="expression" dxfId="5999" priority="1691" stopIfTrue="1">
      <formula>AM29=CléPersonnalisée2</formula>
    </cfRule>
    <cfRule type="expression" dxfId="5998" priority="1692" stopIfTrue="1">
      <formula>AM29=CléPersonnalisée1</formula>
    </cfRule>
    <cfRule type="expression" dxfId="5997" priority="1693" stopIfTrue="1">
      <formula>AM29=CléMaladie</formula>
    </cfRule>
    <cfRule type="expression" dxfId="5996" priority="1694" stopIfTrue="1">
      <formula>AM29=CléPersonnelle</formula>
    </cfRule>
    <cfRule type="expression" dxfId="5995" priority="1695" stopIfTrue="1">
      <formula>AM29=CléCongés</formula>
    </cfRule>
  </conditionalFormatting>
  <conditionalFormatting sqref="AQ29:AR30">
    <cfRule type="expression" priority="1684" stopIfTrue="1">
      <formula>AQ29=""</formula>
    </cfRule>
    <cfRule type="expression" dxfId="5994" priority="1685" stopIfTrue="1">
      <formula>AQ29=CléPersonnalisée2</formula>
    </cfRule>
    <cfRule type="expression" dxfId="5993" priority="1686" stopIfTrue="1">
      <formula>AQ29=CléPersonnalisée1</formula>
    </cfRule>
    <cfRule type="expression" dxfId="5992" priority="1687" stopIfTrue="1">
      <formula>AQ29=CléMaladie</formula>
    </cfRule>
    <cfRule type="expression" dxfId="5991" priority="1688" stopIfTrue="1">
      <formula>AQ29=CléPersonnelle</formula>
    </cfRule>
    <cfRule type="expression" dxfId="5990" priority="1689" stopIfTrue="1">
      <formula>AQ29=CléCongés</formula>
    </cfRule>
  </conditionalFormatting>
  <conditionalFormatting sqref="AM31 AP31">
    <cfRule type="expression" priority="1678" stopIfTrue="1">
      <formula>AM31=""</formula>
    </cfRule>
    <cfRule type="expression" dxfId="5989" priority="1679" stopIfTrue="1">
      <formula>AM31=CléPersonnalisée2</formula>
    </cfRule>
    <cfRule type="expression" dxfId="5988" priority="1680" stopIfTrue="1">
      <formula>AM31=CléPersonnalisée1</formula>
    </cfRule>
    <cfRule type="expression" dxfId="5987" priority="1681" stopIfTrue="1">
      <formula>AM31=CléMaladie</formula>
    </cfRule>
    <cfRule type="expression" dxfId="5986" priority="1682" stopIfTrue="1">
      <formula>AM31=CléPersonnelle</formula>
    </cfRule>
    <cfRule type="expression" dxfId="5985" priority="1683" stopIfTrue="1">
      <formula>AM31=CléCongés</formula>
    </cfRule>
  </conditionalFormatting>
  <conditionalFormatting sqref="C33:AG35">
    <cfRule type="expression" priority="1671" stopIfTrue="1">
      <formula>C33=""</formula>
    </cfRule>
    <cfRule type="expression" dxfId="5984" priority="1672" stopIfTrue="1">
      <formula>C33=CléPersonnalisée2</formula>
    </cfRule>
    <cfRule type="expression" dxfId="5983" priority="1673" stopIfTrue="1">
      <formula>C33=CléPersonnalisée1</formula>
    </cfRule>
    <cfRule type="expression" dxfId="5982" priority="1674" stopIfTrue="1">
      <formula>C33=CléMaladie</formula>
    </cfRule>
    <cfRule type="expression" dxfId="5981" priority="1675" stopIfTrue="1">
      <formula>C33=CléPersonnelle</formula>
    </cfRule>
    <cfRule type="expression" dxfId="5980" priority="1676" stopIfTrue="1">
      <formula>C33=CléCongés</formula>
    </cfRule>
  </conditionalFormatting>
  <conditionalFormatting sqref="AH35">
    <cfRule type="dataBar" priority="1677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{C47444B6-3DC1-4254-A35D-BA231CDC116A}</x14:id>
        </ext>
      </extLst>
    </cfRule>
  </conditionalFormatting>
  <conditionalFormatting sqref="AI35:AL35 AJ33:AL34">
    <cfRule type="expression" priority="1665" stopIfTrue="1">
      <formula>AI33=""</formula>
    </cfRule>
    <cfRule type="expression" dxfId="5979" priority="1666" stopIfTrue="1">
      <formula>AI33=CléPersonnalisée2</formula>
    </cfRule>
    <cfRule type="expression" dxfId="5978" priority="1667" stopIfTrue="1">
      <formula>AI33=CléPersonnalisée1</formula>
    </cfRule>
    <cfRule type="expression" dxfId="5977" priority="1668" stopIfTrue="1">
      <formula>AI33=CléMaladie</formula>
    </cfRule>
    <cfRule type="expression" dxfId="5976" priority="1669" stopIfTrue="1">
      <formula>AI33=CléPersonnelle</formula>
    </cfRule>
    <cfRule type="expression" dxfId="5975" priority="1670" stopIfTrue="1">
      <formula>AI33=CléCongés</formula>
    </cfRule>
  </conditionalFormatting>
  <conditionalFormatting sqref="AM33:AP34">
    <cfRule type="expression" priority="1659" stopIfTrue="1">
      <formula>AM33=""</formula>
    </cfRule>
    <cfRule type="expression" dxfId="5974" priority="1660" stopIfTrue="1">
      <formula>AM33=CléPersonnalisée2</formula>
    </cfRule>
    <cfRule type="expression" dxfId="5973" priority="1661" stopIfTrue="1">
      <formula>AM33=CléPersonnalisée1</formula>
    </cfRule>
    <cfRule type="expression" dxfId="5972" priority="1662" stopIfTrue="1">
      <formula>AM33=CléMaladie</formula>
    </cfRule>
    <cfRule type="expression" dxfId="5971" priority="1663" stopIfTrue="1">
      <formula>AM33=CléPersonnelle</formula>
    </cfRule>
    <cfRule type="expression" dxfId="5970" priority="1664" stopIfTrue="1">
      <formula>AM33=CléCongés</formula>
    </cfRule>
  </conditionalFormatting>
  <conditionalFormatting sqref="AQ33:AR34">
    <cfRule type="expression" priority="1653" stopIfTrue="1">
      <formula>AQ33=""</formula>
    </cfRule>
    <cfRule type="expression" dxfId="5969" priority="1654" stopIfTrue="1">
      <formula>AQ33=CléPersonnalisée2</formula>
    </cfRule>
    <cfRule type="expression" dxfId="5968" priority="1655" stopIfTrue="1">
      <formula>AQ33=CléPersonnalisée1</formula>
    </cfRule>
    <cfRule type="expression" dxfId="5967" priority="1656" stopIfTrue="1">
      <formula>AQ33=CléMaladie</formula>
    </cfRule>
    <cfRule type="expression" dxfId="5966" priority="1657" stopIfTrue="1">
      <formula>AQ33=CléPersonnelle</formula>
    </cfRule>
    <cfRule type="expression" dxfId="5965" priority="1658" stopIfTrue="1">
      <formula>AQ33=CléCongés</formula>
    </cfRule>
  </conditionalFormatting>
  <conditionalFormatting sqref="AM35 AP35">
    <cfRule type="expression" priority="1647" stopIfTrue="1">
      <formula>AM35=""</formula>
    </cfRule>
    <cfRule type="expression" dxfId="5964" priority="1648" stopIfTrue="1">
      <formula>AM35=CléPersonnalisée2</formula>
    </cfRule>
    <cfRule type="expression" dxfId="5963" priority="1649" stopIfTrue="1">
      <formula>AM35=CléPersonnalisée1</formula>
    </cfRule>
    <cfRule type="expression" dxfId="5962" priority="1650" stopIfTrue="1">
      <formula>AM35=CléMaladie</formula>
    </cfRule>
    <cfRule type="expression" dxfId="5961" priority="1651" stopIfTrue="1">
      <formula>AM35=CléPersonnelle</formula>
    </cfRule>
    <cfRule type="expression" dxfId="5960" priority="1652" stopIfTrue="1">
      <formula>AM35=CléCongés</formula>
    </cfRule>
  </conditionalFormatting>
  <conditionalFormatting sqref="C37:AG39">
    <cfRule type="expression" priority="1640" stopIfTrue="1">
      <formula>C37=""</formula>
    </cfRule>
    <cfRule type="expression" dxfId="5959" priority="1641" stopIfTrue="1">
      <formula>C37=CléPersonnalisée2</formula>
    </cfRule>
    <cfRule type="expression" dxfId="5958" priority="1642" stopIfTrue="1">
      <formula>C37=CléPersonnalisée1</formula>
    </cfRule>
    <cfRule type="expression" dxfId="5957" priority="1643" stopIfTrue="1">
      <formula>C37=CléMaladie</formula>
    </cfRule>
    <cfRule type="expression" dxfId="5956" priority="1644" stopIfTrue="1">
      <formula>C37=CléPersonnelle</formula>
    </cfRule>
    <cfRule type="expression" dxfId="5955" priority="1645" stopIfTrue="1">
      <formula>C37=CléCongés</formula>
    </cfRule>
  </conditionalFormatting>
  <conditionalFormatting sqref="AH39">
    <cfRule type="dataBar" priority="1646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{7968AD04-783C-409C-A10C-733331B7CEBC}</x14:id>
        </ext>
      </extLst>
    </cfRule>
  </conditionalFormatting>
  <conditionalFormatting sqref="AI39:AL39 AJ37:AL38">
    <cfRule type="expression" priority="1634" stopIfTrue="1">
      <formula>AI37=""</formula>
    </cfRule>
    <cfRule type="expression" dxfId="5954" priority="1635" stopIfTrue="1">
      <formula>AI37=CléPersonnalisée2</formula>
    </cfRule>
    <cfRule type="expression" dxfId="5953" priority="1636" stopIfTrue="1">
      <formula>AI37=CléPersonnalisée1</formula>
    </cfRule>
    <cfRule type="expression" dxfId="5952" priority="1637" stopIfTrue="1">
      <formula>AI37=CléMaladie</formula>
    </cfRule>
    <cfRule type="expression" dxfId="5951" priority="1638" stopIfTrue="1">
      <formula>AI37=CléPersonnelle</formula>
    </cfRule>
    <cfRule type="expression" dxfId="5950" priority="1639" stopIfTrue="1">
      <formula>AI37=CléCongés</formula>
    </cfRule>
  </conditionalFormatting>
  <conditionalFormatting sqref="AM37:AP38">
    <cfRule type="expression" priority="1628" stopIfTrue="1">
      <formula>AM37=""</formula>
    </cfRule>
    <cfRule type="expression" dxfId="5949" priority="1629" stopIfTrue="1">
      <formula>AM37=CléPersonnalisée2</formula>
    </cfRule>
    <cfRule type="expression" dxfId="5948" priority="1630" stopIfTrue="1">
      <formula>AM37=CléPersonnalisée1</formula>
    </cfRule>
    <cfRule type="expression" dxfId="5947" priority="1631" stopIfTrue="1">
      <formula>AM37=CléMaladie</formula>
    </cfRule>
    <cfRule type="expression" dxfId="5946" priority="1632" stopIfTrue="1">
      <formula>AM37=CléPersonnelle</formula>
    </cfRule>
    <cfRule type="expression" dxfId="5945" priority="1633" stopIfTrue="1">
      <formula>AM37=CléCongés</formula>
    </cfRule>
  </conditionalFormatting>
  <conditionalFormatting sqref="AQ37:AR38">
    <cfRule type="expression" priority="1622" stopIfTrue="1">
      <formula>AQ37=""</formula>
    </cfRule>
    <cfRule type="expression" dxfId="5944" priority="1623" stopIfTrue="1">
      <formula>AQ37=CléPersonnalisée2</formula>
    </cfRule>
    <cfRule type="expression" dxfId="5943" priority="1624" stopIfTrue="1">
      <formula>AQ37=CléPersonnalisée1</formula>
    </cfRule>
    <cfRule type="expression" dxfId="5942" priority="1625" stopIfTrue="1">
      <formula>AQ37=CléMaladie</formula>
    </cfRule>
    <cfRule type="expression" dxfId="5941" priority="1626" stopIfTrue="1">
      <formula>AQ37=CléPersonnelle</formula>
    </cfRule>
    <cfRule type="expression" dxfId="5940" priority="1627" stopIfTrue="1">
      <formula>AQ37=CléCongés</formula>
    </cfRule>
  </conditionalFormatting>
  <conditionalFormatting sqref="AM39 AP39">
    <cfRule type="expression" priority="1616" stopIfTrue="1">
      <formula>AM39=""</formula>
    </cfRule>
    <cfRule type="expression" dxfId="5939" priority="1617" stopIfTrue="1">
      <formula>AM39=CléPersonnalisée2</formula>
    </cfRule>
    <cfRule type="expression" dxfId="5938" priority="1618" stopIfTrue="1">
      <formula>AM39=CléPersonnalisée1</formula>
    </cfRule>
    <cfRule type="expression" dxfId="5937" priority="1619" stopIfTrue="1">
      <formula>AM39=CléMaladie</formula>
    </cfRule>
    <cfRule type="expression" dxfId="5936" priority="1620" stopIfTrue="1">
      <formula>AM39=CléPersonnelle</formula>
    </cfRule>
    <cfRule type="expression" dxfId="5935" priority="1621" stopIfTrue="1">
      <formula>AM39=CléCongés</formula>
    </cfRule>
  </conditionalFormatting>
  <conditionalFormatting sqref="C41:AG43">
    <cfRule type="expression" priority="1609" stopIfTrue="1">
      <formula>C41=""</formula>
    </cfRule>
    <cfRule type="expression" dxfId="5934" priority="1610" stopIfTrue="1">
      <formula>C41=CléPersonnalisée2</formula>
    </cfRule>
    <cfRule type="expression" dxfId="5933" priority="1611" stopIfTrue="1">
      <formula>C41=CléPersonnalisée1</formula>
    </cfRule>
    <cfRule type="expression" dxfId="5932" priority="1612" stopIfTrue="1">
      <formula>C41=CléMaladie</formula>
    </cfRule>
    <cfRule type="expression" dxfId="5931" priority="1613" stopIfTrue="1">
      <formula>C41=CléPersonnelle</formula>
    </cfRule>
    <cfRule type="expression" dxfId="5930" priority="1614" stopIfTrue="1">
      <formula>C41=CléCongés</formula>
    </cfRule>
  </conditionalFormatting>
  <conditionalFormatting sqref="AH43">
    <cfRule type="dataBar" priority="1615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{78AEC2EA-BBCF-4576-AC99-E798FA0F87B4}</x14:id>
        </ext>
      </extLst>
    </cfRule>
  </conditionalFormatting>
  <conditionalFormatting sqref="AI43:AL43 AJ41:AL42">
    <cfRule type="expression" priority="1603" stopIfTrue="1">
      <formula>AI41=""</formula>
    </cfRule>
    <cfRule type="expression" dxfId="5929" priority="1604" stopIfTrue="1">
      <formula>AI41=CléPersonnalisée2</formula>
    </cfRule>
    <cfRule type="expression" dxfId="5928" priority="1605" stopIfTrue="1">
      <formula>AI41=CléPersonnalisée1</formula>
    </cfRule>
    <cfRule type="expression" dxfId="5927" priority="1606" stopIfTrue="1">
      <formula>AI41=CléMaladie</formula>
    </cfRule>
    <cfRule type="expression" dxfId="5926" priority="1607" stopIfTrue="1">
      <formula>AI41=CléPersonnelle</formula>
    </cfRule>
    <cfRule type="expression" dxfId="5925" priority="1608" stopIfTrue="1">
      <formula>AI41=CléCongés</formula>
    </cfRule>
  </conditionalFormatting>
  <conditionalFormatting sqref="AM41:AP42">
    <cfRule type="expression" priority="1597" stopIfTrue="1">
      <formula>AM41=""</formula>
    </cfRule>
    <cfRule type="expression" dxfId="5924" priority="1598" stopIfTrue="1">
      <formula>AM41=CléPersonnalisée2</formula>
    </cfRule>
    <cfRule type="expression" dxfId="5923" priority="1599" stopIfTrue="1">
      <formula>AM41=CléPersonnalisée1</formula>
    </cfRule>
    <cfRule type="expression" dxfId="5922" priority="1600" stopIfTrue="1">
      <formula>AM41=CléMaladie</formula>
    </cfRule>
    <cfRule type="expression" dxfId="5921" priority="1601" stopIfTrue="1">
      <formula>AM41=CléPersonnelle</formula>
    </cfRule>
    <cfRule type="expression" dxfId="5920" priority="1602" stopIfTrue="1">
      <formula>AM41=CléCongés</formula>
    </cfRule>
  </conditionalFormatting>
  <conditionalFormatting sqref="AQ41:AR42">
    <cfRule type="expression" priority="1591" stopIfTrue="1">
      <formula>AQ41=""</formula>
    </cfRule>
    <cfRule type="expression" dxfId="5919" priority="1592" stopIfTrue="1">
      <formula>AQ41=CléPersonnalisée2</formula>
    </cfRule>
    <cfRule type="expression" dxfId="5918" priority="1593" stopIfTrue="1">
      <formula>AQ41=CléPersonnalisée1</formula>
    </cfRule>
    <cfRule type="expression" dxfId="5917" priority="1594" stopIfTrue="1">
      <formula>AQ41=CléMaladie</formula>
    </cfRule>
    <cfRule type="expression" dxfId="5916" priority="1595" stopIfTrue="1">
      <formula>AQ41=CléPersonnelle</formula>
    </cfRule>
    <cfRule type="expression" dxfId="5915" priority="1596" stopIfTrue="1">
      <formula>AQ41=CléCongés</formula>
    </cfRule>
  </conditionalFormatting>
  <conditionalFormatting sqref="AM43 AP43">
    <cfRule type="expression" priority="1585" stopIfTrue="1">
      <formula>AM43=""</formula>
    </cfRule>
    <cfRule type="expression" dxfId="5914" priority="1586" stopIfTrue="1">
      <formula>AM43=CléPersonnalisée2</formula>
    </cfRule>
    <cfRule type="expression" dxfId="5913" priority="1587" stopIfTrue="1">
      <formula>AM43=CléPersonnalisée1</formula>
    </cfRule>
    <cfRule type="expression" dxfId="5912" priority="1588" stopIfTrue="1">
      <formula>AM43=CléMaladie</formula>
    </cfRule>
    <cfRule type="expression" dxfId="5911" priority="1589" stopIfTrue="1">
      <formula>AM43=CléPersonnelle</formula>
    </cfRule>
    <cfRule type="expression" dxfId="5910" priority="1590" stopIfTrue="1">
      <formula>AM43=CléCongés</formula>
    </cfRule>
  </conditionalFormatting>
  <conditionalFormatting sqref="C45:AG47">
    <cfRule type="expression" priority="1578" stopIfTrue="1">
      <formula>C45=""</formula>
    </cfRule>
    <cfRule type="expression" dxfId="5909" priority="1579" stopIfTrue="1">
      <formula>C45=CléPersonnalisée2</formula>
    </cfRule>
    <cfRule type="expression" dxfId="5908" priority="1580" stopIfTrue="1">
      <formula>C45=CléPersonnalisée1</formula>
    </cfRule>
    <cfRule type="expression" dxfId="5907" priority="1581" stopIfTrue="1">
      <formula>C45=CléMaladie</formula>
    </cfRule>
    <cfRule type="expression" dxfId="5906" priority="1582" stopIfTrue="1">
      <formula>C45=CléPersonnelle</formula>
    </cfRule>
    <cfRule type="expression" dxfId="5905" priority="1583" stopIfTrue="1">
      <formula>C45=CléCongés</formula>
    </cfRule>
  </conditionalFormatting>
  <conditionalFormatting sqref="AH47">
    <cfRule type="dataBar" priority="1584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{ECED99A3-16D0-4FB9-AC18-919621D7AEB7}</x14:id>
        </ext>
      </extLst>
    </cfRule>
  </conditionalFormatting>
  <conditionalFormatting sqref="AI47:AL47 AJ45:AL46">
    <cfRule type="expression" priority="1572" stopIfTrue="1">
      <formula>AI45=""</formula>
    </cfRule>
    <cfRule type="expression" dxfId="5904" priority="1573" stopIfTrue="1">
      <formula>AI45=CléPersonnalisée2</formula>
    </cfRule>
    <cfRule type="expression" dxfId="5903" priority="1574" stopIfTrue="1">
      <formula>AI45=CléPersonnalisée1</formula>
    </cfRule>
    <cfRule type="expression" dxfId="5902" priority="1575" stopIfTrue="1">
      <formula>AI45=CléMaladie</formula>
    </cfRule>
    <cfRule type="expression" dxfId="5901" priority="1576" stopIfTrue="1">
      <formula>AI45=CléPersonnelle</formula>
    </cfRule>
    <cfRule type="expression" dxfId="5900" priority="1577" stopIfTrue="1">
      <formula>AI45=CléCongés</formula>
    </cfRule>
  </conditionalFormatting>
  <conditionalFormatting sqref="AM45:AP46">
    <cfRule type="expression" priority="1566" stopIfTrue="1">
      <formula>AM45=""</formula>
    </cfRule>
    <cfRule type="expression" dxfId="5899" priority="1567" stopIfTrue="1">
      <formula>AM45=CléPersonnalisée2</formula>
    </cfRule>
    <cfRule type="expression" dxfId="5898" priority="1568" stopIfTrue="1">
      <formula>AM45=CléPersonnalisée1</formula>
    </cfRule>
    <cfRule type="expression" dxfId="5897" priority="1569" stopIfTrue="1">
      <formula>AM45=CléMaladie</formula>
    </cfRule>
    <cfRule type="expression" dxfId="5896" priority="1570" stopIfTrue="1">
      <formula>AM45=CléPersonnelle</formula>
    </cfRule>
    <cfRule type="expression" dxfId="5895" priority="1571" stopIfTrue="1">
      <formula>AM45=CléCongés</formula>
    </cfRule>
  </conditionalFormatting>
  <conditionalFormatting sqref="AQ45:AR46">
    <cfRule type="expression" priority="1560" stopIfTrue="1">
      <formula>AQ45=""</formula>
    </cfRule>
    <cfRule type="expression" dxfId="5894" priority="1561" stopIfTrue="1">
      <formula>AQ45=CléPersonnalisée2</formula>
    </cfRule>
    <cfRule type="expression" dxfId="5893" priority="1562" stopIfTrue="1">
      <formula>AQ45=CléPersonnalisée1</formula>
    </cfRule>
    <cfRule type="expression" dxfId="5892" priority="1563" stopIfTrue="1">
      <formula>AQ45=CléMaladie</formula>
    </cfRule>
    <cfRule type="expression" dxfId="5891" priority="1564" stopIfTrue="1">
      <formula>AQ45=CléPersonnelle</formula>
    </cfRule>
    <cfRule type="expression" dxfId="5890" priority="1565" stopIfTrue="1">
      <formula>AQ45=CléCongés</formula>
    </cfRule>
  </conditionalFormatting>
  <conditionalFormatting sqref="AM47 AP47">
    <cfRule type="expression" priority="1554" stopIfTrue="1">
      <formula>AM47=""</formula>
    </cfRule>
    <cfRule type="expression" dxfId="5889" priority="1555" stopIfTrue="1">
      <formula>AM47=CléPersonnalisée2</formula>
    </cfRule>
    <cfRule type="expression" dxfId="5888" priority="1556" stopIfTrue="1">
      <formula>AM47=CléPersonnalisée1</formula>
    </cfRule>
    <cfRule type="expression" dxfId="5887" priority="1557" stopIfTrue="1">
      <formula>AM47=CléMaladie</formula>
    </cfRule>
    <cfRule type="expression" dxfId="5886" priority="1558" stopIfTrue="1">
      <formula>AM47=CléPersonnelle</formula>
    </cfRule>
    <cfRule type="expression" dxfId="5885" priority="1559" stopIfTrue="1">
      <formula>AM47=CléCongés</formula>
    </cfRule>
  </conditionalFormatting>
  <conditionalFormatting sqref="C49:AG51">
    <cfRule type="expression" priority="1547" stopIfTrue="1">
      <formula>C49=""</formula>
    </cfRule>
    <cfRule type="expression" dxfId="5884" priority="1548" stopIfTrue="1">
      <formula>C49=CléPersonnalisée2</formula>
    </cfRule>
    <cfRule type="expression" dxfId="5883" priority="1549" stopIfTrue="1">
      <formula>C49=CléPersonnalisée1</formula>
    </cfRule>
    <cfRule type="expression" dxfId="5882" priority="1550" stopIfTrue="1">
      <formula>C49=CléMaladie</formula>
    </cfRule>
    <cfRule type="expression" dxfId="5881" priority="1551" stopIfTrue="1">
      <formula>C49=CléPersonnelle</formula>
    </cfRule>
    <cfRule type="expression" dxfId="5880" priority="1552" stopIfTrue="1">
      <formula>C49=CléCongés</formula>
    </cfRule>
  </conditionalFormatting>
  <conditionalFormatting sqref="AH51">
    <cfRule type="dataBar" priority="1553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{5DBAB600-A94D-4DAC-BB08-8C3A9C475DB2}</x14:id>
        </ext>
      </extLst>
    </cfRule>
  </conditionalFormatting>
  <conditionalFormatting sqref="AI51:AL51 AJ49:AL50">
    <cfRule type="expression" priority="1541" stopIfTrue="1">
      <formula>AI49=""</formula>
    </cfRule>
    <cfRule type="expression" dxfId="5879" priority="1542" stopIfTrue="1">
      <formula>AI49=CléPersonnalisée2</formula>
    </cfRule>
    <cfRule type="expression" dxfId="5878" priority="1543" stopIfTrue="1">
      <formula>AI49=CléPersonnalisée1</formula>
    </cfRule>
    <cfRule type="expression" dxfId="5877" priority="1544" stopIfTrue="1">
      <formula>AI49=CléMaladie</formula>
    </cfRule>
    <cfRule type="expression" dxfId="5876" priority="1545" stopIfTrue="1">
      <formula>AI49=CléPersonnelle</formula>
    </cfRule>
    <cfRule type="expression" dxfId="5875" priority="1546" stopIfTrue="1">
      <formula>AI49=CléCongés</formula>
    </cfRule>
  </conditionalFormatting>
  <conditionalFormatting sqref="AM49:AP50">
    <cfRule type="expression" priority="1535" stopIfTrue="1">
      <formula>AM49=""</formula>
    </cfRule>
    <cfRule type="expression" dxfId="5874" priority="1536" stopIfTrue="1">
      <formula>AM49=CléPersonnalisée2</formula>
    </cfRule>
    <cfRule type="expression" dxfId="5873" priority="1537" stopIfTrue="1">
      <formula>AM49=CléPersonnalisée1</formula>
    </cfRule>
    <cfRule type="expression" dxfId="5872" priority="1538" stopIfTrue="1">
      <formula>AM49=CléMaladie</formula>
    </cfRule>
    <cfRule type="expression" dxfId="5871" priority="1539" stopIfTrue="1">
      <formula>AM49=CléPersonnelle</formula>
    </cfRule>
    <cfRule type="expression" dxfId="5870" priority="1540" stopIfTrue="1">
      <formula>AM49=CléCongés</formula>
    </cfRule>
  </conditionalFormatting>
  <conditionalFormatting sqref="AQ49:AR50">
    <cfRule type="expression" priority="1529" stopIfTrue="1">
      <formula>AQ49=""</formula>
    </cfRule>
    <cfRule type="expression" dxfId="5869" priority="1530" stopIfTrue="1">
      <formula>AQ49=CléPersonnalisée2</formula>
    </cfRule>
    <cfRule type="expression" dxfId="5868" priority="1531" stopIfTrue="1">
      <formula>AQ49=CléPersonnalisée1</formula>
    </cfRule>
    <cfRule type="expression" dxfId="5867" priority="1532" stopIfTrue="1">
      <formula>AQ49=CléMaladie</formula>
    </cfRule>
    <cfRule type="expression" dxfId="5866" priority="1533" stopIfTrue="1">
      <formula>AQ49=CléPersonnelle</formula>
    </cfRule>
    <cfRule type="expression" dxfId="5865" priority="1534" stopIfTrue="1">
      <formula>AQ49=CléCongés</formula>
    </cfRule>
  </conditionalFormatting>
  <conditionalFormatting sqref="AM51 AP51">
    <cfRule type="expression" priority="1523" stopIfTrue="1">
      <formula>AM51=""</formula>
    </cfRule>
    <cfRule type="expression" dxfId="5864" priority="1524" stopIfTrue="1">
      <formula>AM51=CléPersonnalisée2</formula>
    </cfRule>
    <cfRule type="expression" dxfId="5863" priority="1525" stopIfTrue="1">
      <formula>AM51=CléPersonnalisée1</formula>
    </cfRule>
    <cfRule type="expression" dxfId="5862" priority="1526" stopIfTrue="1">
      <formula>AM51=CléMaladie</formula>
    </cfRule>
    <cfRule type="expression" dxfId="5861" priority="1527" stopIfTrue="1">
      <formula>AM51=CléPersonnelle</formula>
    </cfRule>
    <cfRule type="expression" dxfId="5860" priority="1528" stopIfTrue="1">
      <formula>AM51=CléCongés</formula>
    </cfRule>
  </conditionalFormatting>
  <conditionalFormatting sqref="C53:AG55">
    <cfRule type="expression" priority="1516" stopIfTrue="1">
      <formula>C53=""</formula>
    </cfRule>
    <cfRule type="expression" dxfId="5859" priority="1517" stopIfTrue="1">
      <formula>C53=CléPersonnalisée2</formula>
    </cfRule>
    <cfRule type="expression" dxfId="5858" priority="1518" stopIfTrue="1">
      <formula>C53=CléPersonnalisée1</formula>
    </cfRule>
    <cfRule type="expression" dxfId="5857" priority="1519" stopIfTrue="1">
      <formula>C53=CléMaladie</formula>
    </cfRule>
    <cfRule type="expression" dxfId="5856" priority="1520" stopIfTrue="1">
      <formula>C53=CléPersonnelle</formula>
    </cfRule>
    <cfRule type="expression" dxfId="5855" priority="1521" stopIfTrue="1">
      <formula>C53=CléCongés</formula>
    </cfRule>
  </conditionalFormatting>
  <conditionalFormatting sqref="AH55">
    <cfRule type="dataBar" priority="1522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{9CC8B3F8-A819-4BB2-9301-31FFE99E42D5}</x14:id>
        </ext>
      </extLst>
    </cfRule>
  </conditionalFormatting>
  <conditionalFormatting sqref="AI55:AL55 AJ53:AL54">
    <cfRule type="expression" priority="1510" stopIfTrue="1">
      <formula>AI53=""</formula>
    </cfRule>
    <cfRule type="expression" dxfId="5854" priority="1511" stopIfTrue="1">
      <formula>AI53=CléPersonnalisée2</formula>
    </cfRule>
    <cfRule type="expression" dxfId="5853" priority="1512" stopIfTrue="1">
      <formula>AI53=CléPersonnalisée1</formula>
    </cfRule>
    <cfRule type="expression" dxfId="5852" priority="1513" stopIfTrue="1">
      <formula>AI53=CléMaladie</formula>
    </cfRule>
    <cfRule type="expression" dxfId="5851" priority="1514" stopIfTrue="1">
      <formula>AI53=CléPersonnelle</formula>
    </cfRule>
    <cfRule type="expression" dxfId="5850" priority="1515" stopIfTrue="1">
      <formula>AI53=CléCongés</formula>
    </cfRule>
  </conditionalFormatting>
  <conditionalFormatting sqref="AM53:AP54">
    <cfRule type="expression" priority="1504" stopIfTrue="1">
      <formula>AM53=""</formula>
    </cfRule>
    <cfRule type="expression" dxfId="5849" priority="1505" stopIfTrue="1">
      <formula>AM53=CléPersonnalisée2</formula>
    </cfRule>
    <cfRule type="expression" dxfId="5848" priority="1506" stopIfTrue="1">
      <formula>AM53=CléPersonnalisée1</formula>
    </cfRule>
    <cfRule type="expression" dxfId="5847" priority="1507" stopIfTrue="1">
      <formula>AM53=CléMaladie</formula>
    </cfRule>
    <cfRule type="expression" dxfId="5846" priority="1508" stopIfTrue="1">
      <formula>AM53=CléPersonnelle</formula>
    </cfRule>
    <cfRule type="expression" dxfId="5845" priority="1509" stopIfTrue="1">
      <formula>AM53=CléCongés</formula>
    </cfRule>
  </conditionalFormatting>
  <conditionalFormatting sqref="AQ53:AR54">
    <cfRule type="expression" priority="1498" stopIfTrue="1">
      <formula>AQ53=""</formula>
    </cfRule>
    <cfRule type="expression" dxfId="5844" priority="1499" stopIfTrue="1">
      <formula>AQ53=CléPersonnalisée2</formula>
    </cfRule>
    <cfRule type="expression" dxfId="5843" priority="1500" stopIfTrue="1">
      <formula>AQ53=CléPersonnalisée1</formula>
    </cfRule>
    <cfRule type="expression" dxfId="5842" priority="1501" stopIfTrue="1">
      <formula>AQ53=CléMaladie</formula>
    </cfRule>
    <cfRule type="expression" dxfId="5841" priority="1502" stopIfTrue="1">
      <formula>AQ53=CléPersonnelle</formula>
    </cfRule>
    <cfRule type="expression" dxfId="5840" priority="1503" stopIfTrue="1">
      <formula>AQ53=CléCongés</formula>
    </cfRule>
  </conditionalFormatting>
  <conditionalFormatting sqref="AM55 AP55">
    <cfRule type="expression" priority="1492" stopIfTrue="1">
      <formula>AM55=""</formula>
    </cfRule>
    <cfRule type="expression" dxfId="5839" priority="1493" stopIfTrue="1">
      <formula>AM55=CléPersonnalisée2</formula>
    </cfRule>
    <cfRule type="expression" dxfId="5838" priority="1494" stopIfTrue="1">
      <formula>AM55=CléPersonnalisée1</formula>
    </cfRule>
    <cfRule type="expression" dxfId="5837" priority="1495" stopIfTrue="1">
      <formula>AM55=CléMaladie</formula>
    </cfRule>
    <cfRule type="expression" dxfId="5836" priority="1496" stopIfTrue="1">
      <formula>AM55=CléPersonnelle</formula>
    </cfRule>
    <cfRule type="expression" dxfId="5835" priority="1497" stopIfTrue="1">
      <formula>AM55=CléCongés</formula>
    </cfRule>
  </conditionalFormatting>
  <conditionalFormatting sqref="C61:AG63">
    <cfRule type="expression" priority="1485" stopIfTrue="1">
      <formula>C61=""</formula>
    </cfRule>
    <cfRule type="expression" dxfId="5834" priority="1486" stopIfTrue="1">
      <formula>C61=CléPersonnalisée2</formula>
    </cfRule>
    <cfRule type="expression" dxfId="5833" priority="1487" stopIfTrue="1">
      <formula>C61=CléPersonnalisée1</formula>
    </cfRule>
    <cfRule type="expression" dxfId="5832" priority="1488" stopIfTrue="1">
      <formula>C61=CléMaladie</formula>
    </cfRule>
    <cfRule type="expression" dxfId="5831" priority="1489" stopIfTrue="1">
      <formula>C61=CléPersonnelle</formula>
    </cfRule>
    <cfRule type="expression" dxfId="5830" priority="1490" stopIfTrue="1">
      <formula>C61=CléCongés</formula>
    </cfRule>
  </conditionalFormatting>
  <conditionalFormatting sqref="AH63">
    <cfRule type="dataBar" priority="1491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{3D3C4B2D-72E5-4BFC-80E4-1F5F6B34D8F9}</x14:id>
        </ext>
      </extLst>
    </cfRule>
  </conditionalFormatting>
  <conditionalFormatting sqref="AI63:AL63 AJ61:AL62">
    <cfRule type="expression" priority="1479" stopIfTrue="1">
      <formula>AI61=""</formula>
    </cfRule>
    <cfRule type="expression" dxfId="5829" priority="1480" stopIfTrue="1">
      <formula>AI61=CléPersonnalisée2</formula>
    </cfRule>
    <cfRule type="expression" dxfId="5828" priority="1481" stopIfTrue="1">
      <formula>AI61=CléPersonnalisée1</formula>
    </cfRule>
    <cfRule type="expression" dxfId="5827" priority="1482" stopIfTrue="1">
      <formula>AI61=CléMaladie</formula>
    </cfRule>
    <cfRule type="expression" dxfId="5826" priority="1483" stopIfTrue="1">
      <formula>AI61=CléPersonnelle</formula>
    </cfRule>
    <cfRule type="expression" dxfId="5825" priority="1484" stopIfTrue="1">
      <formula>AI61=CléCongés</formula>
    </cfRule>
  </conditionalFormatting>
  <conditionalFormatting sqref="AM61:AP62">
    <cfRule type="expression" priority="1473" stopIfTrue="1">
      <formula>AM61=""</formula>
    </cfRule>
    <cfRule type="expression" dxfId="5824" priority="1474" stopIfTrue="1">
      <formula>AM61=CléPersonnalisée2</formula>
    </cfRule>
    <cfRule type="expression" dxfId="5823" priority="1475" stopIfTrue="1">
      <formula>AM61=CléPersonnalisée1</formula>
    </cfRule>
    <cfRule type="expression" dxfId="5822" priority="1476" stopIfTrue="1">
      <formula>AM61=CléMaladie</formula>
    </cfRule>
    <cfRule type="expression" dxfId="5821" priority="1477" stopIfTrue="1">
      <formula>AM61=CléPersonnelle</formula>
    </cfRule>
    <cfRule type="expression" dxfId="5820" priority="1478" stopIfTrue="1">
      <formula>AM61=CléCongés</formula>
    </cfRule>
  </conditionalFormatting>
  <conditionalFormatting sqref="AQ61:AR62">
    <cfRule type="expression" priority="1467" stopIfTrue="1">
      <formula>AQ61=""</formula>
    </cfRule>
    <cfRule type="expression" dxfId="5819" priority="1468" stopIfTrue="1">
      <formula>AQ61=CléPersonnalisée2</formula>
    </cfRule>
    <cfRule type="expression" dxfId="5818" priority="1469" stopIfTrue="1">
      <formula>AQ61=CléPersonnalisée1</formula>
    </cfRule>
    <cfRule type="expression" dxfId="5817" priority="1470" stopIfTrue="1">
      <formula>AQ61=CléMaladie</formula>
    </cfRule>
    <cfRule type="expression" dxfId="5816" priority="1471" stopIfTrue="1">
      <formula>AQ61=CléPersonnelle</formula>
    </cfRule>
    <cfRule type="expression" dxfId="5815" priority="1472" stopIfTrue="1">
      <formula>AQ61=CléCongés</formula>
    </cfRule>
  </conditionalFormatting>
  <conditionalFormatting sqref="AM63 AP63">
    <cfRule type="expression" priority="1461" stopIfTrue="1">
      <formula>AM63=""</formula>
    </cfRule>
    <cfRule type="expression" dxfId="5814" priority="1462" stopIfTrue="1">
      <formula>AM63=CléPersonnalisée2</formula>
    </cfRule>
    <cfRule type="expression" dxfId="5813" priority="1463" stopIfTrue="1">
      <formula>AM63=CléPersonnalisée1</formula>
    </cfRule>
    <cfRule type="expression" dxfId="5812" priority="1464" stopIfTrue="1">
      <formula>AM63=CléMaladie</formula>
    </cfRule>
    <cfRule type="expression" dxfId="5811" priority="1465" stopIfTrue="1">
      <formula>AM63=CléPersonnelle</formula>
    </cfRule>
    <cfRule type="expression" dxfId="5810" priority="1466" stopIfTrue="1">
      <formula>AM63=CléCongés</formula>
    </cfRule>
  </conditionalFormatting>
  <conditionalFormatting sqref="AO39">
    <cfRule type="expression" priority="1326" stopIfTrue="1">
      <formula>AO39=""</formula>
    </cfRule>
    <cfRule type="expression" dxfId="5809" priority="1327" stopIfTrue="1">
      <formula>AO39=CléPersonnalisée2</formula>
    </cfRule>
    <cfRule type="expression" dxfId="5808" priority="1328" stopIfTrue="1">
      <formula>AO39=CléPersonnalisée1</formula>
    </cfRule>
    <cfRule type="expression" dxfId="5807" priority="1329" stopIfTrue="1">
      <formula>AO39=CléMaladie</formula>
    </cfRule>
    <cfRule type="expression" dxfId="5806" priority="1330" stopIfTrue="1">
      <formula>AO39=CléPersonnelle</formula>
    </cfRule>
    <cfRule type="expression" dxfId="5805" priority="1331" stopIfTrue="1">
      <formula>AO39=CléCongés</formula>
    </cfRule>
  </conditionalFormatting>
  <conditionalFormatting sqref="C69:AG71">
    <cfRule type="expression" priority="1454" stopIfTrue="1">
      <formula>C69=""</formula>
    </cfRule>
    <cfRule type="expression" dxfId="5804" priority="1455" stopIfTrue="1">
      <formula>C69=CléPersonnalisée2</formula>
    </cfRule>
    <cfRule type="expression" dxfId="5803" priority="1456" stopIfTrue="1">
      <formula>C69=CléPersonnalisée1</formula>
    </cfRule>
    <cfRule type="expression" dxfId="5802" priority="1457" stopIfTrue="1">
      <formula>C69=CléMaladie</formula>
    </cfRule>
    <cfRule type="expression" dxfId="5801" priority="1458" stopIfTrue="1">
      <formula>C69=CléPersonnelle</formula>
    </cfRule>
    <cfRule type="expression" dxfId="5800" priority="1459" stopIfTrue="1">
      <formula>C69=CléCongés</formula>
    </cfRule>
  </conditionalFormatting>
  <conditionalFormatting sqref="AH71">
    <cfRule type="dataBar" priority="1460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{ABC5A62E-D704-4AC6-9F17-6269FF2CFF22}</x14:id>
        </ext>
      </extLst>
    </cfRule>
  </conditionalFormatting>
  <conditionalFormatting sqref="AI71:AL71 AJ69:AL70">
    <cfRule type="expression" priority="1448" stopIfTrue="1">
      <formula>AI69=""</formula>
    </cfRule>
    <cfRule type="expression" dxfId="5799" priority="1449" stopIfTrue="1">
      <formula>AI69=CléPersonnalisée2</formula>
    </cfRule>
    <cfRule type="expression" dxfId="5798" priority="1450" stopIfTrue="1">
      <formula>AI69=CléPersonnalisée1</formula>
    </cfRule>
    <cfRule type="expression" dxfId="5797" priority="1451" stopIfTrue="1">
      <formula>AI69=CléMaladie</formula>
    </cfRule>
    <cfRule type="expression" dxfId="5796" priority="1452" stopIfTrue="1">
      <formula>AI69=CléPersonnelle</formula>
    </cfRule>
    <cfRule type="expression" dxfId="5795" priority="1453" stopIfTrue="1">
      <formula>AI69=CléCongés</formula>
    </cfRule>
  </conditionalFormatting>
  <conditionalFormatting sqref="AM69:AP70">
    <cfRule type="expression" priority="1442" stopIfTrue="1">
      <formula>AM69=""</formula>
    </cfRule>
    <cfRule type="expression" dxfId="5794" priority="1443" stopIfTrue="1">
      <formula>AM69=CléPersonnalisée2</formula>
    </cfRule>
    <cfRule type="expression" dxfId="5793" priority="1444" stopIfTrue="1">
      <formula>AM69=CléPersonnalisée1</formula>
    </cfRule>
    <cfRule type="expression" dxfId="5792" priority="1445" stopIfTrue="1">
      <formula>AM69=CléMaladie</formula>
    </cfRule>
    <cfRule type="expression" dxfId="5791" priority="1446" stopIfTrue="1">
      <formula>AM69=CléPersonnelle</formula>
    </cfRule>
    <cfRule type="expression" dxfId="5790" priority="1447" stopIfTrue="1">
      <formula>AM69=CléCongés</formula>
    </cfRule>
  </conditionalFormatting>
  <conditionalFormatting sqref="AQ69:AR70">
    <cfRule type="expression" priority="1436" stopIfTrue="1">
      <formula>AQ69=""</formula>
    </cfRule>
    <cfRule type="expression" dxfId="5789" priority="1437" stopIfTrue="1">
      <formula>AQ69=CléPersonnalisée2</formula>
    </cfRule>
    <cfRule type="expression" dxfId="5788" priority="1438" stopIfTrue="1">
      <formula>AQ69=CléPersonnalisée1</formula>
    </cfRule>
    <cfRule type="expression" dxfId="5787" priority="1439" stopIfTrue="1">
      <formula>AQ69=CléMaladie</formula>
    </cfRule>
    <cfRule type="expression" dxfId="5786" priority="1440" stopIfTrue="1">
      <formula>AQ69=CléPersonnelle</formula>
    </cfRule>
    <cfRule type="expression" dxfId="5785" priority="1441" stopIfTrue="1">
      <formula>AQ69=CléCongés</formula>
    </cfRule>
  </conditionalFormatting>
  <conditionalFormatting sqref="AM71 AP71">
    <cfRule type="expression" priority="1430" stopIfTrue="1">
      <formula>AM71=""</formula>
    </cfRule>
    <cfRule type="expression" dxfId="5784" priority="1431" stopIfTrue="1">
      <formula>AM71=CléPersonnalisée2</formula>
    </cfRule>
    <cfRule type="expression" dxfId="5783" priority="1432" stopIfTrue="1">
      <formula>AM71=CléPersonnalisée1</formula>
    </cfRule>
    <cfRule type="expression" dxfId="5782" priority="1433" stopIfTrue="1">
      <formula>AM71=CléMaladie</formula>
    </cfRule>
    <cfRule type="expression" dxfId="5781" priority="1434" stopIfTrue="1">
      <formula>AM71=CléPersonnelle</formula>
    </cfRule>
    <cfRule type="expression" dxfId="5780" priority="1435" stopIfTrue="1">
      <formula>AM71=CléCongés</formula>
    </cfRule>
  </conditionalFormatting>
  <conditionalFormatting sqref="AI23">
    <cfRule type="expression" priority="1418" stopIfTrue="1">
      <formula>AI23=""</formula>
    </cfRule>
    <cfRule type="expression" dxfId="5779" priority="1419" stopIfTrue="1">
      <formula>AI23=CléPersonnalisée2</formula>
    </cfRule>
    <cfRule type="expression" dxfId="5778" priority="1420" stopIfTrue="1">
      <formula>AI23=CléPersonnalisée1</formula>
    </cfRule>
    <cfRule type="expression" dxfId="5777" priority="1421" stopIfTrue="1">
      <formula>AI23=CléMaladie</formula>
    </cfRule>
    <cfRule type="expression" dxfId="5776" priority="1422" stopIfTrue="1">
      <formula>AI23=CléPersonnelle</formula>
    </cfRule>
    <cfRule type="expression" dxfId="5775" priority="1423" stopIfTrue="1">
      <formula>AI23=CléCongés</formula>
    </cfRule>
  </conditionalFormatting>
  <conditionalFormatting sqref="AI19">
    <cfRule type="expression" priority="1424" stopIfTrue="1">
      <formula>AI19=""</formula>
    </cfRule>
    <cfRule type="expression" dxfId="5774" priority="1425" stopIfTrue="1">
      <formula>AI19=CléPersonnalisée2</formula>
    </cfRule>
    <cfRule type="expression" dxfId="5773" priority="1426" stopIfTrue="1">
      <formula>AI19=CléPersonnalisée1</formula>
    </cfRule>
    <cfRule type="expression" dxfId="5772" priority="1427" stopIfTrue="1">
      <formula>AI19=CléMaladie</formula>
    </cfRule>
    <cfRule type="expression" dxfId="5771" priority="1428" stopIfTrue="1">
      <formula>AI19=CléPersonnelle</formula>
    </cfRule>
    <cfRule type="expression" dxfId="5770" priority="1429" stopIfTrue="1">
      <formula>AI19=CléCongés</formula>
    </cfRule>
  </conditionalFormatting>
  <conditionalFormatting sqref="AI25:AI26">
    <cfRule type="expression" priority="1272" stopIfTrue="1">
      <formula>AI25=""</formula>
    </cfRule>
    <cfRule type="expression" dxfId="5769" priority="1273" stopIfTrue="1">
      <formula>AI25=CléPersonnalisée2</formula>
    </cfRule>
    <cfRule type="expression" dxfId="5768" priority="1274" stopIfTrue="1">
      <formula>AI25=CléPersonnalisée1</formula>
    </cfRule>
    <cfRule type="expression" dxfId="5767" priority="1275" stopIfTrue="1">
      <formula>AI25=CléMaladie</formula>
    </cfRule>
    <cfRule type="expression" dxfId="5766" priority="1276" stopIfTrue="1">
      <formula>AI25=CléPersonnelle</formula>
    </cfRule>
    <cfRule type="expression" dxfId="5765" priority="1277" stopIfTrue="1">
      <formula>AI25=CléCongés</formula>
    </cfRule>
  </conditionalFormatting>
  <conditionalFormatting sqref="AH19">
    <cfRule type="dataBar" priority="1417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{D2E0DAAC-351E-41B8-8CEA-0B197E90FA12}</x14:id>
        </ext>
      </extLst>
    </cfRule>
  </conditionalFormatting>
  <conditionalFormatting sqref="AH23">
    <cfRule type="dataBar" priority="1416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{4C0BED77-5DFF-47E3-9940-7959B30BBDD4}</x14:id>
        </ext>
      </extLst>
    </cfRule>
  </conditionalFormatting>
  <conditionalFormatting sqref="AM17:AP18">
    <cfRule type="expression" priority="1410" stopIfTrue="1">
      <formula>AM17=""</formula>
    </cfRule>
    <cfRule type="expression" dxfId="5764" priority="1411" stopIfTrue="1">
      <formula>AM17=CléPersonnalisée2</formula>
    </cfRule>
    <cfRule type="expression" dxfId="5763" priority="1412" stopIfTrue="1">
      <formula>AM17=CléPersonnalisée1</formula>
    </cfRule>
    <cfRule type="expression" dxfId="5762" priority="1413" stopIfTrue="1">
      <formula>AM17=CléMaladie</formula>
    </cfRule>
    <cfRule type="expression" dxfId="5761" priority="1414" stopIfTrue="1">
      <formula>AM17=CléPersonnelle</formula>
    </cfRule>
    <cfRule type="expression" dxfId="5760" priority="1415" stopIfTrue="1">
      <formula>AM17=CléCongés</formula>
    </cfRule>
  </conditionalFormatting>
  <conditionalFormatting sqref="AQ17:AR18">
    <cfRule type="expression" priority="1404" stopIfTrue="1">
      <formula>AQ17=""</formula>
    </cfRule>
    <cfRule type="expression" dxfId="5759" priority="1405" stopIfTrue="1">
      <formula>AQ17=CléPersonnalisée2</formula>
    </cfRule>
    <cfRule type="expression" dxfId="5758" priority="1406" stopIfTrue="1">
      <formula>AQ17=CléPersonnalisée1</formula>
    </cfRule>
    <cfRule type="expression" dxfId="5757" priority="1407" stopIfTrue="1">
      <formula>AQ17=CléMaladie</formula>
    </cfRule>
    <cfRule type="expression" dxfId="5756" priority="1408" stopIfTrue="1">
      <formula>AQ17=CléPersonnelle</formula>
    </cfRule>
    <cfRule type="expression" dxfId="5755" priority="1409" stopIfTrue="1">
      <formula>AQ17=CléCongés</formula>
    </cfRule>
  </conditionalFormatting>
  <conditionalFormatting sqref="AM19 AP19">
    <cfRule type="expression" priority="1398" stopIfTrue="1">
      <formula>AM19=""</formula>
    </cfRule>
    <cfRule type="expression" dxfId="5754" priority="1399" stopIfTrue="1">
      <formula>AM19=CléPersonnalisée2</formula>
    </cfRule>
    <cfRule type="expression" dxfId="5753" priority="1400" stopIfTrue="1">
      <formula>AM19=CléPersonnalisée1</formula>
    </cfRule>
    <cfRule type="expression" dxfId="5752" priority="1401" stopIfTrue="1">
      <formula>AM19=CléMaladie</formula>
    </cfRule>
    <cfRule type="expression" dxfId="5751" priority="1402" stopIfTrue="1">
      <formula>AM19=CléPersonnelle</formula>
    </cfRule>
    <cfRule type="expression" dxfId="5750" priority="1403" stopIfTrue="1">
      <formula>AM19=CléCongés</formula>
    </cfRule>
  </conditionalFormatting>
  <conditionalFormatting sqref="AO31">
    <cfRule type="expression" priority="1338" stopIfTrue="1">
      <formula>AO31=""</formula>
    </cfRule>
    <cfRule type="expression" dxfId="5749" priority="1339" stopIfTrue="1">
      <formula>AO31=CléPersonnalisée2</formula>
    </cfRule>
    <cfRule type="expression" dxfId="5748" priority="1340" stopIfTrue="1">
      <formula>AO31=CléPersonnalisée1</formula>
    </cfRule>
    <cfRule type="expression" dxfId="5747" priority="1341" stopIfTrue="1">
      <formula>AO31=CléMaladie</formula>
    </cfRule>
    <cfRule type="expression" dxfId="5746" priority="1342" stopIfTrue="1">
      <formula>AO31=CléPersonnelle</formula>
    </cfRule>
    <cfRule type="expression" dxfId="5745" priority="1343" stopIfTrue="1">
      <formula>AO31=CléCongés</formula>
    </cfRule>
  </conditionalFormatting>
  <conditionalFormatting sqref="AM21:AP22">
    <cfRule type="expression" priority="1392" stopIfTrue="1">
      <formula>AM21=""</formula>
    </cfRule>
    <cfRule type="expression" dxfId="5744" priority="1393" stopIfTrue="1">
      <formula>AM21=CléPersonnalisée2</formula>
    </cfRule>
    <cfRule type="expression" dxfId="5743" priority="1394" stopIfTrue="1">
      <formula>AM21=CléPersonnalisée1</formula>
    </cfRule>
    <cfRule type="expression" dxfId="5742" priority="1395" stopIfTrue="1">
      <formula>AM21=CléMaladie</formula>
    </cfRule>
    <cfRule type="expression" dxfId="5741" priority="1396" stopIfTrue="1">
      <formula>AM21=CléPersonnelle</formula>
    </cfRule>
    <cfRule type="expression" dxfId="5740" priority="1397" stopIfTrue="1">
      <formula>AM21=CléCongés</formula>
    </cfRule>
  </conditionalFormatting>
  <conditionalFormatting sqref="AQ21:AR22">
    <cfRule type="expression" priority="1386" stopIfTrue="1">
      <formula>AQ21=""</formula>
    </cfRule>
    <cfRule type="expression" dxfId="5739" priority="1387" stopIfTrue="1">
      <formula>AQ21=CléPersonnalisée2</formula>
    </cfRule>
    <cfRule type="expression" dxfId="5738" priority="1388" stopIfTrue="1">
      <formula>AQ21=CléPersonnalisée1</formula>
    </cfRule>
    <cfRule type="expression" dxfId="5737" priority="1389" stopIfTrue="1">
      <formula>AQ21=CléMaladie</formula>
    </cfRule>
    <cfRule type="expression" dxfId="5736" priority="1390" stopIfTrue="1">
      <formula>AQ21=CléPersonnelle</formula>
    </cfRule>
    <cfRule type="expression" dxfId="5735" priority="1391" stopIfTrue="1">
      <formula>AQ21=CléCongés</formula>
    </cfRule>
  </conditionalFormatting>
  <conditionalFormatting sqref="AM23 AP23">
    <cfRule type="expression" priority="1380" stopIfTrue="1">
      <formula>AM23=""</formula>
    </cfRule>
    <cfRule type="expression" dxfId="5734" priority="1381" stopIfTrue="1">
      <formula>AM23=CléPersonnalisée2</formula>
    </cfRule>
    <cfRule type="expression" dxfId="5733" priority="1382" stopIfTrue="1">
      <formula>AM23=CléPersonnalisée1</formula>
    </cfRule>
    <cfRule type="expression" dxfId="5732" priority="1383" stopIfTrue="1">
      <formula>AM23=CléMaladie</formula>
    </cfRule>
    <cfRule type="expression" dxfId="5731" priority="1384" stopIfTrue="1">
      <formula>AM23=CléPersonnelle</formula>
    </cfRule>
    <cfRule type="expression" dxfId="5730" priority="1385" stopIfTrue="1">
      <formula>AM23=CléCongés</formula>
    </cfRule>
  </conditionalFormatting>
  <conditionalFormatting sqref="AH17:AH18">
    <cfRule type="dataBar" priority="1379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{F5674375-C57B-4845-AB57-5ACEC6F3DF9E}</x14:id>
        </ext>
      </extLst>
    </cfRule>
  </conditionalFormatting>
  <conditionalFormatting sqref="AH21:AH22">
    <cfRule type="dataBar" priority="1378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{E34AFA36-FC6A-4DD2-B369-854196CFDDE7}</x14:id>
        </ext>
      </extLst>
    </cfRule>
  </conditionalFormatting>
  <conditionalFormatting sqref="AH25:AH26">
    <cfRule type="dataBar" priority="1377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{EDB02F11-91FD-47E6-B61C-8E6DAE3C6969}</x14:id>
        </ext>
      </extLst>
    </cfRule>
  </conditionalFormatting>
  <conditionalFormatting sqref="AH29:AH30">
    <cfRule type="dataBar" priority="1376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{940F286B-AC2F-42A7-9230-2D2FE2A9D5A3}</x14:id>
        </ext>
      </extLst>
    </cfRule>
  </conditionalFormatting>
  <conditionalFormatting sqref="AH33:AH34">
    <cfRule type="dataBar" priority="1375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{D2050947-C94F-4104-B8E9-301AC4DCC531}</x14:id>
        </ext>
      </extLst>
    </cfRule>
  </conditionalFormatting>
  <conditionalFormatting sqref="AH37:AH38">
    <cfRule type="dataBar" priority="1374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{F96DD2ED-8AC6-4CBF-B2F9-77F33ABE0204}</x14:id>
        </ext>
      </extLst>
    </cfRule>
  </conditionalFormatting>
  <conditionalFormatting sqref="AH41:AH42">
    <cfRule type="dataBar" priority="1373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{4035E9E4-38A9-475E-B401-93D763F882B7}</x14:id>
        </ext>
      </extLst>
    </cfRule>
  </conditionalFormatting>
  <conditionalFormatting sqref="AH45:AH46">
    <cfRule type="dataBar" priority="1372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{BBB69FE6-B154-47F9-B3E6-0CC7DF24A126}</x14:id>
        </ext>
      </extLst>
    </cfRule>
  </conditionalFormatting>
  <conditionalFormatting sqref="AH49:AH50">
    <cfRule type="dataBar" priority="1371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{DF56CD13-517B-4C78-A7E9-34FDCFE8D4CD}</x14:id>
        </ext>
      </extLst>
    </cfRule>
  </conditionalFormatting>
  <conditionalFormatting sqref="AH53:AH54">
    <cfRule type="dataBar" priority="1370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{383D4709-F272-4963-9C96-1DC2DD2FF136}</x14:id>
        </ext>
      </extLst>
    </cfRule>
  </conditionalFormatting>
  <conditionalFormatting sqref="AH61:AH62">
    <cfRule type="dataBar" priority="1369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{E66F7A0E-4726-485E-BBD5-8A9071438C6B}</x14:id>
        </ext>
      </extLst>
    </cfRule>
  </conditionalFormatting>
  <conditionalFormatting sqref="AH69:AH70">
    <cfRule type="dataBar" priority="1368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{2E98733F-973B-4FF9-B9AC-7B14099D1CA7}</x14:id>
        </ext>
      </extLst>
    </cfRule>
  </conditionalFormatting>
  <conditionalFormatting sqref="AO11">
    <cfRule type="expression" priority="1362" stopIfTrue="1">
      <formula>AO11=""</formula>
    </cfRule>
    <cfRule type="expression" dxfId="5729" priority="1363" stopIfTrue="1">
      <formula>AO11=CléPersonnalisée2</formula>
    </cfRule>
    <cfRule type="expression" dxfId="5728" priority="1364" stopIfTrue="1">
      <formula>AO11=CléPersonnalisée1</formula>
    </cfRule>
    <cfRule type="expression" dxfId="5727" priority="1365" stopIfTrue="1">
      <formula>AO11=CléMaladie</formula>
    </cfRule>
    <cfRule type="expression" dxfId="5726" priority="1366" stopIfTrue="1">
      <formula>AO11=CléPersonnelle</formula>
    </cfRule>
    <cfRule type="expression" dxfId="5725" priority="1367" stopIfTrue="1">
      <formula>AO11=CléCongés</formula>
    </cfRule>
  </conditionalFormatting>
  <conditionalFormatting sqref="AO19">
    <cfRule type="expression" priority="1356" stopIfTrue="1">
      <formula>AO19=""</formula>
    </cfRule>
    <cfRule type="expression" dxfId="5724" priority="1357" stopIfTrue="1">
      <formula>AO19=CléPersonnalisée2</formula>
    </cfRule>
    <cfRule type="expression" dxfId="5723" priority="1358" stopIfTrue="1">
      <formula>AO19=CléPersonnalisée1</formula>
    </cfRule>
    <cfRule type="expression" dxfId="5722" priority="1359" stopIfTrue="1">
      <formula>AO19=CléMaladie</formula>
    </cfRule>
    <cfRule type="expression" dxfId="5721" priority="1360" stopIfTrue="1">
      <formula>AO19=CléPersonnelle</formula>
    </cfRule>
    <cfRule type="expression" dxfId="5720" priority="1361" stopIfTrue="1">
      <formula>AO19=CléCongés</formula>
    </cfRule>
  </conditionalFormatting>
  <conditionalFormatting sqref="AO23">
    <cfRule type="expression" priority="1350" stopIfTrue="1">
      <formula>AO23=""</formula>
    </cfRule>
    <cfRule type="expression" dxfId="5719" priority="1351" stopIfTrue="1">
      <formula>AO23=CléPersonnalisée2</formula>
    </cfRule>
    <cfRule type="expression" dxfId="5718" priority="1352" stopIfTrue="1">
      <formula>AO23=CléPersonnalisée1</formula>
    </cfRule>
    <cfRule type="expression" dxfId="5717" priority="1353" stopIfTrue="1">
      <formula>AO23=CléMaladie</formula>
    </cfRule>
    <cfRule type="expression" dxfId="5716" priority="1354" stopIfTrue="1">
      <formula>AO23=CléPersonnelle</formula>
    </cfRule>
    <cfRule type="expression" dxfId="5715" priority="1355" stopIfTrue="1">
      <formula>AO23=CléCongés</formula>
    </cfRule>
  </conditionalFormatting>
  <conditionalFormatting sqref="AO27">
    <cfRule type="expression" priority="1344" stopIfTrue="1">
      <formula>AO27=""</formula>
    </cfRule>
    <cfRule type="expression" dxfId="5714" priority="1345" stopIfTrue="1">
      <formula>AO27=CléPersonnalisée2</formula>
    </cfRule>
    <cfRule type="expression" dxfId="5713" priority="1346" stopIfTrue="1">
      <formula>AO27=CléPersonnalisée1</formula>
    </cfRule>
    <cfRule type="expression" dxfId="5712" priority="1347" stopIfTrue="1">
      <formula>AO27=CléMaladie</formula>
    </cfRule>
    <cfRule type="expression" dxfId="5711" priority="1348" stopIfTrue="1">
      <formula>AO27=CléPersonnelle</formula>
    </cfRule>
    <cfRule type="expression" dxfId="5710" priority="1349" stopIfTrue="1">
      <formula>AO27=CléCongés</formula>
    </cfRule>
  </conditionalFormatting>
  <conditionalFormatting sqref="AM65:AP66">
    <cfRule type="expression" priority="1090" stopIfTrue="1">
      <formula>AM65=""</formula>
    </cfRule>
    <cfRule type="expression" dxfId="5709" priority="1091" stopIfTrue="1">
      <formula>AM65=CléPersonnalisée2</formula>
    </cfRule>
    <cfRule type="expression" dxfId="5708" priority="1092" stopIfTrue="1">
      <formula>AM65=CléPersonnalisée1</formula>
    </cfRule>
    <cfRule type="expression" dxfId="5707" priority="1093" stopIfTrue="1">
      <formula>AM65=CléMaladie</formula>
    </cfRule>
    <cfRule type="expression" dxfId="5706" priority="1094" stopIfTrue="1">
      <formula>AM65=CléPersonnelle</formula>
    </cfRule>
    <cfRule type="expression" dxfId="5705" priority="1095" stopIfTrue="1">
      <formula>AM65=CléCongés</formula>
    </cfRule>
  </conditionalFormatting>
  <conditionalFormatting sqref="AO35">
    <cfRule type="expression" priority="1332" stopIfTrue="1">
      <formula>AO35=""</formula>
    </cfRule>
    <cfRule type="expression" dxfId="5704" priority="1333" stopIfTrue="1">
      <formula>AO35=CléPersonnalisée2</formula>
    </cfRule>
    <cfRule type="expression" dxfId="5703" priority="1334" stopIfTrue="1">
      <formula>AO35=CléPersonnalisée1</formula>
    </cfRule>
    <cfRule type="expression" dxfId="5702" priority="1335" stopIfTrue="1">
      <formula>AO35=CléMaladie</formula>
    </cfRule>
    <cfRule type="expression" dxfId="5701" priority="1336" stopIfTrue="1">
      <formula>AO35=CléPersonnelle</formula>
    </cfRule>
    <cfRule type="expression" dxfId="5700" priority="1337" stopIfTrue="1">
      <formula>AO35=CléCongés</formula>
    </cfRule>
  </conditionalFormatting>
  <conditionalFormatting sqref="AM67 AP67">
    <cfRule type="expression" priority="1078" stopIfTrue="1">
      <formula>AM67=""</formula>
    </cfRule>
    <cfRule type="expression" dxfId="5699" priority="1079" stopIfTrue="1">
      <formula>AM67=CléPersonnalisée2</formula>
    </cfRule>
    <cfRule type="expression" dxfId="5698" priority="1080" stopIfTrue="1">
      <formula>AM67=CléPersonnalisée1</formula>
    </cfRule>
    <cfRule type="expression" dxfId="5697" priority="1081" stopIfTrue="1">
      <formula>AM67=CléMaladie</formula>
    </cfRule>
    <cfRule type="expression" dxfId="5696" priority="1082" stopIfTrue="1">
      <formula>AM67=CléPersonnelle</formula>
    </cfRule>
    <cfRule type="expression" dxfId="5695" priority="1083" stopIfTrue="1">
      <formula>AM67=CléCongés</formula>
    </cfRule>
  </conditionalFormatting>
  <conditionalFormatting sqref="AO43">
    <cfRule type="expression" priority="1320" stopIfTrue="1">
      <formula>AO43=""</formula>
    </cfRule>
    <cfRule type="expression" dxfId="5694" priority="1321" stopIfTrue="1">
      <formula>AO43=CléPersonnalisée2</formula>
    </cfRule>
    <cfRule type="expression" dxfId="5693" priority="1322" stopIfTrue="1">
      <formula>AO43=CléPersonnalisée1</formula>
    </cfRule>
    <cfRule type="expression" dxfId="5692" priority="1323" stopIfTrue="1">
      <formula>AO43=CléMaladie</formula>
    </cfRule>
    <cfRule type="expression" dxfId="5691" priority="1324" stopIfTrue="1">
      <formula>AO43=CléPersonnelle</formula>
    </cfRule>
    <cfRule type="expression" dxfId="5690" priority="1325" stopIfTrue="1">
      <formula>AO43=CléCongés</formula>
    </cfRule>
  </conditionalFormatting>
  <conditionalFormatting sqref="AO47">
    <cfRule type="expression" priority="1314" stopIfTrue="1">
      <formula>AO47=""</formula>
    </cfRule>
    <cfRule type="expression" dxfId="5689" priority="1315" stopIfTrue="1">
      <formula>AO47=CléPersonnalisée2</formula>
    </cfRule>
    <cfRule type="expression" dxfId="5688" priority="1316" stopIfTrue="1">
      <formula>AO47=CléPersonnalisée1</formula>
    </cfRule>
    <cfRule type="expression" dxfId="5687" priority="1317" stopIfTrue="1">
      <formula>AO47=CléMaladie</formula>
    </cfRule>
    <cfRule type="expression" dxfId="5686" priority="1318" stopIfTrue="1">
      <formula>AO47=CléPersonnelle</formula>
    </cfRule>
    <cfRule type="expression" dxfId="5685" priority="1319" stopIfTrue="1">
      <formula>AO47=CléCongés</formula>
    </cfRule>
  </conditionalFormatting>
  <conditionalFormatting sqref="AO51">
    <cfRule type="expression" priority="1308" stopIfTrue="1">
      <formula>AO51=""</formula>
    </cfRule>
    <cfRule type="expression" dxfId="5684" priority="1309" stopIfTrue="1">
      <formula>AO51=CléPersonnalisée2</formula>
    </cfRule>
    <cfRule type="expression" dxfId="5683" priority="1310" stopIfTrue="1">
      <formula>AO51=CléPersonnalisée1</formula>
    </cfRule>
    <cfRule type="expression" dxfId="5682" priority="1311" stopIfTrue="1">
      <formula>AO51=CléMaladie</formula>
    </cfRule>
    <cfRule type="expression" dxfId="5681" priority="1312" stopIfTrue="1">
      <formula>AO51=CléPersonnelle</formula>
    </cfRule>
    <cfRule type="expression" dxfId="5680" priority="1313" stopIfTrue="1">
      <formula>AO51=CléCongés</formula>
    </cfRule>
  </conditionalFormatting>
  <conditionalFormatting sqref="AO55">
    <cfRule type="expression" priority="1302" stopIfTrue="1">
      <formula>AO55=""</formula>
    </cfRule>
    <cfRule type="expression" dxfId="5679" priority="1303" stopIfTrue="1">
      <formula>AO55=CléPersonnalisée2</formula>
    </cfRule>
    <cfRule type="expression" dxfId="5678" priority="1304" stopIfTrue="1">
      <formula>AO55=CléPersonnalisée1</formula>
    </cfRule>
    <cfRule type="expression" dxfId="5677" priority="1305" stopIfTrue="1">
      <formula>AO55=CléMaladie</formula>
    </cfRule>
    <cfRule type="expression" dxfId="5676" priority="1306" stopIfTrue="1">
      <formula>AO55=CléPersonnelle</formula>
    </cfRule>
    <cfRule type="expression" dxfId="5675" priority="1307" stopIfTrue="1">
      <formula>AO55=CléCongés</formula>
    </cfRule>
  </conditionalFormatting>
  <conditionalFormatting sqref="AO63">
    <cfRule type="expression" priority="1296" stopIfTrue="1">
      <formula>AO63=""</formula>
    </cfRule>
    <cfRule type="expression" dxfId="5674" priority="1297" stopIfTrue="1">
      <formula>AO63=CléPersonnalisée2</formula>
    </cfRule>
    <cfRule type="expression" dxfId="5673" priority="1298" stopIfTrue="1">
      <formula>AO63=CléPersonnalisée1</formula>
    </cfRule>
    <cfRule type="expression" dxfId="5672" priority="1299" stopIfTrue="1">
      <formula>AO63=CléMaladie</formula>
    </cfRule>
    <cfRule type="expression" dxfId="5671" priority="1300" stopIfTrue="1">
      <formula>AO63=CléPersonnelle</formula>
    </cfRule>
    <cfRule type="expression" dxfId="5670" priority="1301" stopIfTrue="1">
      <formula>AO63=CléCongés</formula>
    </cfRule>
  </conditionalFormatting>
  <conditionalFormatting sqref="AO71">
    <cfRule type="expression" priority="1290" stopIfTrue="1">
      <formula>AO71=""</formula>
    </cfRule>
    <cfRule type="expression" dxfId="5669" priority="1291" stopIfTrue="1">
      <formula>AO71=CléPersonnalisée2</formula>
    </cfRule>
    <cfRule type="expression" dxfId="5668" priority="1292" stopIfTrue="1">
      <formula>AO71=CléPersonnalisée1</formula>
    </cfRule>
    <cfRule type="expression" dxfId="5667" priority="1293" stopIfTrue="1">
      <formula>AO71=CléMaladie</formula>
    </cfRule>
    <cfRule type="expression" dxfId="5666" priority="1294" stopIfTrue="1">
      <formula>AO71=CléPersonnelle</formula>
    </cfRule>
    <cfRule type="expression" dxfId="5665" priority="1295" stopIfTrue="1">
      <formula>AO71=CléCongés</formula>
    </cfRule>
  </conditionalFormatting>
  <conditionalFormatting sqref="AI17:AI18">
    <cfRule type="expression" priority="1284" stopIfTrue="1">
      <formula>AI17=""</formula>
    </cfRule>
    <cfRule type="expression" dxfId="5664" priority="1285" stopIfTrue="1">
      <formula>AI17=CléPersonnalisée2</formula>
    </cfRule>
    <cfRule type="expression" dxfId="5663" priority="1286" stopIfTrue="1">
      <formula>AI17=CléPersonnalisée1</formula>
    </cfRule>
    <cfRule type="expression" dxfId="5662" priority="1287" stopIfTrue="1">
      <formula>AI17=CléMaladie</formula>
    </cfRule>
    <cfRule type="expression" dxfId="5661" priority="1288" stopIfTrue="1">
      <formula>AI17=CléPersonnelle</formula>
    </cfRule>
    <cfRule type="expression" dxfId="5660" priority="1289" stopIfTrue="1">
      <formula>AI17=CléCongés</formula>
    </cfRule>
  </conditionalFormatting>
  <conditionalFormatting sqref="AI21:AI22">
    <cfRule type="expression" priority="1278" stopIfTrue="1">
      <formula>AI21=""</formula>
    </cfRule>
    <cfRule type="expression" dxfId="5659" priority="1279" stopIfTrue="1">
      <formula>AI21=CléPersonnalisée2</formula>
    </cfRule>
    <cfRule type="expression" dxfId="5658" priority="1280" stopIfTrue="1">
      <formula>AI21=CléPersonnalisée1</formula>
    </cfRule>
    <cfRule type="expression" dxfId="5657" priority="1281" stopIfTrue="1">
      <formula>AI21=CléMaladie</formula>
    </cfRule>
    <cfRule type="expression" dxfId="5656" priority="1282" stopIfTrue="1">
      <formula>AI21=CléPersonnelle</formula>
    </cfRule>
    <cfRule type="expression" dxfId="5655" priority="1283" stopIfTrue="1">
      <formula>AI21=CléCongés</formula>
    </cfRule>
  </conditionalFormatting>
  <conditionalFormatting sqref="AI29:AI30">
    <cfRule type="expression" priority="1266" stopIfTrue="1">
      <formula>AI29=""</formula>
    </cfRule>
    <cfRule type="expression" dxfId="5654" priority="1267" stopIfTrue="1">
      <formula>AI29=CléPersonnalisée2</formula>
    </cfRule>
    <cfRule type="expression" dxfId="5653" priority="1268" stopIfTrue="1">
      <formula>AI29=CléPersonnalisée1</formula>
    </cfRule>
    <cfRule type="expression" dxfId="5652" priority="1269" stopIfTrue="1">
      <formula>AI29=CléMaladie</formula>
    </cfRule>
    <cfRule type="expression" dxfId="5651" priority="1270" stopIfTrue="1">
      <formula>AI29=CléPersonnelle</formula>
    </cfRule>
    <cfRule type="expression" dxfId="5650" priority="1271" stopIfTrue="1">
      <formula>AI29=CléCongés</formula>
    </cfRule>
  </conditionalFormatting>
  <conditionalFormatting sqref="AI33:AI34">
    <cfRule type="expression" priority="1260" stopIfTrue="1">
      <formula>AI33=""</formula>
    </cfRule>
    <cfRule type="expression" dxfId="5649" priority="1261" stopIfTrue="1">
      <formula>AI33=CléPersonnalisée2</formula>
    </cfRule>
    <cfRule type="expression" dxfId="5648" priority="1262" stopIfTrue="1">
      <formula>AI33=CléPersonnalisée1</formula>
    </cfRule>
    <cfRule type="expression" dxfId="5647" priority="1263" stopIfTrue="1">
      <formula>AI33=CléMaladie</formula>
    </cfRule>
    <cfRule type="expression" dxfId="5646" priority="1264" stopIfTrue="1">
      <formula>AI33=CléPersonnelle</formula>
    </cfRule>
    <cfRule type="expression" dxfId="5645" priority="1265" stopIfTrue="1">
      <formula>AI33=CléCongés</formula>
    </cfRule>
  </conditionalFormatting>
  <conditionalFormatting sqref="AI37:AI38">
    <cfRule type="expression" priority="1254" stopIfTrue="1">
      <formula>AI37=""</formula>
    </cfRule>
    <cfRule type="expression" dxfId="5644" priority="1255" stopIfTrue="1">
      <formula>AI37=CléPersonnalisée2</formula>
    </cfRule>
    <cfRule type="expression" dxfId="5643" priority="1256" stopIfTrue="1">
      <formula>AI37=CléPersonnalisée1</formula>
    </cfRule>
    <cfRule type="expression" dxfId="5642" priority="1257" stopIfTrue="1">
      <formula>AI37=CléMaladie</formula>
    </cfRule>
    <cfRule type="expression" dxfId="5641" priority="1258" stopIfTrue="1">
      <formula>AI37=CléPersonnelle</formula>
    </cfRule>
    <cfRule type="expression" dxfId="5640" priority="1259" stopIfTrue="1">
      <formula>AI37=CléCongés</formula>
    </cfRule>
  </conditionalFormatting>
  <conditionalFormatting sqref="AI41:AI42">
    <cfRule type="expression" priority="1248" stopIfTrue="1">
      <formula>AI41=""</formula>
    </cfRule>
    <cfRule type="expression" dxfId="5639" priority="1249" stopIfTrue="1">
      <formula>AI41=CléPersonnalisée2</formula>
    </cfRule>
    <cfRule type="expression" dxfId="5638" priority="1250" stopIfTrue="1">
      <formula>AI41=CléPersonnalisée1</formula>
    </cfRule>
    <cfRule type="expression" dxfId="5637" priority="1251" stopIfTrue="1">
      <formula>AI41=CléMaladie</formula>
    </cfRule>
    <cfRule type="expression" dxfId="5636" priority="1252" stopIfTrue="1">
      <formula>AI41=CléPersonnelle</formula>
    </cfRule>
    <cfRule type="expression" dxfId="5635" priority="1253" stopIfTrue="1">
      <formula>AI41=CléCongés</formula>
    </cfRule>
  </conditionalFormatting>
  <conditionalFormatting sqref="AI45:AI46">
    <cfRule type="expression" priority="1242" stopIfTrue="1">
      <formula>AI45=""</formula>
    </cfRule>
    <cfRule type="expression" dxfId="5634" priority="1243" stopIfTrue="1">
      <formula>AI45=CléPersonnalisée2</formula>
    </cfRule>
    <cfRule type="expression" dxfId="5633" priority="1244" stopIfTrue="1">
      <formula>AI45=CléPersonnalisée1</formula>
    </cfRule>
    <cfRule type="expression" dxfId="5632" priority="1245" stopIfTrue="1">
      <formula>AI45=CléMaladie</formula>
    </cfRule>
    <cfRule type="expression" dxfId="5631" priority="1246" stopIfTrue="1">
      <formula>AI45=CléPersonnelle</formula>
    </cfRule>
    <cfRule type="expression" dxfId="5630" priority="1247" stopIfTrue="1">
      <formula>AI45=CléCongés</formula>
    </cfRule>
  </conditionalFormatting>
  <conditionalFormatting sqref="AI49:AI50">
    <cfRule type="expression" priority="1236" stopIfTrue="1">
      <formula>AI49=""</formula>
    </cfRule>
    <cfRule type="expression" dxfId="5629" priority="1237" stopIfTrue="1">
      <formula>AI49=CléPersonnalisée2</formula>
    </cfRule>
    <cfRule type="expression" dxfId="5628" priority="1238" stopIfTrue="1">
      <formula>AI49=CléPersonnalisée1</formula>
    </cfRule>
    <cfRule type="expression" dxfId="5627" priority="1239" stopIfTrue="1">
      <formula>AI49=CléMaladie</formula>
    </cfRule>
    <cfRule type="expression" dxfId="5626" priority="1240" stopIfTrue="1">
      <formula>AI49=CléPersonnelle</formula>
    </cfRule>
    <cfRule type="expression" dxfId="5625" priority="1241" stopIfTrue="1">
      <formula>AI49=CléCongés</formula>
    </cfRule>
  </conditionalFormatting>
  <conditionalFormatting sqref="AI53:AI54">
    <cfRule type="expression" priority="1230" stopIfTrue="1">
      <formula>AI53=""</formula>
    </cfRule>
    <cfRule type="expression" dxfId="5624" priority="1231" stopIfTrue="1">
      <formula>AI53=CléPersonnalisée2</formula>
    </cfRule>
    <cfRule type="expression" dxfId="5623" priority="1232" stopIfTrue="1">
      <formula>AI53=CléPersonnalisée1</formula>
    </cfRule>
    <cfRule type="expression" dxfId="5622" priority="1233" stopIfTrue="1">
      <formula>AI53=CléMaladie</formula>
    </cfRule>
    <cfRule type="expression" dxfId="5621" priority="1234" stopIfTrue="1">
      <formula>AI53=CléPersonnelle</formula>
    </cfRule>
    <cfRule type="expression" dxfId="5620" priority="1235" stopIfTrue="1">
      <formula>AI53=CléCongés</formula>
    </cfRule>
  </conditionalFormatting>
  <conditionalFormatting sqref="AI61:AI62">
    <cfRule type="expression" priority="1224" stopIfTrue="1">
      <formula>AI61=""</formula>
    </cfRule>
    <cfRule type="expression" dxfId="5619" priority="1225" stopIfTrue="1">
      <formula>AI61=CléPersonnalisée2</formula>
    </cfRule>
    <cfRule type="expression" dxfId="5618" priority="1226" stopIfTrue="1">
      <formula>AI61=CléPersonnalisée1</formula>
    </cfRule>
    <cfRule type="expression" dxfId="5617" priority="1227" stopIfTrue="1">
      <formula>AI61=CléMaladie</formula>
    </cfRule>
    <cfRule type="expression" dxfId="5616" priority="1228" stopIfTrue="1">
      <formula>AI61=CléPersonnelle</formula>
    </cfRule>
    <cfRule type="expression" dxfId="5615" priority="1229" stopIfTrue="1">
      <formula>AI61=CléCongés</formula>
    </cfRule>
  </conditionalFormatting>
  <conditionalFormatting sqref="AI69:AI70">
    <cfRule type="expression" priority="1218" stopIfTrue="1">
      <formula>AI69=""</formula>
    </cfRule>
    <cfRule type="expression" dxfId="5614" priority="1219" stopIfTrue="1">
      <formula>AI69=CléPersonnalisée2</formula>
    </cfRule>
    <cfRule type="expression" dxfId="5613" priority="1220" stopIfTrue="1">
      <formula>AI69=CléPersonnalisée1</formula>
    </cfRule>
    <cfRule type="expression" dxfId="5612" priority="1221" stopIfTrue="1">
      <formula>AI69=CléMaladie</formula>
    </cfRule>
    <cfRule type="expression" dxfId="5611" priority="1222" stopIfTrue="1">
      <formula>AI69=CléPersonnelle</formula>
    </cfRule>
    <cfRule type="expression" dxfId="5610" priority="1223" stopIfTrue="1">
      <formula>AI69=CléCongés</formula>
    </cfRule>
  </conditionalFormatting>
  <conditionalFormatting sqref="AN11">
    <cfRule type="expression" priority="1212" stopIfTrue="1">
      <formula>AN11=""</formula>
    </cfRule>
    <cfRule type="expression" dxfId="5609" priority="1213" stopIfTrue="1">
      <formula>AN11=CléPersonnalisée2</formula>
    </cfRule>
    <cfRule type="expression" dxfId="5608" priority="1214" stopIfTrue="1">
      <formula>AN11=CléPersonnalisée1</formula>
    </cfRule>
    <cfRule type="expression" dxfId="5607" priority="1215" stopIfTrue="1">
      <formula>AN11=CléMaladie</formula>
    </cfRule>
    <cfRule type="expression" dxfId="5606" priority="1216" stopIfTrue="1">
      <formula>AN11=CléPersonnelle</formula>
    </cfRule>
    <cfRule type="expression" dxfId="5605" priority="1217" stopIfTrue="1">
      <formula>AN11=CléCongés</formula>
    </cfRule>
  </conditionalFormatting>
  <conditionalFormatting sqref="AN19">
    <cfRule type="expression" priority="1206" stopIfTrue="1">
      <formula>AN19=""</formula>
    </cfRule>
    <cfRule type="expression" dxfId="5604" priority="1207" stopIfTrue="1">
      <formula>AN19=CléPersonnalisée2</formula>
    </cfRule>
    <cfRule type="expression" dxfId="5603" priority="1208" stopIfTrue="1">
      <formula>AN19=CléPersonnalisée1</formula>
    </cfRule>
    <cfRule type="expression" dxfId="5602" priority="1209" stopIfTrue="1">
      <formula>AN19=CléMaladie</formula>
    </cfRule>
    <cfRule type="expression" dxfId="5601" priority="1210" stopIfTrue="1">
      <formula>AN19=CléPersonnelle</formula>
    </cfRule>
    <cfRule type="expression" dxfId="5600" priority="1211" stopIfTrue="1">
      <formula>AN19=CléCongés</formula>
    </cfRule>
  </conditionalFormatting>
  <conditionalFormatting sqref="AN23">
    <cfRule type="expression" priority="1200" stopIfTrue="1">
      <formula>AN23=""</formula>
    </cfRule>
    <cfRule type="expression" dxfId="5599" priority="1201" stopIfTrue="1">
      <formula>AN23=CléPersonnalisée2</formula>
    </cfRule>
    <cfRule type="expression" dxfId="5598" priority="1202" stopIfTrue="1">
      <formula>AN23=CléPersonnalisée1</formula>
    </cfRule>
    <cfRule type="expression" dxfId="5597" priority="1203" stopIfTrue="1">
      <formula>AN23=CléMaladie</formula>
    </cfRule>
    <cfRule type="expression" dxfId="5596" priority="1204" stopIfTrue="1">
      <formula>AN23=CléPersonnelle</formula>
    </cfRule>
    <cfRule type="expression" dxfId="5595" priority="1205" stopIfTrue="1">
      <formula>AN23=CléCongés</formula>
    </cfRule>
  </conditionalFormatting>
  <conditionalFormatting sqref="AN27">
    <cfRule type="expression" priority="1194" stopIfTrue="1">
      <formula>AN27=""</formula>
    </cfRule>
    <cfRule type="expression" dxfId="5594" priority="1195" stopIfTrue="1">
      <formula>AN27=CléPersonnalisée2</formula>
    </cfRule>
    <cfRule type="expression" dxfId="5593" priority="1196" stopIfTrue="1">
      <formula>AN27=CléPersonnalisée1</formula>
    </cfRule>
    <cfRule type="expression" dxfId="5592" priority="1197" stopIfTrue="1">
      <formula>AN27=CléMaladie</formula>
    </cfRule>
    <cfRule type="expression" dxfId="5591" priority="1198" stopIfTrue="1">
      <formula>AN27=CléPersonnelle</formula>
    </cfRule>
    <cfRule type="expression" dxfId="5590" priority="1199" stopIfTrue="1">
      <formula>AN27=CléCongés</formula>
    </cfRule>
  </conditionalFormatting>
  <conditionalFormatting sqref="AN31">
    <cfRule type="expression" priority="1188" stopIfTrue="1">
      <formula>AN31=""</formula>
    </cfRule>
    <cfRule type="expression" dxfId="5589" priority="1189" stopIfTrue="1">
      <formula>AN31=CléPersonnalisée2</formula>
    </cfRule>
    <cfRule type="expression" dxfId="5588" priority="1190" stopIfTrue="1">
      <formula>AN31=CléPersonnalisée1</formula>
    </cfRule>
    <cfRule type="expression" dxfId="5587" priority="1191" stopIfTrue="1">
      <formula>AN31=CléMaladie</formula>
    </cfRule>
    <cfRule type="expression" dxfId="5586" priority="1192" stopIfTrue="1">
      <formula>AN31=CléPersonnelle</formula>
    </cfRule>
    <cfRule type="expression" dxfId="5585" priority="1193" stopIfTrue="1">
      <formula>AN31=CléCongés</formula>
    </cfRule>
  </conditionalFormatting>
  <conditionalFormatting sqref="AN35">
    <cfRule type="expression" priority="1182" stopIfTrue="1">
      <formula>AN35=""</formula>
    </cfRule>
    <cfRule type="expression" dxfId="5584" priority="1183" stopIfTrue="1">
      <formula>AN35=CléPersonnalisée2</formula>
    </cfRule>
    <cfRule type="expression" dxfId="5583" priority="1184" stopIfTrue="1">
      <formula>AN35=CléPersonnalisée1</formula>
    </cfRule>
    <cfRule type="expression" dxfId="5582" priority="1185" stopIfTrue="1">
      <formula>AN35=CléMaladie</formula>
    </cfRule>
    <cfRule type="expression" dxfId="5581" priority="1186" stopIfTrue="1">
      <formula>AN35=CléPersonnelle</formula>
    </cfRule>
    <cfRule type="expression" dxfId="5580" priority="1187" stopIfTrue="1">
      <formula>AN35=CléCongés</formula>
    </cfRule>
  </conditionalFormatting>
  <conditionalFormatting sqref="AN39">
    <cfRule type="expression" priority="1176" stopIfTrue="1">
      <formula>AN39=""</formula>
    </cfRule>
    <cfRule type="expression" dxfId="5579" priority="1177" stopIfTrue="1">
      <formula>AN39=CléPersonnalisée2</formula>
    </cfRule>
    <cfRule type="expression" dxfId="5578" priority="1178" stopIfTrue="1">
      <formula>AN39=CléPersonnalisée1</formula>
    </cfRule>
    <cfRule type="expression" dxfId="5577" priority="1179" stopIfTrue="1">
      <formula>AN39=CléMaladie</formula>
    </cfRule>
    <cfRule type="expression" dxfId="5576" priority="1180" stopIfTrue="1">
      <formula>AN39=CléPersonnelle</formula>
    </cfRule>
    <cfRule type="expression" dxfId="5575" priority="1181" stopIfTrue="1">
      <formula>AN39=CléCongés</formula>
    </cfRule>
  </conditionalFormatting>
  <conditionalFormatting sqref="AN43">
    <cfRule type="expression" priority="1170" stopIfTrue="1">
      <formula>AN43=""</formula>
    </cfRule>
    <cfRule type="expression" dxfId="5574" priority="1171" stopIfTrue="1">
      <formula>AN43=CléPersonnalisée2</formula>
    </cfRule>
    <cfRule type="expression" dxfId="5573" priority="1172" stopIfTrue="1">
      <formula>AN43=CléPersonnalisée1</formula>
    </cfRule>
    <cfRule type="expression" dxfId="5572" priority="1173" stopIfTrue="1">
      <formula>AN43=CléMaladie</formula>
    </cfRule>
    <cfRule type="expression" dxfId="5571" priority="1174" stopIfTrue="1">
      <formula>AN43=CléPersonnelle</formula>
    </cfRule>
    <cfRule type="expression" dxfId="5570" priority="1175" stopIfTrue="1">
      <formula>AN43=CléCongés</formula>
    </cfRule>
  </conditionalFormatting>
  <conditionalFormatting sqref="AN47">
    <cfRule type="expression" priority="1164" stopIfTrue="1">
      <formula>AN47=""</formula>
    </cfRule>
    <cfRule type="expression" dxfId="5569" priority="1165" stopIfTrue="1">
      <formula>AN47=CléPersonnalisée2</formula>
    </cfRule>
    <cfRule type="expression" dxfId="5568" priority="1166" stopIfTrue="1">
      <formula>AN47=CléPersonnalisée1</formula>
    </cfRule>
    <cfRule type="expression" dxfId="5567" priority="1167" stopIfTrue="1">
      <formula>AN47=CléMaladie</formula>
    </cfRule>
    <cfRule type="expression" dxfId="5566" priority="1168" stopIfTrue="1">
      <formula>AN47=CléPersonnelle</formula>
    </cfRule>
    <cfRule type="expression" dxfId="5565" priority="1169" stopIfTrue="1">
      <formula>AN47=CléCongés</formula>
    </cfRule>
  </conditionalFormatting>
  <conditionalFormatting sqref="AN51">
    <cfRule type="expression" priority="1158" stopIfTrue="1">
      <formula>AN51=""</formula>
    </cfRule>
    <cfRule type="expression" dxfId="5564" priority="1159" stopIfTrue="1">
      <formula>AN51=CléPersonnalisée2</formula>
    </cfRule>
    <cfRule type="expression" dxfId="5563" priority="1160" stopIfTrue="1">
      <formula>AN51=CléPersonnalisée1</formula>
    </cfRule>
    <cfRule type="expression" dxfId="5562" priority="1161" stopIfTrue="1">
      <formula>AN51=CléMaladie</formula>
    </cfRule>
    <cfRule type="expression" dxfId="5561" priority="1162" stopIfTrue="1">
      <formula>AN51=CléPersonnelle</formula>
    </cfRule>
    <cfRule type="expression" dxfId="5560" priority="1163" stopIfTrue="1">
      <formula>AN51=CléCongés</formula>
    </cfRule>
  </conditionalFormatting>
  <conditionalFormatting sqref="AN55">
    <cfRule type="expression" priority="1152" stopIfTrue="1">
      <formula>AN55=""</formula>
    </cfRule>
    <cfRule type="expression" dxfId="5559" priority="1153" stopIfTrue="1">
      <formula>AN55=CléPersonnalisée2</formula>
    </cfRule>
    <cfRule type="expression" dxfId="5558" priority="1154" stopIfTrue="1">
      <formula>AN55=CléPersonnalisée1</formula>
    </cfRule>
    <cfRule type="expression" dxfId="5557" priority="1155" stopIfTrue="1">
      <formula>AN55=CléMaladie</formula>
    </cfRule>
    <cfRule type="expression" dxfId="5556" priority="1156" stopIfTrue="1">
      <formula>AN55=CléPersonnelle</formula>
    </cfRule>
    <cfRule type="expression" dxfId="5555" priority="1157" stopIfTrue="1">
      <formula>AN55=CléCongés</formula>
    </cfRule>
  </conditionalFormatting>
  <conditionalFormatting sqref="AN63">
    <cfRule type="expression" priority="1146" stopIfTrue="1">
      <formula>AN63=""</formula>
    </cfRule>
    <cfRule type="expression" dxfId="5554" priority="1147" stopIfTrue="1">
      <formula>AN63=CléPersonnalisée2</formula>
    </cfRule>
    <cfRule type="expression" dxfId="5553" priority="1148" stopIfTrue="1">
      <formula>AN63=CléPersonnalisée1</formula>
    </cfRule>
    <cfRule type="expression" dxfId="5552" priority="1149" stopIfTrue="1">
      <formula>AN63=CléMaladie</formula>
    </cfRule>
    <cfRule type="expression" dxfId="5551" priority="1150" stopIfTrue="1">
      <formula>AN63=CléPersonnelle</formula>
    </cfRule>
    <cfRule type="expression" dxfId="5550" priority="1151" stopIfTrue="1">
      <formula>AN63=CléCongés</formula>
    </cfRule>
  </conditionalFormatting>
  <conditionalFormatting sqref="AN71">
    <cfRule type="expression" priority="1140" stopIfTrue="1">
      <formula>AN71=""</formula>
    </cfRule>
    <cfRule type="expression" dxfId="5549" priority="1141" stopIfTrue="1">
      <formula>AN71=CléPersonnalisée2</formula>
    </cfRule>
    <cfRule type="expression" dxfId="5548" priority="1142" stopIfTrue="1">
      <formula>AN71=CléPersonnalisée1</formula>
    </cfRule>
    <cfRule type="expression" dxfId="5547" priority="1143" stopIfTrue="1">
      <formula>AN71=CléMaladie</formula>
    </cfRule>
    <cfRule type="expression" dxfId="5546" priority="1144" stopIfTrue="1">
      <formula>AN71=CléPersonnelle</formula>
    </cfRule>
    <cfRule type="expression" dxfId="5545" priority="1145" stopIfTrue="1">
      <formula>AN71=CléCongés</formula>
    </cfRule>
  </conditionalFormatting>
  <conditionalFormatting sqref="AH7">
    <cfRule type="dataBar" priority="1139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{FA77BB2E-16E5-4672-96FB-518F5A35455F}</x14:id>
        </ext>
      </extLst>
    </cfRule>
  </conditionalFormatting>
  <conditionalFormatting sqref="AI7:AL7">
    <cfRule type="expression" priority="1133" stopIfTrue="1">
      <formula>AI7=""</formula>
    </cfRule>
    <cfRule type="expression" dxfId="5544" priority="1134" stopIfTrue="1">
      <formula>AI7=CléPersonnalisée2</formula>
    </cfRule>
    <cfRule type="expression" dxfId="5543" priority="1135" stopIfTrue="1">
      <formula>AI7=CléPersonnalisée1</formula>
    </cfRule>
    <cfRule type="expression" dxfId="5542" priority="1136" stopIfTrue="1">
      <formula>AI7=CléMaladie</formula>
    </cfRule>
    <cfRule type="expression" dxfId="5541" priority="1137" stopIfTrue="1">
      <formula>AI7=CléPersonnelle</formula>
    </cfRule>
    <cfRule type="expression" dxfId="5540" priority="1138" stopIfTrue="1">
      <formula>AI7=CléCongés</formula>
    </cfRule>
  </conditionalFormatting>
  <conditionalFormatting sqref="AM7">
    <cfRule type="expression" priority="1127" stopIfTrue="1">
      <formula>AM7=""</formula>
    </cfRule>
    <cfRule type="expression" dxfId="5539" priority="1128" stopIfTrue="1">
      <formula>AM7=CléPersonnalisée2</formula>
    </cfRule>
    <cfRule type="expression" dxfId="5538" priority="1129" stopIfTrue="1">
      <formula>AM7=CléPersonnalisée1</formula>
    </cfRule>
    <cfRule type="expression" dxfId="5537" priority="1130" stopIfTrue="1">
      <formula>AM7=CléMaladie</formula>
    </cfRule>
    <cfRule type="expression" dxfId="5536" priority="1131" stopIfTrue="1">
      <formula>AM7=CléPersonnelle</formula>
    </cfRule>
    <cfRule type="expression" dxfId="5535" priority="1132" stopIfTrue="1">
      <formula>AM7=CléCongés</formula>
    </cfRule>
  </conditionalFormatting>
  <conditionalFormatting sqref="AO7">
    <cfRule type="expression" priority="1121" stopIfTrue="1">
      <formula>AO7=""</formula>
    </cfRule>
    <cfRule type="expression" dxfId="5534" priority="1122" stopIfTrue="1">
      <formula>AO7=CléPersonnalisée2</formula>
    </cfRule>
    <cfRule type="expression" dxfId="5533" priority="1123" stopIfTrue="1">
      <formula>AO7=CléPersonnalisée1</formula>
    </cfRule>
    <cfRule type="expression" dxfId="5532" priority="1124" stopIfTrue="1">
      <formula>AO7=CléMaladie</formula>
    </cfRule>
    <cfRule type="expression" dxfId="5531" priority="1125" stopIfTrue="1">
      <formula>AO7=CléPersonnelle</formula>
    </cfRule>
    <cfRule type="expression" dxfId="5530" priority="1126" stopIfTrue="1">
      <formula>AO7=CléCongés</formula>
    </cfRule>
  </conditionalFormatting>
  <conditionalFormatting sqref="AN7">
    <cfRule type="expression" priority="1115" stopIfTrue="1">
      <formula>AN7=""</formula>
    </cfRule>
    <cfRule type="expression" dxfId="5529" priority="1116" stopIfTrue="1">
      <formula>AN7=CléPersonnalisée2</formula>
    </cfRule>
    <cfRule type="expression" dxfId="5528" priority="1117" stopIfTrue="1">
      <formula>AN7=CléPersonnalisée1</formula>
    </cfRule>
    <cfRule type="expression" dxfId="5527" priority="1118" stopIfTrue="1">
      <formula>AN7=CléMaladie</formula>
    </cfRule>
    <cfRule type="expression" dxfId="5526" priority="1119" stopIfTrue="1">
      <formula>AN7=CléPersonnelle</formula>
    </cfRule>
    <cfRule type="expression" dxfId="5525" priority="1120" stopIfTrue="1">
      <formula>AN7=CléCongés</formula>
    </cfRule>
  </conditionalFormatting>
  <conditionalFormatting sqref="AQ7">
    <cfRule type="expression" priority="1109" stopIfTrue="1">
      <formula>AQ7=""</formula>
    </cfRule>
    <cfRule type="expression" dxfId="5524" priority="1110" stopIfTrue="1">
      <formula>AQ7=CléPersonnalisée2</formula>
    </cfRule>
    <cfRule type="expression" dxfId="5523" priority="1111" stopIfTrue="1">
      <formula>AQ7=CléPersonnalisée1</formula>
    </cfRule>
    <cfRule type="expression" dxfId="5522" priority="1112" stopIfTrue="1">
      <formula>AQ7=CléMaladie</formula>
    </cfRule>
    <cfRule type="expression" dxfId="5521" priority="1113" stopIfTrue="1">
      <formula>AQ7=CléPersonnelle</formula>
    </cfRule>
    <cfRule type="expression" dxfId="5520" priority="1114" stopIfTrue="1">
      <formula>AQ7=CléCongés</formula>
    </cfRule>
  </conditionalFormatting>
  <conditionalFormatting sqref="AQ71">
    <cfRule type="expression" priority="891" stopIfTrue="1">
      <formula>AQ71=""</formula>
    </cfRule>
    <cfRule type="expression" dxfId="5519" priority="892" stopIfTrue="1">
      <formula>AQ71=CléPersonnalisée2</formula>
    </cfRule>
    <cfRule type="expression" dxfId="5518" priority="893" stopIfTrue="1">
      <formula>AQ71=CléPersonnalisée1</formula>
    </cfRule>
    <cfRule type="expression" dxfId="5517" priority="894" stopIfTrue="1">
      <formula>AQ71=CléMaladie</formula>
    </cfRule>
    <cfRule type="expression" dxfId="5516" priority="895" stopIfTrue="1">
      <formula>AQ71=CléPersonnelle</formula>
    </cfRule>
    <cfRule type="expression" dxfId="5515" priority="896" stopIfTrue="1">
      <formula>AQ71=CléCongés</formula>
    </cfRule>
  </conditionalFormatting>
  <conditionalFormatting sqref="AQ75">
    <cfRule type="expression" priority="841" stopIfTrue="1">
      <formula>AQ75=""</formula>
    </cfRule>
    <cfRule type="expression" dxfId="5514" priority="842" stopIfTrue="1">
      <formula>AQ75=CléPersonnalisée2</formula>
    </cfRule>
    <cfRule type="expression" dxfId="5513" priority="843" stopIfTrue="1">
      <formula>AQ75=CléPersonnalisée1</formula>
    </cfRule>
    <cfRule type="expression" dxfId="5512" priority="844" stopIfTrue="1">
      <formula>AQ75=CléMaladie</formula>
    </cfRule>
    <cfRule type="expression" dxfId="5511" priority="845" stopIfTrue="1">
      <formula>AQ75=CléPersonnelle</formula>
    </cfRule>
    <cfRule type="expression" dxfId="5510" priority="846" stopIfTrue="1">
      <formula>AQ75=CléCongés</formula>
    </cfRule>
  </conditionalFormatting>
  <conditionalFormatting sqref="AQ83">
    <cfRule type="expression" priority="779" stopIfTrue="1">
      <formula>AQ83=""</formula>
    </cfRule>
    <cfRule type="expression" dxfId="5509" priority="780" stopIfTrue="1">
      <formula>AQ83=CléPersonnalisée2</formula>
    </cfRule>
    <cfRule type="expression" dxfId="5508" priority="781" stopIfTrue="1">
      <formula>AQ83=CléPersonnalisée1</formula>
    </cfRule>
    <cfRule type="expression" dxfId="5507" priority="782" stopIfTrue="1">
      <formula>AQ83=CléMaladie</formula>
    </cfRule>
    <cfRule type="expression" dxfId="5506" priority="783" stopIfTrue="1">
      <formula>AQ83=CléPersonnelle</formula>
    </cfRule>
    <cfRule type="expression" dxfId="5505" priority="784" stopIfTrue="1">
      <formula>AQ83=CléCongés</formula>
    </cfRule>
  </conditionalFormatting>
  <conditionalFormatting sqref="AQ91">
    <cfRule type="expression" priority="655" stopIfTrue="1">
      <formula>AQ91=""</formula>
    </cfRule>
    <cfRule type="expression" dxfId="5504" priority="656" stopIfTrue="1">
      <formula>AQ91=CléPersonnalisée2</formula>
    </cfRule>
    <cfRule type="expression" dxfId="5503" priority="657" stopIfTrue="1">
      <formula>AQ91=CléPersonnalisée1</formula>
    </cfRule>
    <cfRule type="expression" dxfId="5502" priority="658" stopIfTrue="1">
      <formula>AQ91=CléMaladie</formula>
    </cfRule>
    <cfRule type="expression" dxfId="5501" priority="659" stopIfTrue="1">
      <formula>AQ91=CléPersonnelle</formula>
    </cfRule>
    <cfRule type="expression" dxfId="5500" priority="660" stopIfTrue="1">
      <formula>AQ91=CléCongés</formula>
    </cfRule>
  </conditionalFormatting>
  <conditionalFormatting sqref="C65:AG67">
    <cfRule type="expression" priority="1102" stopIfTrue="1">
      <formula>C65=""</formula>
    </cfRule>
    <cfRule type="expression" dxfId="5499" priority="1103" stopIfTrue="1">
      <formula>C65=CléPersonnalisée2</formula>
    </cfRule>
    <cfRule type="expression" dxfId="5498" priority="1104" stopIfTrue="1">
      <formula>C65=CléPersonnalisée1</formula>
    </cfRule>
    <cfRule type="expression" dxfId="5497" priority="1105" stopIfTrue="1">
      <formula>C65=CléMaladie</formula>
    </cfRule>
    <cfRule type="expression" dxfId="5496" priority="1106" stopIfTrue="1">
      <formula>C65=CléPersonnelle</formula>
    </cfRule>
    <cfRule type="expression" dxfId="5495" priority="1107" stopIfTrue="1">
      <formula>C65=CléCongés</formula>
    </cfRule>
  </conditionalFormatting>
  <conditionalFormatting sqref="AH67">
    <cfRule type="dataBar" priority="1108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{15C5973D-9485-46F8-9C31-FC3B9D57E245}</x14:id>
        </ext>
      </extLst>
    </cfRule>
  </conditionalFormatting>
  <conditionalFormatting sqref="AI67:AL67 AJ65:AL66">
    <cfRule type="expression" priority="1096" stopIfTrue="1">
      <formula>AI65=""</formula>
    </cfRule>
    <cfRule type="expression" dxfId="5494" priority="1097" stopIfTrue="1">
      <formula>AI65=CléPersonnalisée2</formula>
    </cfRule>
    <cfRule type="expression" dxfId="5493" priority="1098" stopIfTrue="1">
      <formula>AI65=CléPersonnalisée1</formula>
    </cfRule>
    <cfRule type="expression" dxfId="5492" priority="1099" stopIfTrue="1">
      <formula>AI65=CléMaladie</formula>
    </cfRule>
    <cfRule type="expression" dxfId="5491" priority="1100" stopIfTrue="1">
      <formula>AI65=CléPersonnelle</formula>
    </cfRule>
    <cfRule type="expression" dxfId="5490" priority="1101" stopIfTrue="1">
      <formula>AI65=CléCongés</formula>
    </cfRule>
  </conditionalFormatting>
  <conditionalFormatting sqref="AQ65:AR66">
    <cfRule type="expression" priority="1084" stopIfTrue="1">
      <formula>AQ65=""</formula>
    </cfRule>
    <cfRule type="expression" dxfId="5489" priority="1085" stopIfTrue="1">
      <formula>AQ65=CléPersonnalisée2</formula>
    </cfRule>
    <cfRule type="expression" dxfId="5488" priority="1086" stopIfTrue="1">
      <formula>AQ65=CléPersonnalisée1</formula>
    </cfRule>
    <cfRule type="expression" dxfId="5487" priority="1087" stopIfTrue="1">
      <formula>AQ65=CléMaladie</formula>
    </cfRule>
    <cfRule type="expression" dxfId="5486" priority="1088" stopIfTrue="1">
      <formula>AQ65=CléPersonnelle</formula>
    </cfRule>
    <cfRule type="expression" dxfId="5485" priority="1089" stopIfTrue="1">
      <formula>AQ65=CléCongés</formula>
    </cfRule>
  </conditionalFormatting>
  <conditionalFormatting sqref="AH65:AH66">
    <cfRule type="dataBar" priority="1077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{32870D36-5630-4A84-B686-384FFF93D3B3}</x14:id>
        </ext>
      </extLst>
    </cfRule>
  </conditionalFormatting>
  <conditionalFormatting sqref="AO67">
    <cfRule type="expression" priority="1071" stopIfTrue="1">
      <formula>AO67=""</formula>
    </cfRule>
    <cfRule type="expression" dxfId="5484" priority="1072" stopIfTrue="1">
      <formula>AO67=CléPersonnalisée2</formula>
    </cfRule>
    <cfRule type="expression" dxfId="5483" priority="1073" stopIfTrue="1">
      <formula>AO67=CléPersonnalisée1</formula>
    </cfRule>
    <cfRule type="expression" dxfId="5482" priority="1074" stopIfTrue="1">
      <formula>AO67=CléMaladie</formula>
    </cfRule>
    <cfRule type="expression" dxfId="5481" priority="1075" stopIfTrue="1">
      <formula>AO67=CléPersonnelle</formula>
    </cfRule>
    <cfRule type="expression" dxfId="5480" priority="1076" stopIfTrue="1">
      <formula>AO67=CléCongés</formula>
    </cfRule>
  </conditionalFormatting>
  <conditionalFormatting sqref="AI65:AI66">
    <cfRule type="expression" priority="1065" stopIfTrue="1">
      <formula>AI65=""</formula>
    </cfRule>
    <cfRule type="expression" dxfId="5479" priority="1066" stopIfTrue="1">
      <formula>AI65=CléPersonnalisée2</formula>
    </cfRule>
    <cfRule type="expression" dxfId="5478" priority="1067" stopIfTrue="1">
      <formula>AI65=CléPersonnalisée1</formula>
    </cfRule>
    <cfRule type="expression" dxfId="5477" priority="1068" stopIfTrue="1">
      <formula>AI65=CléMaladie</formula>
    </cfRule>
    <cfRule type="expression" dxfId="5476" priority="1069" stopIfTrue="1">
      <formula>AI65=CléPersonnelle</formula>
    </cfRule>
    <cfRule type="expression" dxfId="5475" priority="1070" stopIfTrue="1">
      <formula>AI65=CléCongés</formula>
    </cfRule>
  </conditionalFormatting>
  <conditionalFormatting sqref="AN67">
    <cfRule type="expression" priority="1059" stopIfTrue="1">
      <formula>AN67=""</formula>
    </cfRule>
    <cfRule type="expression" dxfId="5474" priority="1060" stopIfTrue="1">
      <formula>AN67=CléPersonnalisée2</formula>
    </cfRule>
    <cfRule type="expression" dxfId="5473" priority="1061" stopIfTrue="1">
      <formula>AN67=CléPersonnalisée1</formula>
    </cfRule>
    <cfRule type="expression" dxfId="5472" priority="1062" stopIfTrue="1">
      <formula>AN67=CléMaladie</formula>
    </cfRule>
    <cfRule type="expression" dxfId="5471" priority="1063" stopIfTrue="1">
      <formula>AN67=CléPersonnelle</formula>
    </cfRule>
    <cfRule type="expression" dxfId="5470" priority="1064" stopIfTrue="1">
      <formula>AN67=CléCongés</formula>
    </cfRule>
  </conditionalFormatting>
  <conditionalFormatting sqref="AR11">
    <cfRule type="expression" priority="1053" stopIfTrue="1">
      <formula>AR11=""</formula>
    </cfRule>
    <cfRule type="expression" dxfId="5469" priority="1054" stopIfTrue="1">
      <formula>AR11=CléPersonnalisée2</formula>
    </cfRule>
    <cfRule type="expression" dxfId="5468" priority="1055" stopIfTrue="1">
      <formula>AR11=CléPersonnalisée1</formula>
    </cfRule>
    <cfRule type="expression" dxfId="5467" priority="1056" stopIfTrue="1">
      <formula>AR11=CléMaladie</formula>
    </cfRule>
    <cfRule type="expression" dxfId="5466" priority="1057" stopIfTrue="1">
      <formula>AR11=CléPersonnelle</formula>
    </cfRule>
    <cfRule type="expression" dxfId="5465" priority="1058" stopIfTrue="1">
      <formula>AR11=CléCongés</formula>
    </cfRule>
  </conditionalFormatting>
  <conditionalFormatting sqref="AQ11">
    <cfRule type="expression" priority="1047" stopIfTrue="1">
      <formula>AQ11=""</formula>
    </cfRule>
    <cfRule type="expression" dxfId="5464" priority="1048" stopIfTrue="1">
      <formula>AQ11=CléPersonnalisée2</formula>
    </cfRule>
    <cfRule type="expression" dxfId="5463" priority="1049" stopIfTrue="1">
      <formula>AQ11=CléPersonnalisée1</formula>
    </cfRule>
    <cfRule type="expression" dxfId="5462" priority="1050" stopIfTrue="1">
      <formula>AQ11=CléMaladie</formula>
    </cfRule>
    <cfRule type="expression" dxfId="5461" priority="1051" stopIfTrue="1">
      <formula>AQ11=CléPersonnelle</formula>
    </cfRule>
    <cfRule type="expression" dxfId="5460" priority="1052" stopIfTrue="1">
      <formula>AQ11=CléCongés</formula>
    </cfRule>
  </conditionalFormatting>
  <conditionalFormatting sqref="AR19">
    <cfRule type="expression" priority="1041" stopIfTrue="1">
      <formula>AR19=""</formula>
    </cfRule>
    <cfRule type="expression" dxfId="5459" priority="1042" stopIfTrue="1">
      <formula>AR19=CléPersonnalisée2</formula>
    </cfRule>
    <cfRule type="expression" dxfId="5458" priority="1043" stopIfTrue="1">
      <formula>AR19=CléPersonnalisée1</formula>
    </cfRule>
    <cfRule type="expression" dxfId="5457" priority="1044" stopIfTrue="1">
      <formula>AR19=CléMaladie</formula>
    </cfRule>
    <cfRule type="expression" dxfId="5456" priority="1045" stopIfTrue="1">
      <formula>AR19=CléPersonnelle</formula>
    </cfRule>
    <cfRule type="expression" dxfId="5455" priority="1046" stopIfTrue="1">
      <formula>AR19=CléCongés</formula>
    </cfRule>
  </conditionalFormatting>
  <conditionalFormatting sqref="AQ19">
    <cfRule type="expression" priority="1035" stopIfTrue="1">
      <formula>AQ19=""</formula>
    </cfRule>
    <cfRule type="expression" dxfId="5454" priority="1036" stopIfTrue="1">
      <formula>AQ19=CléPersonnalisée2</formula>
    </cfRule>
    <cfRule type="expression" dxfId="5453" priority="1037" stopIfTrue="1">
      <formula>AQ19=CléPersonnalisée1</formula>
    </cfRule>
    <cfRule type="expression" dxfId="5452" priority="1038" stopIfTrue="1">
      <formula>AQ19=CléMaladie</formula>
    </cfRule>
    <cfRule type="expression" dxfId="5451" priority="1039" stopIfTrue="1">
      <formula>AQ19=CléPersonnelle</formula>
    </cfRule>
    <cfRule type="expression" dxfId="5450" priority="1040" stopIfTrue="1">
      <formula>AQ19=CléCongés</formula>
    </cfRule>
  </conditionalFormatting>
  <conditionalFormatting sqref="AR23">
    <cfRule type="expression" priority="1029" stopIfTrue="1">
      <formula>AR23=""</formula>
    </cfRule>
    <cfRule type="expression" dxfId="5449" priority="1030" stopIfTrue="1">
      <formula>AR23=CléPersonnalisée2</formula>
    </cfRule>
    <cfRule type="expression" dxfId="5448" priority="1031" stopIfTrue="1">
      <formula>AR23=CléPersonnalisée1</formula>
    </cfRule>
    <cfRule type="expression" dxfId="5447" priority="1032" stopIfTrue="1">
      <formula>AR23=CléMaladie</formula>
    </cfRule>
    <cfRule type="expression" dxfId="5446" priority="1033" stopIfTrue="1">
      <formula>AR23=CléPersonnelle</formula>
    </cfRule>
    <cfRule type="expression" dxfId="5445" priority="1034" stopIfTrue="1">
      <formula>AR23=CléCongés</formula>
    </cfRule>
  </conditionalFormatting>
  <conditionalFormatting sqref="AQ23">
    <cfRule type="expression" priority="1023" stopIfTrue="1">
      <formula>AQ23=""</formula>
    </cfRule>
    <cfRule type="expression" dxfId="5444" priority="1024" stopIfTrue="1">
      <formula>AQ23=CléPersonnalisée2</formula>
    </cfRule>
    <cfRule type="expression" dxfId="5443" priority="1025" stopIfTrue="1">
      <formula>AQ23=CléPersonnalisée1</formula>
    </cfRule>
    <cfRule type="expression" dxfId="5442" priority="1026" stopIfTrue="1">
      <formula>AQ23=CléMaladie</formula>
    </cfRule>
    <cfRule type="expression" dxfId="5441" priority="1027" stopIfTrue="1">
      <formula>AQ23=CléPersonnelle</formula>
    </cfRule>
    <cfRule type="expression" dxfId="5440" priority="1028" stopIfTrue="1">
      <formula>AQ23=CléCongés</formula>
    </cfRule>
  </conditionalFormatting>
  <conditionalFormatting sqref="AR27">
    <cfRule type="expression" priority="1017" stopIfTrue="1">
      <formula>AR27=""</formula>
    </cfRule>
    <cfRule type="expression" dxfId="5439" priority="1018" stopIfTrue="1">
      <formula>AR27=CléPersonnalisée2</formula>
    </cfRule>
    <cfRule type="expression" dxfId="5438" priority="1019" stopIfTrue="1">
      <formula>AR27=CléPersonnalisée1</formula>
    </cfRule>
    <cfRule type="expression" dxfId="5437" priority="1020" stopIfTrue="1">
      <formula>AR27=CléMaladie</formula>
    </cfRule>
    <cfRule type="expression" dxfId="5436" priority="1021" stopIfTrue="1">
      <formula>AR27=CléPersonnelle</formula>
    </cfRule>
    <cfRule type="expression" dxfId="5435" priority="1022" stopIfTrue="1">
      <formula>AR27=CléCongés</formula>
    </cfRule>
  </conditionalFormatting>
  <conditionalFormatting sqref="AQ27">
    <cfRule type="expression" priority="1011" stopIfTrue="1">
      <formula>AQ27=""</formula>
    </cfRule>
    <cfRule type="expression" dxfId="5434" priority="1012" stopIfTrue="1">
      <formula>AQ27=CléPersonnalisée2</formula>
    </cfRule>
    <cfRule type="expression" dxfId="5433" priority="1013" stopIfTrue="1">
      <formula>AQ27=CléPersonnalisée1</formula>
    </cfRule>
    <cfRule type="expression" dxfId="5432" priority="1014" stopIfTrue="1">
      <formula>AQ27=CléMaladie</formula>
    </cfRule>
    <cfRule type="expression" dxfId="5431" priority="1015" stopIfTrue="1">
      <formula>AQ27=CléPersonnelle</formula>
    </cfRule>
    <cfRule type="expression" dxfId="5430" priority="1016" stopIfTrue="1">
      <formula>AQ27=CléCongés</formula>
    </cfRule>
  </conditionalFormatting>
  <conditionalFormatting sqref="AR31">
    <cfRule type="expression" priority="1005" stopIfTrue="1">
      <formula>AR31=""</formula>
    </cfRule>
    <cfRule type="expression" dxfId="5429" priority="1006" stopIfTrue="1">
      <formula>AR31=CléPersonnalisée2</formula>
    </cfRule>
    <cfRule type="expression" dxfId="5428" priority="1007" stopIfTrue="1">
      <formula>AR31=CléPersonnalisée1</formula>
    </cfRule>
    <cfRule type="expression" dxfId="5427" priority="1008" stopIfTrue="1">
      <formula>AR31=CléMaladie</formula>
    </cfRule>
    <cfRule type="expression" dxfId="5426" priority="1009" stopIfTrue="1">
      <formula>AR31=CléPersonnelle</formula>
    </cfRule>
    <cfRule type="expression" dxfId="5425" priority="1010" stopIfTrue="1">
      <formula>AR31=CléCongés</formula>
    </cfRule>
  </conditionalFormatting>
  <conditionalFormatting sqref="AQ31">
    <cfRule type="expression" priority="999" stopIfTrue="1">
      <formula>AQ31=""</formula>
    </cfRule>
    <cfRule type="expression" dxfId="5424" priority="1000" stopIfTrue="1">
      <formula>AQ31=CléPersonnalisée2</formula>
    </cfRule>
    <cfRule type="expression" dxfId="5423" priority="1001" stopIfTrue="1">
      <formula>AQ31=CléPersonnalisée1</formula>
    </cfRule>
    <cfRule type="expression" dxfId="5422" priority="1002" stopIfTrue="1">
      <formula>AQ31=CléMaladie</formula>
    </cfRule>
    <cfRule type="expression" dxfId="5421" priority="1003" stopIfTrue="1">
      <formula>AQ31=CléPersonnelle</formula>
    </cfRule>
    <cfRule type="expression" dxfId="5420" priority="1004" stopIfTrue="1">
      <formula>AQ31=CléCongés</formula>
    </cfRule>
  </conditionalFormatting>
  <conditionalFormatting sqref="AR35">
    <cfRule type="expression" priority="993" stopIfTrue="1">
      <formula>AR35=""</formula>
    </cfRule>
    <cfRule type="expression" dxfId="5419" priority="994" stopIfTrue="1">
      <formula>AR35=CléPersonnalisée2</formula>
    </cfRule>
    <cfRule type="expression" dxfId="5418" priority="995" stopIfTrue="1">
      <formula>AR35=CléPersonnalisée1</formula>
    </cfRule>
    <cfRule type="expression" dxfId="5417" priority="996" stopIfTrue="1">
      <formula>AR35=CléMaladie</formula>
    </cfRule>
    <cfRule type="expression" dxfId="5416" priority="997" stopIfTrue="1">
      <formula>AR35=CléPersonnelle</formula>
    </cfRule>
    <cfRule type="expression" dxfId="5415" priority="998" stopIfTrue="1">
      <formula>AR35=CléCongés</formula>
    </cfRule>
  </conditionalFormatting>
  <conditionalFormatting sqref="AQ35">
    <cfRule type="expression" priority="987" stopIfTrue="1">
      <formula>AQ35=""</formula>
    </cfRule>
    <cfRule type="expression" dxfId="5414" priority="988" stopIfTrue="1">
      <formula>AQ35=CléPersonnalisée2</formula>
    </cfRule>
    <cfRule type="expression" dxfId="5413" priority="989" stopIfTrue="1">
      <formula>AQ35=CléPersonnalisée1</formula>
    </cfRule>
    <cfRule type="expression" dxfId="5412" priority="990" stopIfTrue="1">
      <formula>AQ35=CléMaladie</formula>
    </cfRule>
    <cfRule type="expression" dxfId="5411" priority="991" stopIfTrue="1">
      <formula>AQ35=CléPersonnelle</formula>
    </cfRule>
    <cfRule type="expression" dxfId="5410" priority="992" stopIfTrue="1">
      <formula>AQ35=CléCongés</formula>
    </cfRule>
  </conditionalFormatting>
  <conditionalFormatting sqref="AR39">
    <cfRule type="expression" priority="981" stopIfTrue="1">
      <formula>AR39=""</formula>
    </cfRule>
    <cfRule type="expression" dxfId="5409" priority="982" stopIfTrue="1">
      <formula>AR39=CléPersonnalisée2</formula>
    </cfRule>
    <cfRule type="expression" dxfId="5408" priority="983" stopIfTrue="1">
      <formula>AR39=CléPersonnalisée1</formula>
    </cfRule>
    <cfRule type="expression" dxfId="5407" priority="984" stopIfTrue="1">
      <formula>AR39=CléMaladie</formula>
    </cfRule>
    <cfRule type="expression" dxfId="5406" priority="985" stopIfTrue="1">
      <formula>AR39=CléPersonnelle</formula>
    </cfRule>
    <cfRule type="expression" dxfId="5405" priority="986" stopIfTrue="1">
      <formula>AR39=CléCongés</formula>
    </cfRule>
  </conditionalFormatting>
  <conditionalFormatting sqref="AQ39">
    <cfRule type="expression" priority="975" stopIfTrue="1">
      <formula>AQ39=""</formula>
    </cfRule>
    <cfRule type="expression" dxfId="5404" priority="976" stopIfTrue="1">
      <formula>AQ39=CléPersonnalisée2</formula>
    </cfRule>
    <cfRule type="expression" dxfId="5403" priority="977" stopIfTrue="1">
      <formula>AQ39=CléPersonnalisée1</formula>
    </cfRule>
    <cfRule type="expression" dxfId="5402" priority="978" stopIfTrue="1">
      <formula>AQ39=CléMaladie</formula>
    </cfRule>
    <cfRule type="expression" dxfId="5401" priority="979" stopIfTrue="1">
      <formula>AQ39=CléPersonnelle</formula>
    </cfRule>
    <cfRule type="expression" dxfId="5400" priority="980" stopIfTrue="1">
      <formula>AQ39=CléCongés</formula>
    </cfRule>
  </conditionalFormatting>
  <conditionalFormatting sqref="AR43">
    <cfRule type="expression" priority="969" stopIfTrue="1">
      <formula>AR43=""</formula>
    </cfRule>
    <cfRule type="expression" dxfId="5399" priority="970" stopIfTrue="1">
      <formula>AR43=CléPersonnalisée2</formula>
    </cfRule>
    <cfRule type="expression" dxfId="5398" priority="971" stopIfTrue="1">
      <formula>AR43=CléPersonnalisée1</formula>
    </cfRule>
    <cfRule type="expression" dxfId="5397" priority="972" stopIfTrue="1">
      <formula>AR43=CléMaladie</formula>
    </cfRule>
    <cfRule type="expression" dxfId="5396" priority="973" stopIfTrue="1">
      <formula>AR43=CléPersonnelle</formula>
    </cfRule>
    <cfRule type="expression" dxfId="5395" priority="974" stopIfTrue="1">
      <formula>AR43=CléCongés</formula>
    </cfRule>
  </conditionalFormatting>
  <conditionalFormatting sqref="AQ43">
    <cfRule type="expression" priority="963" stopIfTrue="1">
      <formula>AQ43=""</formula>
    </cfRule>
    <cfRule type="expression" dxfId="5394" priority="964" stopIfTrue="1">
      <formula>AQ43=CléPersonnalisée2</formula>
    </cfRule>
    <cfRule type="expression" dxfId="5393" priority="965" stopIfTrue="1">
      <formula>AQ43=CléPersonnalisée1</formula>
    </cfRule>
    <cfRule type="expression" dxfId="5392" priority="966" stopIfTrue="1">
      <formula>AQ43=CléMaladie</formula>
    </cfRule>
    <cfRule type="expression" dxfId="5391" priority="967" stopIfTrue="1">
      <formula>AQ43=CléPersonnelle</formula>
    </cfRule>
    <cfRule type="expression" dxfId="5390" priority="968" stopIfTrue="1">
      <formula>AQ43=CléCongés</formula>
    </cfRule>
  </conditionalFormatting>
  <conditionalFormatting sqref="AR47">
    <cfRule type="expression" priority="957" stopIfTrue="1">
      <formula>AR47=""</formula>
    </cfRule>
    <cfRule type="expression" dxfId="5389" priority="958" stopIfTrue="1">
      <formula>AR47=CléPersonnalisée2</formula>
    </cfRule>
    <cfRule type="expression" dxfId="5388" priority="959" stopIfTrue="1">
      <formula>AR47=CléPersonnalisée1</formula>
    </cfRule>
    <cfRule type="expression" dxfId="5387" priority="960" stopIfTrue="1">
      <formula>AR47=CléMaladie</formula>
    </cfRule>
    <cfRule type="expression" dxfId="5386" priority="961" stopIfTrue="1">
      <formula>AR47=CléPersonnelle</formula>
    </cfRule>
    <cfRule type="expression" dxfId="5385" priority="962" stopIfTrue="1">
      <formula>AR47=CléCongés</formula>
    </cfRule>
  </conditionalFormatting>
  <conditionalFormatting sqref="AQ47">
    <cfRule type="expression" priority="951" stopIfTrue="1">
      <formula>AQ47=""</formula>
    </cfRule>
    <cfRule type="expression" dxfId="5384" priority="952" stopIfTrue="1">
      <formula>AQ47=CléPersonnalisée2</formula>
    </cfRule>
    <cfRule type="expression" dxfId="5383" priority="953" stopIfTrue="1">
      <formula>AQ47=CléPersonnalisée1</formula>
    </cfRule>
    <cfRule type="expression" dxfId="5382" priority="954" stopIfTrue="1">
      <formula>AQ47=CléMaladie</formula>
    </cfRule>
    <cfRule type="expression" dxfId="5381" priority="955" stopIfTrue="1">
      <formula>AQ47=CléPersonnelle</formula>
    </cfRule>
    <cfRule type="expression" dxfId="5380" priority="956" stopIfTrue="1">
      <formula>AQ47=CléCongés</formula>
    </cfRule>
  </conditionalFormatting>
  <conditionalFormatting sqref="AR51">
    <cfRule type="expression" priority="945" stopIfTrue="1">
      <formula>AR51=""</formula>
    </cfRule>
    <cfRule type="expression" dxfId="5379" priority="946" stopIfTrue="1">
      <formula>AR51=CléPersonnalisée2</formula>
    </cfRule>
    <cfRule type="expression" dxfId="5378" priority="947" stopIfTrue="1">
      <formula>AR51=CléPersonnalisée1</formula>
    </cfRule>
    <cfRule type="expression" dxfId="5377" priority="948" stopIfTrue="1">
      <formula>AR51=CléMaladie</formula>
    </cfRule>
    <cfRule type="expression" dxfId="5376" priority="949" stopIfTrue="1">
      <formula>AR51=CléPersonnelle</formula>
    </cfRule>
    <cfRule type="expression" dxfId="5375" priority="950" stopIfTrue="1">
      <formula>AR51=CléCongés</formula>
    </cfRule>
  </conditionalFormatting>
  <conditionalFormatting sqref="AQ51">
    <cfRule type="expression" priority="939" stopIfTrue="1">
      <formula>AQ51=""</formula>
    </cfRule>
    <cfRule type="expression" dxfId="5374" priority="940" stopIfTrue="1">
      <formula>AQ51=CléPersonnalisée2</formula>
    </cfRule>
    <cfRule type="expression" dxfId="5373" priority="941" stopIfTrue="1">
      <formula>AQ51=CléPersonnalisée1</formula>
    </cfRule>
    <cfRule type="expression" dxfId="5372" priority="942" stopIfTrue="1">
      <formula>AQ51=CléMaladie</formula>
    </cfRule>
    <cfRule type="expression" dxfId="5371" priority="943" stopIfTrue="1">
      <formula>AQ51=CléPersonnelle</formula>
    </cfRule>
    <cfRule type="expression" dxfId="5370" priority="944" stopIfTrue="1">
      <formula>AQ51=CléCongés</formula>
    </cfRule>
  </conditionalFormatting>
  <conditionalFormatting sqref="AR55">
    <cfRule type="expression" priority="933" stopIfTrue="1">
      <formula>AR55=""</formula>
    </cfRule>
    <cfRule type="expression" dxfId="5369" priority="934" stopIfTrue="1">
      <formula>AR55=CléPersonnalisée2</formula>
    </cfRule>
    <cfRule type="expression" dxfId="5368" priority="935" stopIfTrue="1">
      <formula>AR55=CléPersonnalisée1</formula>
    </cfRule>
    <cfRule type="expression" dxfId="5367" priority="936" stopIfTrue="1">
      <formula>AR55=CléMaladie</formula>
    </cfRule>
    <cfRule type="expression" dxfId="5366" priority="937" stopIfTrue="1">
      <formula>AR55=CléPersonnelle</formula>
    </cfRule>
    <cfRule type="expression" dxfId="5365" priority="938" stopIfTrue="1">
      <formula>AR55=CléCongés</formula>
    </cfRule>
  </conditionalFormatting>
  <conditionalFormatting sqref="AQ55">
    <cfRule type="expression" priority="927" stopIfTrue="1">
      <formula>AQ55=""</formula>
    </cfRule>
    <cfRule type="expression" dxfId="5364" priority="928" stopIfTrue="1">
      <formula>AQ55=CléPersonnalisée2</formula>
    </cfRule>
    <cfRule type="expression" dxfId="5363" priority="929" stopIfTrue="1">
      <formula>AQ55=CléPersonnalisée1</formula>
    </cfRule>
    <cfRule type="expression" dxfId="5362" priority="930" stopIfTrue="1">
      <formula>AQ55=CléMaladie</formula>
    </cfRule>
    <cfRule type="expression" dxfId="5361" priority="931" stopIfTrue="1">
      <formula>AQ55=CléPersonnelle</formula>
    </cfRule>
    <cfRule type="expression" dxfId="5360" priority="932" stopIfTrue="1">
      <formula>AQ55=CléCongés</formula>
    </cfRule>
  </conditionalFormatting>
  <conditionalFormatting sqref="AR63">
    <cfRule type="expression" priority="921" stopIfTrue="1">
      <formula>AR63=""</formula>
    </cfRule>
    <cfRule type="expression" dxfId="5359" priority="922" stopIfTrue="1">
      <formula>AR63=CléPersonnalisée2</formula>
    </cfRule>
    <cfRule type="expression" dxfId="5358" priority="923" stopIfTrue="1">
      <formula>AR63=CléPersonnalisée1</formula>
    </cfRule>
    <cfRule type="expression" dxfId="5357" priority="924" stopIfTrue="1">
      <formula>AR63=CléMaladie</formula>
    </cfRule>
    <cfRule type="expression" dxfId="5356" priority="925" stopIfTrue="1">
      <formula>AR63=CléPersonnelle</formula>
    </cfRule>
    <cfRule type="expression" dxfId="5355" priority="926" stopIfTrue="1">
      <formula>AR63=CléCongés</formula>
    </cfRule>
  </conditionalFormatting>
  <conditionalFormatting sqref="AQ63">
    <cfRule type="expression" priority="915" stopIfTrue="1">
      <formula>AQ63=""</formula>
    </cfRule>
    <cfRule type="expression" dxfId="5354" priority="916" stopIfTrue="1">
      <formula>AQ63=CléPersonnalisée2</formula>
    </cfRule>
    <cfRule type="expression" dxfId="5353" priority="917" stopIfTrue="1">
      <formula>AQ63=CléPersonnalisée1</formula>
    </cfRule>
    <cfRule type="expression" dxfId="5352" priority="918" stopIfTrue="1">
      <formula>AQ63=CléMaladie</formula>
    </cfRule>
    <cfRule type="expression" dxfId="5351" priority="919" stopIfTrue="1">
      <formula>AQ63=CléPersonnelle</formula>
    </cfRule>
    <cfRule type="expression" dxfId="5350" priority="920" stopIfTrue="1">
      <formula>AQ63=CléCongés</formula>
    </cfRule>
  </conditionalFormatting>
  <conditionalFormatting sqref="AR67">
    <cfRule type="expression" priority="909" stopIfTrue="1">
      <formula>AR67=""</formula>
    </cfRule>
    <cfRule type="expression" dxfId="5349" priority="910" stopIfTrue="1">
      <formula>AR67=CléPersonnalisée2</formula>
    </cfRule>
    <cfRule type="expression" dxfId="5348" priority="911" stopIfTrue="1">
      <formula>AR67=CléPersonnalisée1</formula>
    </cfRule>
    <cfRule type="expression" dxfId="5347" priority="912" stopIfTrue="1">
      <formula>AR67=CléMaladie</formula>
    </cfRule>
    <cfRule type="expression" dxfId="5346" priority="913" stopIfTrue="1">
      <formula>AR67=CléPersonnelle</formula>
    </cfRule>
    <cfRule type="expression" dxfId="5345" priority="914" stopIfTrue="1">
      <formula>AR67=CléCongés</formula>
    </cfRule>
  </conditionalFormatting>
  <conditionalFormatting sqref="AQ67">
    <cfRule type="expression" priority="903" stopIfTrue="1">
      <formula>AQ67=""</formula>
    </cfRule>
    <cfRule type="expression" dxfId="5344" priority="904" stopIfTrue="1">
      <formula>AQ67=CléPersonnalisée2</formula>
    </cfRule>
    <cfRule type="expression" dxfId="5343" priority="905" stopIfTrue="1">
      <formula>AQ67=CléPersonnalisée1</formula>
    </cfRule>
    <cfRule type="expression" dxfId="5342" priority="906" stopIfTrue="1">
      <formula>AQ67=CléMaladie</formula>
    </cfRule>
    <cfRule type="expression" dxfId="5341" priority="907" stopIfTrue="1">
      <formula>AQ67=CléPersonnelle</formula>
    </cfRule>
    <cfRule type="expression" dxfId="5340" priority="908" stopIfTrue="1">
      <formula>AQ67=CléCongés</formula>
    </cfRule>
  </conditionalFormatting>
  <conditionalFormatting sqref="AR71">
    <cfRule type="expression" priority="897" stopIfTrue="1">
      <formula>AR71=""</formula>
    </cfRule>
    <cfRule type="expression" dxfId="5339" priority="898" stopIfTrue="1">
      <formula>AR71=CléPersonnalisée2</formula>
    </cfRule>
    <cfRule type="expression" dxfId="5338" priority="899" stopIfTrue="1">
      <formula>AR71=CléPersonnalisée1</formula>
    </cfRule>
    <cfRule type="expression" dxfId="5337" priority="900" stopIfTrue="1">
      <formula>AR71=CléMaladie</formula>
    </cfRule>
    <cfRule type="expression" dxfId="5336" priority="901" stopIfTrue="1">
      <formula>AR71=CléPersonnelle</formula>
    </cfRule>
    <cfRule type="expression" dxfId="5335" priority="902" stopIfTrue="1">
      <formula>AR71=CléCongés</formula>
    </cfRule>
  </conditionalFormatting>
  <conditionalFormatting sqref="C73:AG75">
    <cfRule type="expression" priority="884" stopIfTrue="1">
      <formula>C73=""</formula>
    </cfRule>
    <cfRule type="expression" dxfId="5334" priority="885" stopIfTrue="1">
      <formula>C73=CléPersonnalisée2</formula>
    </cfRule>
    <cfRule type="expression" dxfId="5333" priority="886" stopIfTrue="1">
      <formula>C73=CléPersonnalisée1</formula>
    </cfRule>
    <cfRule type="expression" dxfId="5332" priority="887" stopIfTrue="1">
      <formula>C73=CléMaladie</formula>
    </cfRule>
    <cfRule type="expression" dxfId="5331" priority="888" stopIfTrue="1">
      <formula>C73=CléPersonnelle</formula>
    </cfRule>
    <cfRule type="expression" dxfId="5330" priority="889" stopIfTrue="1">
      <formula>C73=CléCongés</formula>
    </cfRule>
  </conditionalFormatting>
  <conditionalFormatting sqref="AH75">
    <cfRule type="dataBar" priority="890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{FF31CBAA-0B5F-4A7F-B42E-B4B4AD2C85BE}</x14:id>
        </ext>
      </extLst>
    </cfRule>
  </conditionalFormatting>
  <conditionalFormatting sqref="AI75:AL75 AJ73:AL74">
    <cfRule type="expression" priority="878" stopIfTrue="1">
      <formula>AI73=""</formula>
    </cfRule>
    <cfRule type="expression" dxfId="5329" priority="879" stopIfTrue="1">
      <formula>AI73=CléPersonnalisée2</formula>
    </cfRule>
    <cfRule type="expression" dxfId="5328" priority="880" stopIfTrue="1">
      <formula>AI73=CléPersonnalisée1</formula>
    </cfRule>
    <cfRule type="expression" dxfId="5327" priority="881" stopIfTrue="1">
      <formula>AI73=CléMaladie</formula>
    </cfRule>
    <cfRule type="expression" dxfId="5326" priority="882" stopIfTrue="1">
      <formula>AI73=CléPersonnelle</formula>
    </cfRule>
    <cfRule type="expression" dxfId="5325" priority="883" stopIfTrue="1">
      <formula>AI73=CléCongés</formula>
    </cfRule>
  </conditionalFormatting>
  <conditionalFormatting sqref="AM73:AP74">
    <cfRule type="expression" priority="872" stopIfTrue="1">
      <formula>AM73=""</formula>
    </cfRule>
    <cfRule type="expression" dxfId="5324" priority="873" stopIfTrue="1">
      <formula>AM73=CléPersonnalisée2</formula>
    </cfRule>
    <cfRule type="expression" dxfId="5323" priority="874" stopIfTrue="1">
      <formula>AM73=CléPersonnalisée1</formula>
    </cfRule>
    <cfRule type="expression" dxfId="5322" priority="875" stopIfTrue="1">
      <formula>AM73=CléMaladie</formula>
    </cfRule>
    <cfRule type="expression" dxfId="5321" priority="876" stopIfTrue="1">
      <formula>AM73=CléPersonnelle</formula>
    </cfRule>
    <cfRule type="expression" dxfId="5320" priority="877" stopIfTrue="1">
      <formula>AM73=CléCongés</formula>
    </cfRule>
  </conditionalFormatting>
  <conditionalFormatting sqref="AQ73:AR74">
    <cfRule type="expression" priority="866" stopIfTrue="1">
      <formula>AQ73=""</formula>
    </cfRule>
    <cfRule type="expression" dxfId="5319" priority="867" stopIfTrue="1">
      <formula>AQ73=CléPersonnalisée2</formula>
    </cfRule>
    <cfRule type="expression" dxfId="5318" priority="868" stopIfTrue="1">
      <formula>AQ73=CléPersonnalisée1</formula>
    </cfRule>
    <cfRule type="expression" dxfId="5317" priority="869" stopIfTrue="1">
      <formula>AQ73=CléMaladie</formula>
    </cfRule>
    <cfRule type="expression" dxfId="5316" priority="870" stopIfTrue="1">
      <formula>AQ73=CléPersonnelle</formula>
    </cfRule>
    <cfRule type="expression" dxfId="5315" priority="871" stopIfTrue="1">
      <formula>AQ73=CléCongés</formula>
    </cfRule>
  </conditionalFormatting>
  <conditionalFormatting sqref="AM75 AP75">
    <cfRule type="expression" priority="860" stopIfTrue="1">
      <formula>AM75=""</formula>
    </cfRule>
    <cfRule type="expression" dxfId="5314" priority="861" stopIfTrue="1">
      <formula>AM75=CléPersonnalisée2</formula>
    </cfRule>
    <cfRule type="expression" dxfId="5313" priority="862" stopIfTrue="1">
      <formula>AM75=CléPersonnalisée1</formula>
    </cfRule>
    <cfRule type="expression" dxfId="5312" priority="863" stopIfTrue="1">
      <formula>AM75=CléMaladie</formula>
    </cfRule>
    <cfRule type="expression" dxfId="5311" priority="864" stopIfTrue="1">
      <formula>AM75=CléPersonnelle</formula>
    </cfRule>
    <cfRule type="expression" dxfId="5310" priority="865" stopIfTrue="1">
      <formula>AM75=CléCongés</formula>
    </cfRule>
  </conditionalFormatting>
  <conditionalFormatting sqref="AH73:AH74">
    <cfRule type="dataBar" priority="859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{5A13EB58-BC8F-4262-834E-48915FB68A0C}</x14:id>
        </ext>
      </extLst>
    </cfRule>
  </conditionalFormatting>
  <conditionalFormatting sqref="AI73:AI74">
    <cfRule type="expression" priority="853" stopIfTrue="1">
      <formula>AI73=""</formula>
    </cfRule>
    <cfRule type="expression" dxfId="5309" priority="854" stopIfTrue="1">
      <formula>AI73=CléPersonnalisée2</formula>
    </cfRule>
    <cfRule type="expression" dxfId="5308" priority="855" stopIfTrue="1">
      <formula>AI73=CléPersonnalisée1</formula>
    </cfRule>
    <cfRule type="expression" dxfId="5307" priority="856" stopIfTrue="1">
      <formula>AI73=CléMaladie</formula>
    </cfRule>
    <cfRule type="expression" dxfId="5306" priority="857" stopIfTrue="1">
      <formula>AI73=CléPersonnelle</formula>
    </cfRule>
    <cfRule type="expression" dxfId="5305" priority="858" stopIfTrue="1">
      <formula>AI73=CléCongés</formula>
    </cfRule>
  </conditionalFormatting>
  <conditionalFormatting sqref="AR75">
    <cfRule type="expression" priority="847" stopIfTrue="1">
      <formula>AR75=""</formula>
    </cfRule>
    <cfRule type="expression" dxfId="5304" priority="848" stopIfTrue="1">
      <formula>AR75=CléPersonnalisée2</formula>
    </cfRule>
    <cfRule type="expression" dxfId="5303" priority="849" stopIfTrue="1">
      <formula>AR75=CléPersonnalisée1</formula>
    </cfRule>
    <cfRule type="expression" dxfId="5302" priority="850" stopIfTrue="1">
      <formula>AR75=CléMaladie</formula>
    </cfRule>
    <cfRule type="expression" dxfId="5301" priority="851" stopIfTrue="1">
      <formula>AR75=CléPersonnelle</formula>
    </cfRule>
    <cfRule type="expression" dxfId="5300" priority="852" stopIfTrue="1">
      <formula>AR75=CléCongés</formula>
    </cfRule>
  </conditionalFormatting>
  <conditionalFormatting sqref="C81:AG83">
    <cfRule type="expression" priority="834" stopIfTrue="1">
      <formula>C81=""</formula>
    </cfRule>
    <cfRule type="expression" dxfId="5299" priority="835" stopIfTrue="1">
      <formula>C81=CléPersonnalisée2</formula>
    </cfRule>
    <cfRule type="expression" dxfId="5298" priority="836" stopIfTrue="1">
      <formula>C81=CléPersonnalisée1</formula>
    </cfRule>
    <cfRule type="expression" dxfId="5297" priority="837" stopIfTrue="1">
      <formula>C81=CléMaladie</formula>
    </cfRule>
    <cfRule type="expression" dxfId="5296" priority="838" stopIfTrue="1">
      <formula>C81=CléPersonnelle</formula>
    </cfRule>
    <cfRule type="expression" dxfId="5295" priority="839" stopIfTrue="1">
      <formula>C81=CléCongés</formula>
    </cfRule>
  </conditionalFormatting>
  <conditionalFormatting sqref="AH83">
    <cfRule type="dataBar" priority="840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{30F9B0AD-0A9E-47B4-8B18-A44162C7F1A6}</x14:id>
        </ext>
      </extLst>
    </cfRule>
  </conditionalFormatting>
  <conditionalFormatting sqref="AI83:AL83 AJ81:AL82">
    <cfRule type="expression" priority="828" stopIfTrue="1">
      <formula>AI81=""</formula>
    </cfRule>
    <cfRule type="expression" dxfId="5294" priority="829" stopIfTrue="1">
      <formula>AI81=CléPersonnalisée2</formula>
    </cfRule>
    <cfRule type="expression" dxfId="5293" priority="830" stopIfTrue="1">
      <formula>AI81=CléPersonnalisée1</formula>
    </cfRule>
    <cfRule type="expression" dxfId="5292" priority="831" stopIfTrue="1">
      <formula>AI81=CléMaladie</formula>
    </cfRule>
    <cfRule type="expression" dxfId="5291" priority="832" stopIfTrue="1">
      <formula>AI81=CléPersonnelle</formula>
    </cfRule>
    <cfRule type="expression" dxfId="5290" priority="833" stopIfTrue="1">
      <formula>AI81=CléCongés</formula>
    </cfRule>
  </conditionalFormatting>
  <conditionalFormatting sqref="AM81:AP82">
    <cfRule type="expression" priority="822" stopIfTrue="1">
      <formula>AM81=""</formula>
    </cfRule>
    <cfRule type="expression" dxfId="5289" priority="823" stopIfTrue="1">
      <formula>AM81=CléPersonnalisée2</formula>
    </cfRule>
    <cfRule type="expression" dxfId="5288" priority="824" stopIfTrue="1">
      <formula>AM81=CléPersonnalisée1</formula>
    </cfRule>
    <cfRule type="expression" dxfId="5287" priority="825" stopIfTrue="1">
      <formula>AM81=CléMaladie</formula>
    </cfRule>
    <cfRule type="expression" dxfId="5286" priority="826" stopIfTrue="1">
      <formula>AM81=CléPersonnelle</formula>
    </cfRule>
    <cfRule type="expression" dxfId="5285" priority="827" stopIfTrue="1">
      <formula>AM81=CléCongés</formula>
    </cfRule>
  </conditionalFormatting>
  <conditionalFormatting sqref="AQ81:AR82">
    <cfRule type="expression" priority="816" stopIfTrue="1">
      <formula>AQ81=""</formula>
    </cfRule>
    <cfRule type="expression" dxfId="5284" priority="817" stopIfTrue="1">
      <formula>AQ81=CléPersonnalisée2</formula>
    </cfRule>
    <cfRule type="expression" dxfId="5283" priority="818" stopIfTrue="1">
      <formula>AQ81=CléPersonnalisée1</formula>
    </cfRule>
    <cfRule type="expression" dxfId="5282" priority="819" stopIfTrue="1">
      <formula>AQ81=CléMaladie</formula>
    </cfRule>
    <cfRule type="expression" dxfId="5281" priority="820" stopIfTrue="1">
      <formula>AQ81=CléPersonnelle</formula>
    </cfRule>
    <cfRule type="expression" dxfId="5280" priority="821" stopIfTrue="1">
      <formula>AQ81=CléCongés</formula>
    </cfRule>
  </conditionalFormatting>
  <conditionalFormatting sqref="AM83 AP83">
    <cfRule type="expression" priority="810" stopIfTrue="1">
      <formula>AM83=""</formula>
    </cfRule>
    <cfRule type="expression" dxfId="5279" priority="811" stopIfTrue="1">
      <formula>AM83=CléPersonnalisée2</formula>
    </cfRule>
    <cfRule type="expression" dxfId="5278" priority="812" stopIfTrue="1">
      <formula>AM83=CléPersonnalisée1</formula>
    </cfRule>
    <cfRule type="expression" dxfId="5277" priority="813" stopIfTrue="1">
      <formula>AM83=CléMaladie</formula>
    </cfRule>
    <cfRule type="expression" dxfId="5276" priority="814" stopIfTrue="1">
      <formula>AM83=CléPersonnelle</formula>
    </cfRule>
    <cfRule type="expression" dxfId="5275" priority="815" stopIfTrue="1">
      <formula>AM83=CléCongés</formula>
    </cfRule>
  </conditionalFormatting>
  <conditionalFormatting sqref="AH81:AH82">
    <cfRule type="dataBar" priority="809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{43B28889-3E5E-4480-8413-A001930EDC91}</x14:id>
        </ext>
      </extLst>
    </cfRule>
  </conditionalFormatting>
  <conditionalFormatting sqref="AO83">
    <cfRule type="expression" priority="803" stopIfTrue="1">
      <formula>AO83=""</formula>
    </cfRule>
    <cfRule type="expression" dxfId="5274" priority="804" stopIfTrue="1">
      <formula>AO83=CléPersonnalisée2</formula>
    </cfRule>
    <cfRule type="expression" dxfId="5273" priority="805" stopIfTrue="1">
      <formula>AO83=CléPersonnalisée1</formula>
    </cfRule>
    <cfRule type="expression" dxfId="5272" priority="806" stopIfTrue="1">
      <formula>AO83=CléMaladie</formula>
    </cfRule>
    <cfRule type="expression" dxfId="5271" priority="807" stopIfTrue="1">
      <formula>AO83=CléPersonnelle</formula>
    </cfRule>
    <cfRule type="expression" dxfId="5270" priority="808" stopIfTrue="1">
      <formula>AO83=CléCongés</formula>
    </cfRule>
  </conditionalFormatting>
  <conditionalFormatting sqref="AI81:AI82">
    <cfRule type="expression" priority="797" stopIfTrue="1">
      <formula>AI81=""</formula>
    </cfRule>
    <cfRule type="expression" dxfId="5269" priority="798" stopIfTrue="1">
      <formula>AI81=CléPersonnalisée2</formula>
    </cfRule>
    <cfRule type="expression" dxfId="5268" priority="799" stopIfTrue="1">
      <formula>AI81=CléPersonnalisée1</formula>
    </cfRule>
    <cfRule type="expression" dxfId="5267" priority="800" stopIfTrue="1">
      <formula>AI81=CléMaladie</formula>
    </cfRule>
    <cfRule type="expression" dxfId="5266" priority="801" stopIfTrue="1">
      <formula>AI81=CléPersonnelle</formula>
    </cfRule>
    <cfRule type="expression" dxfId="5265" priority="802" stopIfTrue="1">
      <formula>AI81=CléCongés</formula>
    </cfRule>
  </conditionalFormatting>
  <conditionalFormatting sqref="AN83">
    <cfRule type="expression" priority="791" stopIfTrue="1">
      <formula>AN83=""</formula>
    </cfRule>
    <cfRule type="expression" dxfId="5264" priority="792" stopIfTrue="1">
      <formula>AN83=CléPersonnalisée2</formula>
    </cfRule>
    <cfRule type="expression" dxfId="5263" priority="793" stopIfTrue="1">
      <formula>AN83=CléPersonnalisée1</formula>
    </cfRule>
    <cfRule type="expression" dxfId="5262" priority="794" stopIfTrue="1">
      <formula>AN83=CléMaladie</formula>
    </cfRule>
    <cfRule type="expression" dxfId="5261" priority="795" stopIfTrue="1">
      <formula>AN83=CléPersonnelle</formula>
    </cfRule>
    <cfRule type="expression" dxfId="5260" priority="796" stopIfTrue="1">
      <formula>AN83=CléCongés</formula>
    </cfRule>
  </conditionalFormatting>
  <conditionalFormatting sqref="AR83">
    <cfRule type="expression" priority="785" stopIfTrue="1">
      <formula>AR83=""</formula>
    </cfRule>
    <cfRule type="expression" dxfId="5259" priority="786" stopIfTrue="1">
      <formula>AR83=CléPersonnalisée2</formula>
    </cfRule>
    <cfRule type="expression" dxfId="5258" priority="787" stopIfTrue="1">
      <formula>AR83=CléPersonnalisée1</formula>
    </cfRule>
    <cfRule type="expression" dxfId="5257" priority="788" stopIfTrue="1">
      <formula>AR83=CléMaladie</formula>
    </cfRule>
    <cfRule type="expression" dxfId="5256" priority="789" stopIfTrue="1">
      <formula>AR83=CléPersonnelle</formula>
    </cfRule>
    <cfRule type="expression" dxfId="5255" priority="790" stopIfTrue="1">
      <formula>AR83=CléCongés</formula>
    </cfRule>
  </conditionalFormatting>
  <conditionalFormatting sqref="AQ87">
    <cfRule type="expression" priority="717" stopIfTrue="1">
      <formula>AQ87=""</formula>
    </cfRule>
    <cfRule type="expression" dxfId="5254" priority="718" stopIfTrue="1">
      <formula>AQ87=CléPersonnalisée2</formula>
    </cfRule>
    <cfRule type="expression" dxfId="5253" priority="719" stopIfTrue="1">
      <formula>AQ87=CléPersonnalisée1</formula>
    </cfRule>
    <cfRule type="expression" dxfId="5252" priority="720" stopIfTrue="1">
      <formula>AQ87=CléMaladie</formula>
    </cfRule>
    <cfRule type="expression" dxfId="5251" priority="721" stopIfTrue="1">
      <formula>AQ87=CléPersonnelle</formula>
    </cfRule>
    <cfRule type="expression" dxfId="5250" priority="722" stopIfTrue="1">
      <formula>AQ87=CléCongés</formula>
    </cfRule>
  </conditionalFormatting>
  <conditionalFormatting sqref="C85:AG87">
    <cfRule type="expression" priority="772" stopIfTrue="1">
      <formula>C85=""</formula>
    </cfRule>
    <cfRule type="expression" dxfId="5249" priority="773" stopIfTrue="1">
      <formula>C85=CléPersonnalisée2</formula>
    </cfRule>
    <cfRule type="expression" dxfId="5248" priority="774" stopIfTrue="1">
      <formula>C85=CléPersonnalisée1</formula>
    </cfRule>
    <cfRule type="expression" dxfId="5247" priority="775" stopIfTrue="1">
      <formula>C85=CléMaladie</formula>
    </cfRule>
    <cfRule type="expression" dxfId="5246" priority="776" stopIfTrue="1">
      <formula>C85=CléPersonnelle</formula>
    </cfRule>
    <cfRule type="expression" dxfId="5245" priority="777" stopIfTrue="1">
      <formula>C85=CléCongés</formula>
    </cfRule>
  </conditionalFormatting>
  <conditionalFormatting sqref="AH87">
    <cfRule type="dataBar" priority="778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{35BAA797-B2DA-4A74-8AF6-7C5ECECB341E}</x14:id>
        </ext>
      </extLst>
    </cfRule>
  </conditionalFormatting>
  <conditionalFormatting sqref="AI87:AL87 AJ85:AL86">
    <cfRule type="expression" priority="766" stopIfTrue="1">
      <formula>AI85=""</formula>
    </cfRule>
    <cfRule type="expression" dxfId="5244" priority="767" stopIfTrue="1">
      <formula>AI85=CléPersonnalisée2</formula>
    </cfRule>
    <cfRule type="expression" dxfId="5243" priority="768" stopIfTrue="1">
      <formula>AI85=CléPersonnalisée1</formula>
    </cfRule>
    <cfRule type="expression" dxfId="5242" priority="769" stopIfTrue="1">
      <formula>AI85=CléMaladie</formula>
    </cfRule>
    <cfRule type="expression" dxfId="5241" priority="770" stopIfTrue="1">
      <formula>AI85=CléPersonnelle</formula>
    </cfRule>
    <cfRule type="expression" dxfId="5240" priority="771" stopIfTrue="1">
      <formula>AI85=CléCongés</formula>
    </cfRule>
  </conditionalFormatting>
  <conditionalFormatting sqref="AM85:AP86">
    <cfRule type="expression" priority="760" stopIfTrue="1">
      <formula>AM85=""</formula>
    </cfRule>
    <cfRule type="expression" dxfId="5239" priority="761" stopIfTrue="1">
      <formula>AM85=CléPersonnalisée2</formula>
    </cfRule>
    <cfRule type="expression" dxfId="5238" priority="762" stopIfTrue="1">
      <formula>AM85=CléPersonnalisée1</formula>
    </cfRule>
    <cfRule type="expression" dxfId="5237" priority="763" stopIfTrue="1">
      <formula>AM85=CléMaladie</formula>
    </cfRule>
    <cfRule type="expression" dxfId="5236" priority="764" stopIfTrue="1">
      <formula>AM85=CléPersonnelle</formula>
    </cfRule>
    <cfRule type="expression" dxfId="5235" priority="765" stopIfTrue="1">
      <formula>AM85=CléCongés</formula>
    </cfRule>
  </conditionalFormatting>
  <conditionalFormatting sqref="AQ85:AR86">
    <cfRule type="expression" priority="754" stopIfTrue="1">
      <formula>AQ85=""</formula>
    </cfRule>
    <cfRule type="expression" dxfId="5234" priority="755" stopIfTrue="1">
      <formula>AQ85=CléPersonnalisée2</formula>
    </cfRule>
    <cfRule type="expression" dxfId="5233" priority="756" stopIfTrue="1">
      <formula>AQ85=CléPersonnalisée1</formula>
    </cfRule>
    <cfRule type="expression" dxfId="5232" priority="757" stopIfTrue="1">
      <formula>AQ85=CléMaladie</formula>
    </cfRule>
    <cfRule type="expression" dxfId="5231" priority="758" stopIfTrue="1">
      <formula>AQ85=CléPersonnelle</formula>
    </cfRule>
    <cfRule type="expression" dxfId="5230" priority="759" stopIfTrue="1">
      <formula>AQ85=CléCongés</formula>
    </cfRule>
  </conditionalFormatting>
  <conditionalFormatting sqref="AM87 AP87">
    <cfRule type="expression" priority="748" stopIfTrue="1">
      <formula>AM87=""</formula>
    </cfRule>
    <cfRule type="expression" dxfId="5229" priority="749" stopIfTrue="1">
      <formula>AM87=CléPersonnalisée2</formula>
    </cfRule>
    <cfRule type="expression" dxfId="5228" priority="750" stopIfTrue="1">
      <formula>AM87=CléPersonnalisée1</formula>
    </cfRule>
    <cfRule type="expression" dxfId="5227" priority="751" stopIfTrue="1">
      <formula>AM87=CléMaladie</formula>
    </cfRule>
    <cfRule type="expression" dxfId="5226" priority="752" stopIfTrue="1">
      <formula>AM87=CléPersonnelle</formula>
    </cfRule>
    <cfRule type="expression" dxfId="5225" priority="753" stopIfTrue="1">
      <formula>AM87=CléCongés</formula>
    </cfRule>
  </conditionalFormatting>
  <conditionalFormatting sqref="AH85:AH86">
    <cfRule type="dataBar" priority="747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{839791C4-EF97-4E42-B9F1-4706A7A915AA}</x14:id>
        </ext>
      </extLst>
    </cfRule>
  </conditionalFormatting>
  <conditionalFormatting sqref="AO87">
    <cfRule type="expression" priority="741" stopIfTrue="1">
      <formula>AO87=""</formula>
    </cfRule>
    <cfRule type="expression" dxfId="5224" priority="742" stopIfTrue="1">
      <formula>AO87=CléPersonnalisée2</formula>
    </cfRule>
    <cfRule type="expression" dxfId="5223" priority="743" stopIfTrue="1">
      <formula>AO87=CléPersonnalisée1</formula>
    </cfRule>
    <cfRule type="expression" dxfId="5222" priority="744" stopIfTrue="1">
      <formula>AO87=CléMaladie</formula>
    </cfRule>
    <cfRule type="expression" dxfId="5221" priority="745" stopIfTrue="1">
      <formula>AO87=CléPersonnelle</formula>
    </cfRule>
    <cfRule type="expression" dxfId="5220" priority="746" stopIfTrue="1">
      <formula>AO87=CléCongés</formula>
    </cfRule>
  </conditionalFormatting>
  <conditionalFormatting sqref="AI85:AI86">
    <cfRule type="expression" priority="735" stopIfTrue="1">
      <formula>AI85=""</formula>
    </cfRule>
    <cfRule type="expression" dxfId="5219" priority="736" stopIfTrue="1">
      <formula>AI85=CléPersonnalisée2</formula>
    </cfRule>
    <cfRule type="expression" dxfId="5218" priority="737" stopIfTrue="1">
      <formula>AI85=CléPersonnalisée1</formula>
    </cfRule>
    <cfRule type="expression" dxfId="5217" priority="738" stopIfTrue="1">
      <formula>AI85=CléMaladie</formula>
    </cfRule>
    <cfRule type="expression" dxfId="5216" priority="739" stopIfTrue="1">
      <formula>AI85=CléPersonnelle</formula>
    </cfRule>
    <cfRule type="expression" dxfId="5215" priority="740" stopIfTrue="1">
      <formula>AI85=CléCongés</formula>
    </cfRule>
  </conditionalFormatting>
  <conditionalFormatting sqref="AN87">
    <cfRule type="expression" priority="729" stopIfTrue="1">
      <formula>AN87=""</formula>
    </cfRule>
    <cfRule type="expression" dxfId="5214" priority="730" stopIfTrue="1">
      <formula>AN87=CléPersonnalisée2</formula>
    </cfRule>
    <cfRule type="expression" dxfId="5213" priority="731" stopIfTrue="1">
      <formula>AN87=CléPersonnalisée1</formula>
    </cfRule>
    <cfRule type="expression" dxfId="5212" priority="732" stopIfTrue="1">
      <formula>AN87=CléMaladie</formula>
    </cfRule>
    <cfRule type="expression" dxfId="5211" priority="733" stopIfTrue="1">
      <formula>AN87=CléPersonnelle</formula>
    </cfRule>
    <cfRule type="expression" dxfId="5210" priority="734" stopIfTrue="1">
      <formula>AN87=CléCongés</formula>
    </cfRule>
  </conditionalFormatting>
  <conditionalFormatting sqref="AR87">
    <cfRule type="expression" priority="723" stopIfTrue="1">
      <formula>AR87=""</formula>
    </cfRule>
    <cfRule type="expression" dxfId="5209" priority="724" stopIfTrue="1">
      <formula>AR87=CléPersonnalisée2</formula>
    </cfRule>
    <cfRule type="expression" dxfId="5208" priority="725" stopIfTrue="1">
      <formula>AR87=CléPersonnalisée1</formula>
    </cfRule>
    <cfRule type="expression" dxfId="5207" priority="726" stopIfTrue="1">
      <formula>AR87=CléMaladie</formula>
    </cfRule>
    <cfRule type="expression" dxfId="5206" priority="727" stopIfTrue="1">
      <formula>AR87=CléPersonnelle</formula>
    </cfRule>
    <cfRule type="expression" dxfId="5205" priority="728" stopIfTrue="1">
      <formula>AR87=CléCongés</formula>
    </cfRule>
  </conditionalFormatting>
  <conditionalFormatting sqref="C89:AG91">
    <cfRule type="expression" priority="710" stopIfTrue="1">
      <formula>C89=""</formula>
    </cfRule>
    <cfRule type="expression" dxfId="5204" priority="711" stopIfTrue="1">
      <formula>C89=CléPersonnalisée2</formula>
    </cfRule>
    <cfRule type="expression" dxfId="5203" priority="712" stopIfTrue="1">
      <formula>C89=CléPersonnalisée1</formula>
    </cfRule>
    <cfRule type="expression" dxfId="5202" priority="713" stopIfTrue="1">
      <formula>C89=CléMaladie</formula>
    </cfRule>
    <cfRule type="expression" dxfId="5201" priority="714" stopIfTrue="1">
      <formula>C89=CléPersonnelle</formula>
    </cfRule>
    <cfRule type="expression" dxfId="5200" priority="715" stopIfTrue="1">
      <formula>C89=CléCongés</formula>
    </cfRule>
  </conditionalFormatting>
  <conditionalFormatting sqref="AH91">
    <cfRule type="dataBar" priority="716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{E35FDB1B-515C-4D92-A434-31E13A667DB8}</x14:id>
        </ext>
      </extLst>
    </cfRule>
  </conditionalFormatting>
  <conditionalFormatting sqref="AI91:AL91 AJ89:AL90">
    <cfRule type="expression" priority="704" stopIfTrue="1">
      <formula>AI89=""</formula>
    </cfRule>
    <cfRule type="expression" dxfId="5199" priority="705" stopIfTrue="1">
      <formula>AI89=CléPersonnalisée2</formula>
    </cfRule>
    <cfRule type="expression" dxfId="5198" priority="706" stopIfTrue="1">
      <formula>AI89=CléPersonnalisée1</formula>
    </cfRule>
    <cfRule type="expression" dxfId="5197" priority="707" stopIfTrue="1">
      <formula>AI89=CléMaladie</formula>
    </cfRule>
    <cfRule type="expression" dxfId="5196" priority="708" stopIfTrue="1">
      <formula>AI89=CléPersonnelle</formula>
    </cfRule>
    <cfRule type="expression" dxfId="5195" priority="709" stopIfTrue="1">
      <formula>AI89=CléCongés</formula>
    </cfRule>
  </conditionalFormatting>
  <conditionalFormatting sqref="AM89:AP90">
    <cfRule type="expression" priority="698" stopIfTrue="1">
      <formula>AM89=""</formula>
    </cfRule>
    <cfRule type="expression" dxfId="5194" priority="699" stopIfTrue="1">
      <formula>AM89=CléPersonnalisée2</formula>
    </cfRule>
    <cfRule type="expression" dxfId="5193" priority="700" stopIfTrue="1">
      <formula>AM89=CléPersonnalisée1</formula>
    </cfRule>
    <cfRule type="expression" dxfId="5192" priority="701" stopIfTrue="1">
      <formula>AM89=CléMaladie</formula>
    </cfRule>
    <cfRule type="expression" dxfId="5191" priority="702" stopIfTrue="1">
      <formula>AM89=CléPersonnelle</formula>
    </cfRule>
    <cfRule type="expression" dxfId="5190" priority="703" stopIfTrue="1">
      <formula>AM89=CléCongés</formula>
    </cfRule>
  </conditionalFormatting>
  <conditionalFormatting sqref="AQ89:AR90">
    <cfRule type="expression" priority="692" stopIfTrue="1">
      <formula>AQ89=""</formula>
    </cfRule>
    <cfRule type="expression" dxfId="5189" priority="693" stopIfTrue="1">
      <formula>AQ89=CléPersonnalisée2</formula>
    </cfRule>
    <cfRule type="expression" dxfId="5188" priority="694" stopIfTrue="1">
      <formula>AQ89=CléPersonnalisée1</formula>
    </cfRule>
    <cfRule type="expression" dxfId="5187" priority="695" stopIfTrue="1">
      <formula>AQ89=CléMaladie</formula>
    </cfRule>
    <cfRule type="expression" dxfId="5186" priority="696" stopIfTrue="1">
      <formula>AQ89=CléPersonnelle</formula>
    </cfRule>
    <cfRule type="expression" dxfId="5185" priority="697" stopIfTrue="1">
      <formula>AQ89=CléCongés</formula>
    </cfRule>
  </conditionalFormatting>
  <conditionalFormatting sqref="AM91 AP91">
    <cfRule type="expression" priority="686" stopIfTrue="1">
      <formula>AM91=""</formula>
    </cfRule>
    <cfRule type="expression" dxfId="5184" priority="687" stopIfTrue="1">
      <formula>AM91=CléPersonnalisée2</formula>
    </cfRule>
    <cfRule type="expression" dxfId="5183" priority="688" stopIfTrue="1">
      <formula>AM91=CléPersonnalisée1</formula>
    </cfRule>
    <cfRule type="expression" dxfId="5182" priority="689" stopIfTrue="1">
      <formula>AM91=CléMaladie</formula>
    </cfRule>
    <cfRule type="expression" dxfId="5181" priority="690" stopIfTrue="1">
      <formula>AM91=CléPersonnelle</formula>
    </cfRule>
    <cfRule type="expression" dxfId="5180" priority="691" stopIfTrue="1">
      <formula>AM91=CléCongés</formula>
    </cfRule>
  </conditionalFormatting>
  <conditionalFormatting sqref="AH89:AH90">
    <cfRule type="dataBar" priority="685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{397F45E3-2253-4CEE-82DB-E1FEF7BA98E1}</x14:id>
        </ext>
      </extLst>
    </cfRule>
  </conditionalFormatting>
  <conditionalFormatting sqref="AO91">
    <cfRule type="expression" priority="679" stopIfTrue="1">
      <formula>AO91=""</formula>
    </cfRule>
    <cfRule type="expression" dxfId="5179" priority="680" stopIfTrue="1">
      <formula>AO91=CléPersonnalisée2</formula>
    </cfRule>
    <cfRule type="expression" dxfId="5178" priority="681" stopIfTrue="1">
      <formula>AO91=CléPersonnalisée1</formula>
    </cfRule>
    <cfRule type="expression" dxfId="5177" priority="682" stopIfTrue="1">
      <formula>AO91=CléMaladie</formula>
    </cfRule>
    <cfRule type="expression" dxfId="5176" priority="683" stopIfTrue="1">
      <formula>AO91=CléPersonnelle</formula>
    </cfRule>
    <cfRule type="expression" dxfId="5175" priority="684" stopIfTrue="1">
      <formula>AO91=CléCongés</formula>
    </cfRule>
  </conditionalFormatting>
  <conditionalFormatting sqref="AI89:AI90">
    <cfRule type="expression" priority="673" stopIfTrue="1">
      <formula>AI89=""</formula>
    </cfRule>
    <cfRule type="expression" dxfId="5174" priority="674" stopIfTrue="1">
      <formula>AI89=CléPersonnalisée2</formula>
    </cfRule>
    <cfRule type="expression" dxfId="5173" priority="675" stopIfTrue="1">
      <formula>AI89=CléPersonnalisée1</formula>
    </cfRule>
    <cfRule type="expression" dxfId="5172" priority="676" stopIfTrue="1">
      <formula>AI89=CléMaladie</formula>
    </cfRule>
    <cfRule type="expression" dxfId="5171" priority="677" stopIfTrue="1">
      <formula>AI89=CléPersonnelle</formula>
    </cfRule>
    <cfRule type="expression" dxfId="5170" priority="678" stopIfTrue="1">
      <formula>AI89=CléCongés</formula>
    </cfRule>
  </conditionalFormatting>
  <conditionalFormatting sqref="AN91">
    <cfRule type="expression" priority="667" stopIfTrue="1">
      <formula>AN91=""</formula>
    </cfRule>
    <cfRule type="expression" dxfId="5169" priority="668" stopIfTrue="1">
      <formula>AN91=CléPersonnalisée2</formula>
    </cfRule>
    <cfRule type="expression" dxfId="5168" priority="669" stopIfTrue="1">
      <formula>AN91=CléPersonnalisée1</formula>
    </cfRule>
    <cfRule type="expression" dxfId="5167" priority="670" stopIfTrue="1">
      <formula>AN91=CléMaladie</formula>
    </cfRule>
    <cfRule type="expression" dxfId="5166" priority="671" stopIfTrue="1">
      <formula>AN91=CléPersonnelle</formula>
    </cfRule>
    <cfRule type="expression" dxfId="5165" priority="672" stopIfTrue="1">
      <formula>AN91=CléCongés</formula>
    </cfRule>
  </conditionalFormatting>
  <conditionalFormatting sqref="AR91">
    <cfRule type="expression" priority="661" stopIfTrue="1">
      <formula>AR91=""</formula>
    </cfRule>
    <cfRule type="expression" dxfId="5164" priority="662" stopIfTrue="1">
      <formula>AR91=CléPersonnalisée2</formula>
    </cfRule>
    <cfRule type="expression" dxfId="5163" priority="663" stopIfTrue="1">
      <formula>AR91=CléPersonnalisée1</formula>
    </cfRule>
    <cfRule type="expression" dxfId="5162" priority="664" stopIfTrue="1">
      <formula>AR91=CléMaladie</formula>
    </cfRule>
    <cfRule type="expression" dxfId="5161" priority="665" stopIfTrue="1">
      <formula>AR91=CléPersonnelle</formula>
    </cfRule>
    <cfRule type="expression" dxfId="5160" priority="666" stopIfTrue="1">
      <formula>AR91=CléCongés</formula>
    </cfRule>
  </conditionalFormatting>
  <conditionalFormatting sqref="AO75">
    <cfRule type="expression" priority="649" stopIfTrue="1">
      <formula>AO75=""</formula>
    </cfRule>
    <cfRule type="expression" dxfId="5159" priority="650" stopIfTrue="1">
      <formula>AO75=CléPersonnalisée2</formula>
    </cfRule>
    <cfRule type="expression" dxfId="5158" priority="651" stopIfTrue="1">
      <formula>AO75=CléPersonnalisée1</formula>
    </cfRule>
    <cfRule type="expression" dxfId="5157" priority="652" stopIfTrue="1">
      <formula>AO75=CléMaladie</formula>
    </cfRule>
    <cfRule type="expression" dxfId="5156" priority="653" stopIfTrue="1">
      <formula>AO75=CléPersonnelle</formula>
    </cfRule>
    <cfRule type="expression" dxfId="5155" priority="654" stopIfTrue="1">
      <formula>AO75=CléCongés</formula>
    </cfRule>
  </conditionalFormatting>
  <conditionalFormatting sqref="AN75">
    <cfRule type="expression" priority="643" stopIfTrue="1">
      <formula>AN75=""</formula>
    </cfRule>
    <cfRule type="expression" dxfId="5154" priority="644" stopIfTrue="1">
      <formula>AN75=CléPersonnalisée2</formula>
    </cfRule>
    <cfRule type="expression" dxfId="5153" priority="645" stopIfTrue="1">
      <formula>AN75=CléPersonnalisée1</formula>
    </cfRule>
    <cfRule type="expression" dxfId="5152" priority="646" stopIfTrue="1">
      <formula>AN75=CléMaladie</formula>
    </cfRule>
    <cfRule type="expression" dxfId="5151" priority="647" stopIfTrue="1">
      <formula>AN75=CléPersonnelle</formula>
    </cfRule>
    <cfRule type="expression" dxfId="5150" priority="648" stopIfTrue="1">
      <formula>AN75=CléCongés</formula>
    </cfRule>
  </conditionalFormatting>
  <conditionalFormatting sqref="AQ124:AR124">
    <cfRule type="expression" priority="637" stopIfTrue="1">
      <formula>AQ124=""</formula>
    </cfRule>
    <cfRule type="expression" dxfId="5149" priority="638" stopIfTrue="1">
      <formula>AQ124=CléPersonnalisée2</formula>
    </cfRule>
    <cfRule type="expression" dxfId="5148" priority="639" stopIfTrue="1">
      <formula>AQ124=CléPersonnalisée1</formula>
    </cfRule>
    <cfRule type="expression" dxfId="5147" priority="640" stopIfTrue="1">
      <formula>AQ124=CléMaladie</formula>
    </cfRule>
    <cfRule type="expression" dxfId="5146" priority="641" stopIfTrue="1">
      <formula>AQ124=CléPersonnelle</formula>
    </cfRule>
    <cfRule type="expression" dxfId="5145" priority="642" stopIfTrue="1">
      <formula>AQ124=CléCongés</formula>
    </cfRule>
  </conditionalFormatting>
  <conditionalFormatting sqref="AQ123">
    <cfRule type="expression" priority="451" stopIfTrue="1">
      <formula>AQ123=""</formula>
    </cfRule>
    <cfRule type="expression" dxfId="5144" priority="452" stopIfTrue="1">
      <formula>AQ123=CléPersonnalisée2</formula>
    </cfRule>
    <cfRule type="expression" dxfId="5143" priority="453" stopIfTrue="1">
      <formula>AQ123=CléPersonnalisée1</formula>
    </cfRule>
    <cfRule type="expression" dxfId="5142" priority="454" stopIfTrue="1">
      <formula>AQ123=CléMaladie</formula>
    </cfRule>
    <cfRule type="expression" dxfId="5141" priority="455" stopIfTrue="1">
      <formula>AQ123=CléPersonnelle</formula>
    </cfRule>
    <cfRule type="expression" dxfId="5140" priority="456" stopIfTrue="1">
      <formula>AQ123=CléCongés</formula>
    </cfRule>
  </conditionalFormatting>
  <conditionalFormatting sqref="AQ104:AR104 AQ112:AR112 AQ116:AR116">
    <cfRule type="expression" priority="631" stopIfTrue="1">
      <formula>AQ104=""</formula>
    </cfRule>
    <cfRule type="expression" dxfId="5139" priority="632" stopIfTrue="1">
      <formula>AQ104=CléPersonnalisée2</formula>
    </cfRule>
    <cfRule type="expression" dxfId="5138" priority="633" stopIfTrue="1">
      <formula>AQ104=CléPersonnalisée1</formula>
    </cfRule>
    <cfRule type="expression" dxfId="5137" priority="634" stopIfTrue="1">
      <formula>AQ104=CléMaladie</formula>
    </cfRule>
    <cfRule type="expression" dxfId="5136" priority="635" stopIfTrue="1">
      <formula>AQ104=CléPersonnelle</formula>
    </cfRule>
    <cfRule type="expression" dxfId="5135" priority="636" stopIfTrue="1">
      <formula>AQ104=CléCongés</formula>
    </cfRule>
  </conditionalFormatting>
  <conditionalFormatting sqref="AQ95 AQ103 AQ99">
    <cfRule type="expression" priority="569" stopIfTrue="1">
      <formula>AQ95=""</formula>
    </cfRule>
    <cfRule type="expression" dxfId="5134" priority="570" stopIfTrue="1">
      <formula>AQ95=CléPersonnalisée2</formula>
    </cfRule>
    <cfRule type="expression" dxfId="5133" priority="571" stopIfTrue="1">
      <formula>AQ95=CléPersonnalisée1</formula>
    </cfRule>
    <cfRule type="expression" dxfId="5132" priority="572" stopIfTrue="1">
      <formula>AQ95=CléMaladie</formula>
    </cfRule>
    <cfRule type="expression" dxfId="5131" priority="573" stopIfTrue="1">
      <formula>AQ95=CléPersonnelle</formula>
    </cfRule>
    <cfRule type="expression" dxfId="5130" priority="574" stopIfTrue="1">
      <formula>AQ95=CléCongés</formula>
    </cfRule>
  </conditionalFormatting>
  <conditionalFormatting sqref="C93:AG95 C101:AG103 C97:AG99">
    <cfRule type="expression" priority="624" stopIfTrue="1">
      <formula>C93=""</formula>
    </cfRule>
    <cfRule type="expression" dxfId="5129" priority="625" stopIfTrue="1">
      <formula>C93=CléPersonnalisée2</formula>
    </cfRule>
    <cfRule type="expression" dxfId="5128" priority="626" stopIfTrue="1">
      <formula>C93=CléPersonnalisée1</formula>
    </cfRule>
    <cfRule type="expression" dxfId="5127" priority="627" stopIfTrue="1">
      <formula>C93=CléMaladie</formula>
    </cfRule>
    <cfRule type="expression" dxfId="5126" priority="628" stopIfTrue="1">
      <formula>C93=CléPersonnelle</formula>
    </cfRule>
    <cfRule type="expression" dxfId="5125" priority="629" stopIfTrue="1">
      <formula>C93=CléCongés</formula>
    </cfRule>
  </conditionalFormatting>
  <conditionalFormatting sqref="AH101:AH103 AH95 AH97:AH99">
    <cfRule type="dataBar" priority="630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{57FF7B4C-5923-4DEA-826D-E8ABF1284CD2}</x14:id>
        </ext>
      </extLst>
    </cfRule>
  </conditionalFormatting>
  <conditionalFormatting sqref="AI95:AL95 AJ93:AL94 AI101:AL103 AI97:AL99">
    <cfRule type="expression" priority="618" stopIfTrue="1">
      <formula>AI93=""</formula>
    </cfRule>
    <cfRule type="expression" dxfId="5124" priority="619" stopIfTrue="1">
      <formula>AI93=CléPersonnalisée2</formula>
    </cfRule>
    <cfRule type="expression" dxfId="5123" priority="620" stopIfTrue="1">
      <formula>AI93=CléPersonnalisée1</formula>
    </cfRule>
    <cfRule type="expression" dxfId="5122" priority="621" stopIfTrue="1">
      <formula>AI93=CléMaladie</formula>
    </cfRule>
    <cfRule type="expression" dxfId="5121" priority="622" stopIfTrue="1">
      <formula>AI93=CléPersonnelle</formula>
    </cfRule>
    <cfRule type="expression" dxfId="5120" priority="623" stopIfTrue="1">
      <formula>AI93=CléCongés</formula>
    </cfRule>
  </conditionalFormatting>
  <conditionalFormatting sqref="AM93:AP94">
    <cfRule type="expression" priority="612" stopIfTrue="1">
      <formula>AM93=""</formula>
    </cfRule>
    <cfRule type="expression" dxfId="5119" priority="613" stopIfTrue="1">
      <formula>AM93=CléPersonnalisée2</formula>
    </cfRule>
    <cfRule type="expression" dxfId="5118" priority="614" stopIfTrue="1">
      <formula>AM93=CléPersonnalisée1</formula>
    </cfRule>
    <cfRule type="expression" dxfId="5117" priority="615" stopIfTrue="1">
      <formula>AM93=CléMaladie</formula>
    </cfRule>
    <cfRule type="expression" dxfId="5116" priority="616" stopIfTrue="1">
      <formula>AM93=CléPersonnelle</formula>
    </cfRule>
    <cfRule type="expression" dxfId="5115" priority="617" stopIfTrue="1">
      <formula>AM93=CléCongés</formula>
    </cfRule>
  </conditionalFormatting>
  <conditionalFormatting sqref="AQ93:AR94">
    <cfRule type="expression" priority="606" stopIfTrue="1">
      <formula>AQ93=""</formula>
    </cfRule>
    <cfRule type="expression" dxfId="5114" priority="607" stopIfTrue="1">
      <formula>AQ93=CléPersonnalisée2</formula>
    </cfRule>
    <cfRule type="expression" dxfId="5113" priority="608" stopIfTrue="1">
      <formula>AQ93=CléPersonnalisée1</formula>
    </cfRule>
    <cfRule type="expression" dxfId="5112" priority="609" stopIfTrue="1">
      <formula>AQ93=CléMaladie</formula>
    </cfRule>
    <cfRule type="expression" dxfId="5111" priority="610" stopIfTrue="1">
      <formula>AQ93=CléPersonnelle</formula>
    </cfRule>
    <cfRule type="expression" dxfId="5110" priority="611" stopIfTrue="1">
      <formula>AQ93=CléCongés</formula>
    </cfRule>
  </conditionalFormatting>
  <conditionalFormatting sqref="AP95 AP103 AM103 AP99 AM99">
    <cfRule type="expression" priority="600" stopIfTrue="1">
      <formula>AM95=""</formula>
    </cfRule>
    <cfRule type="expression" dxfId="5109" priority="601" stopIfTrue="1">
      <formula>AM95=CléPersonnalisée2</formula>
    </cfRule>
    <cfRule type="expression" dxfId="5108" priority="602" stopIfTrue="1">
      <formula>AM95=CléPersonnalisée1</formula>
    </cfRule>
    <cfRule type="expression" dxfId="5107" priority="603" stopIfTrue="1">
      <formula>AM95=CléMaladie</formula>
    </cfRule>
    <cfRule type="expression" dxfId="5106" priority="604" stopIfTrue="1">
      <formula>AM95=CléPersonnelle</formula>
    </cfRule>
    <cfRule type="expression" dxfId="5105" priority="605" stopIfTrue="1">
      <formula>AM95=CléCongés</formula>
    </cfRule>
  </conditionalFormatting>
  <conditionalFormatting sqref="AH93:AH94">
    <cfRule type="dataBar" priority="599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{D088EABE-5BC9-4A4E-9F3A-D8DF90189D6F}</x14:id>
        </ext>
      </extLst>
    </cfRule>
  </conditionalFormatting>
  <conditionalFormatting sqref="AO95 AO103 AO99">
    <cfRule type="expression" priority="593" stopIfTrue="1">
      <formula>AO95=""</formula>
    </cfRule>
    <cfRule type="expression" dxfId="5104" priority="594" stopIfTrue="1">
      <formula>AO95=CléPersonnalisée2</formula>
    </cfRule>
    <cfRule type="expression" dxfId="5103" priority="595" stopIfTrue="1">
      <formula>AO95=CléPersonnalisée1</formula>
    </cfRule>
    <cfRule type="expression" dxfId="5102" priority="596" stopIfTrue="1">
      <formula>AO95=CléMaladie</formula>
    </cfRule>
    <cfRule type="expression" dxfId="5101" priority="597" stopIfTrue="1">
      <formula>AO95=CléPersonnelle</formula>
    </cfRule>
    <cfRule type="expression" dxfId="5100" priority="598" stopIfTrue="1">
      <formula>AO95=CléCongés</formula>
    </cfRule>
  </conditionalFormatting>
  <conditionalFormatting sqref="AI93:AI94">
    <cfRule type="expression" priority="587" stopIfTrue="1">
      <formula>AI93=""</formula>
    </cfRule>
    <cfRule type="expression" dxfId="5099" priority="588" stopIfTrue="1">
      <formula>AI93=CléPersonnalisée2</formula>
    </cfRule>
    <cfRule type="expression" dxfId="5098" priority="589" stopIfTrue="1">
      <formula>AI93=CléPersonnalisée1</formula>
    </cfRule>
    <cfRule type="expression" dxfId="5097" priority="590" stopIfTrue="1">
      <formula>AI93=CléMaladie</formula>
    </cfRule>
    <cfRule type="expression" dxfId="5096" priority="591" stopIfTrue="1">
      <formula>AI93=CléPersonnelle</formula>
    </cfRule>
    <cfRule type="expression" dxfId="5095" priority="592" stopIfTrue="1">
      <formula>AI93=CléCongés</formula>
    </cfRule>
  </conditionalFormatting>
  <conditionalFormatting sqref="AN95 AN103 AN99">
    <cfRule type="expression" priority="581" stopIfTrue="1">
      <formula>AN95=""</formula>
    </cfRule>
    <cfRule type="expression" dxfId="5094" priority="582" stopIfTrue="1">
      <formula>AN95=CléPersonnalisée2</formula>
    </cfRule>
    <cfRule type="expression" dxfId="5093" priority="583" stopIfTrue="1">
      <formula>AN95=CléPersonnalisée1</formula>
    </cfRule>
    <cfRule type="expression" dxfId="5092" priority="584" stopIfTrue="1">
      <formula>AN95=CléMaladie</formula>
    </cfRule>
    <cfRule type="expression" dxfId="5091" priority="585" stopIfTrue="1">
      <formula>AN95=CléPersonnelle</formula>
    </cfRule>
    <cfRule type="expression" dxfId="5090" priority="586" stopIfTrue="1">
      <formula>AN95=CléCongés</formula>
    </cfRule>
  </conditionalFormatting>
  <conditionalFormatting sqref="AR95 AR103 AR99">
    <cfRule type="expression" priority="575" stopIfTrue="1">
      <formula>AR95=""</formula>
    </cfRule>
    <cfRule type="expression" dxfId="5089" priority="576" stopIfTrue="1">
      <formula>AR95=CléPersonnalisée2</formula>
    </cfRule>
    <cfRule type="expression" dxfId="5088" priority="577" stopIfTrue="1">
      <formula>AR95=CléPersonnalisée1</formula>
    </cfRule>
    <cfRule type="expression" dxfId="5087" priority="578" stopIfTrue="1">
      <formula>AR95=CléMaladie</formula>
    </cfRule>
    <cfRule type="expression" dxfId="5086" priority="579" stopIfTrue="1">
      <formula>AR95=CléPersonnelle</formula>
    </cfRule>
    <cfRule type="expression" dxfId="5085" priority="580" stopIfTrue="1">
      <formula>AR95=CléCongés</formula>
    </cfRule>
  </conditionalFormatting>
  <conditionalFormatting sqref="AQ111">
    <cfRule type="expression" priority="513" stopIfTrue="1">
      <formula>AQ111=""</formula>
    </cfRule>
    <cfRule type="expression" dxfId="5084" priority="514" stopIfTrue="1">
      <formula>AQ111=CléPersonnalisée2</formula>
    </cfRule>
    <cfRule type="expression" dxfId="5083" priority="515" stopIfTrue="1">
      <formula>AQ111=CléPersonnalisée1</formula>
    </cfRule>
    <cfRule type="expression" dxfId="5082" priority="516" stopIfTrue="1">
      <formula>AQ111=CléMaladie</formula>
    </cfRule>
    <cfRule type="expression" dxfId="5081" priority="517" stopIfTrue="1">
      <formula>AQ111=CléPersonnelle</formula>
    </cfRule>
    <cfRule type="expression" dxfId="5080" priority="518" stopIfTrue="1">
      <formula>AQ111=CléCongés</formula>
    </cfRule>
  </conditionalFormatting>
  <conditionalFormatting sqref="C109:AG111">
    <cfRule type="expression" priority="562" stopIfTrue="1">
      <formula>C109=""</formula>
    </cfRule>
    <cfRule type="expression" dxfId="5079" priority="563" stopIfTrue="1">
      <formula>C109=CléPersonnalisée2</formula>
    </cfRule>
    <cfRule type="expression" dxfId="5078" priority="564" stopIfTrue="1">
      <formula>C109=CléPersonnalisée1</formula>
    </cfRule>
    <cfRule type="expression" dxfId="5077" priority="565" stopIfTrue="1">
      <formula>C109=CléMaladie</formula>
    </cfRule>
    <cfRule type="expression" dxfId="5076" priority="566" stopIfTrue="1">
      <formula>C109=CléPersonnelle</formula>
    </cfRule>
    <cfRule type="expression" dxfId="5075" priority="567" stopIfTrue="1">
      <formula>C109=CléCongés</formula>
    </cfRule>
  </conditionalFormatting>
  <conditionalFormatting sqref="AH111">
    <cfRule type="dataBar" priority="568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{6B62C28F-D5B4-4F86-8416-21C98829F6E3}</x14:id>
        </ext>
      </extLst>
    </cfRule>
  </conditionalFormatting>
  <conditionalFormatting sqref="AI111:AL111 AJ109:AL110">
    <cfRule type="expression" priority="556" stopIfTrue="1">
      <formula>AI109=""</formula>
    </cfRule>
    <cfRule type="expression" dxfId="5074" priority="557" stopIfTrue="1">
      <formula>AI109=CléPersonnalisée2</formula>
    </cfRule>
    <cfRule type="expression" dxfId="5073" priority="558" stopIfTrue="1">
      <formula>AI109=CléPersonnalisée1</formula>
    </cfRule>
    <cfRule type="expression" dxfId="5072" priority="559" stopIfTrue="1">
      <formula>AI109=CléMaladie</formula>
    </cfRule>
    <cfRule type="expression" dxfId="5071" priority="560" stopIfTrue="1">
      <formula>AI109=CléPersonnelle</formula>
    </cfRule>
    <cfRule type="expression" dxfId="5070" priority="561" stopIfTrue="1">
      <formula>AI109=CléCongés</formula>
    </cfRule>
  </conditionalFormatting>
  <conditionalFormatting sqref="AM109:AP110">
    <cfRule type="expression" priority="550" stopIfTrue="1">
      <formula>AM109=""</formula>
    </cfRule>
    <cfRule type="expression" dxfId="5069" priority="551" stopIfTrue="1">
      <formula>AM109=CléPersonnalisée2</formula>
    </cfRule>
    <cfRule type="expression" dxfId="5068" priority="552" stopIfTrue="1">
      <formula>AM109=CléPersonnalisée1</formula>
    </cfRule>
    <cfRule type="expression" dxfId="5067" priority="553" stopIfTrue="1">
      <formula>AM109=CléMaladie</formula>
    </cfRule>
    <cfRule type="expression" dxfId="5066" priority="554" stopIfTrue="1">
      <formula>AM109=CléPersonnelle</formula>
    </cfRule>
    <cfRule type="expression" dxfId="5065" priority="555" stopIfTrue="1">
      <formula>AM109=CléCongés</formula>
    </cfRule>
  </conditionalFormatting>
  <conditionalFormatting sqref="AQ109:AR110">
    <cfRule type="expression" priority="544" stopIfTrue="1">
      <formula>AQ109=""</formula>
    </cfRule>
    <cfRule type="expression" dxfId="5064" priority="545" stopIfTrue="1">
      <formula>AQ109=CléPersonnalisée2</formula>
    </cfRule>
    <cfRule type="expression" dxfId="5063" priority="546" stopIfTrue="1">
      <formula>AQ109=CléPersonnalisée1</formula>
    </cfRule>
    <cfRule type="expression" dxfId="5062" priority="547" stopIfTrue="1">
      <formula>AQ109=CléMaladie</formula>
    </cfRule>
    <cfRule type="expression" dxfId="5061" priority="548" stopIfTrue="1">
      <formula>AQ109=CléPersonnelle</formula>
    </cfRule>
    <cfRule type="expression" dxfId="5060" priority="549" stopIfTrue="1">
      <formula>AQ109=CléCongés</formula>
    </cfRule>
  </conditionalFormatting>
  <conditionalFormatting sqref="AM111 AP111">
    <cfRule type="expression" priority="538" stopIfTrue="1">
      <formula>AM111=""</formula>
    </cfRule>
    <cfRule type="expression" dxfId="5059" priority="539" stopIfTrue="1">
      <formula>AM111=CléPersonnalisée2</formula>
    </cfRule>
    <cfRule type="expression" dxfId="5058" priority="540" stopIfTrue="1">
      <formula>AM111=CléPersonnalisée1</formula>
    </cfRule>
    <cfRule type="expression" dxfId="5057" priority="541" stopIfTrue="1">
      <formula>AM111=CléMaladie</formula>
    </cfRule>
    <cfRule type="expression" dxfId="5056" priority="542" stopIfTrue="1">
      <formula>AM111=CléPersonnelle</formula>
    </cfRule>
    <cfRule type="expression" dxfId="5055" priority="543" stopIfTrue="1">
      <formula>AM111=CléCongés</formula>
    </cfRule>
  </conditionalFormatting>
  <conditionalFormatting sqref="AH109:AH110">
    <cfRule type="dataBar" priority="537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{0371E98D-AB67-4C4C-9D45-10139281D1F4}</x14:id>
        </ext>
      </extLst>
    </cfRule>
  </conditionalFormatting>
  <conditionalFormatting sqref="AI109:AI110">
    <cfRule type="expression" priority="531" stopIfTrue="1">
      <formula>AI109=""</formula>
    </cfRule>
    <cfRule type="expression" dxfId="5054" priority="532" stopIfTrue="1">
      <formula>AI109=CléPersonnalisée2</formula>
    </cfRule>
    <cfRule type="expression" dxfId="5053" priority="533" stopIfTrue="1">
      <formula>AI109=CléPersonnalisée1</formula>
    </cfRule>
    <cfRule type="expression" dxfId="5052" priority="534" stopIfTrue="1">
      <formula>AI109=CléMaladie</formula>
    </cfRule>
    <cfRule type="expression" dxfId="5051" priority="535" stopIfTrue="1">
      <formula>AI109=CléPersonnelle</formula>
    </cfRule>
    <cfRule type="expression" dxfId="5050" priority="536" stopIfTrue="1">
      <formula>AI109=CléCongés</formula>
    </cfRule>
  </conditionalFormatting>
  <conditionalFormatting sqref="AN111">
    <cfRule type="expression" priority="525" stopIfTrue="1">
      <formula>AN111=""</formula>
    </cfRule>
    <cfRule type="expression" dxfId="5049" priority="526" stopIfTrue="1">
      <formula>AN111=CléPersonnalisée2</formula>
    </cfRule>
    <cfRule type="expression" dxfId="5048" priority="527" stopIfTrue="1">
      <formula>AN111=CléPersonnalisée1</formula>
    </cfRule>
    <cfRule type="expression" dxfId="5047" priority="528" stopIfTrue="1">
      <formula>AN111=CléMaladie</formula>
    </cfRule>
    <cfRule type="expression" dxfId="5046" priority="529" stopIfTrue="1">
      <formula>AN111=CléPersonnelle</formula>
    </cfRule>
    <cfRule type="expression" dxfId="5045" priority="530" stopIfTrue="1">
      <formula>AN111=CléCongés</formula>
    </cfRule>
  </conditionalFormatting>
  <conditionalFormatting sqref="AR111">
    <cfRule type="expression" priority="519" stopIfTrue="1">
      <formula>AR111=""</formula>
    </cfRule>
    <cfRule type="expression" dxfId="5044" priority="520" stopIfTrue="1">
      <formula>AR111=CléPersonnalisée2</formula>
    </cfRule>
    <cfRule type="expression" dxfId="5043" priority="521" stopIfTrue="1">
      <formula>AR111=CléPersonnalisée1</formula>
    </cfRule>
    <cfRule type="expression" dxfId="5042" priority="522" stopIfTrue="1">
      <formula>AR111=CléMaladie</formula>
    </cfRule>
    <cfRule type="expression" dxfId="5041" priority="523" stopIfTrue="1">
      <formula>AR111=CléPersonnelle</formula>
    </cfRule>
    <cfRule type="expression" dxfId="5040" priority="524" stopIfTrue="1">
      <formula>AR111=CléCongés</formula>
    </cfRule>
  </conditionalFormatting>
  <conditionalFormatting sqref="C121:AG123">
    <cfRule type="expression" priority="506" stopIfTrue="1">
      <formula>C121=""</formula>
    </cfRule>
    <cfRule type="expression" dxfId="5039" priority="507" stopIfTrue="1">
      <formula>C121=CléPersonnalisée2</formula>
    </cfRule>
    <cfRule type="expression" dxfId="5038" priority="508" stopIfTrue="1">
      <formula>C121=CléPersonnalisée1</formula>
    </cfRule>
    <cfRule type="expression" dxfId="5037" priority="509" stopIfTrue="1">
      <formula>C121=CléMaladie</formula>
    </cfRule>
    <cfRule type="expression" dxfId="5036" priority="510" stopIfTrue="1">
      <formula>C121=CléPersonnelle</formula>
    </cfRule>
    <cfRule type="expression" dxfId="5035" priority="511" stopIfTrue="1">
      <formula>C121=CléCongés</formula>
    </cfRule>
  </conditionalFormatting>
  <conditionalFormatting sqref="AH123">
    <cfRule type="dataBar" priority="512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{AC06109A-9349-4582-9714-D3327C7AC1C5}</x14:id>
        </ext>
      </extLst>
    </cfRule>
  </conditionalFormatting>
  <conditionalFormatting sqref="AI123:AL123 AJ121:AL122">
    <cfRule type="expression" priority="500" stopIfTrue="1">
      <formula>AI121=""</formula>
    </cfRule>
    <cfRule type="expression" dxfId="5034" priority="501" stopIfTrue="1">
      <formula>AI121=CléPersonnalisée2</formula>
    </cfRule>
    <cfRule type="expression" dxfId="5033" priority="502" stopIfTrue="1">
      <formula>AI121=CléPersonnalisée1</formula>
    </cfRule>
    <cfRule type="expression" dxfId="5032" priority="503" stopIfTrue="1">
      <formula>AI121=CléMaladie</formula>
    </cfRule>
    <cfRule type="expression" dxfId="5031" priority="504" stopIfTrue="1">
      <formula>AI121=CléPersonnelle</formula>
    </cfRule>
    <cfRule type="expression" dxfId="5030" priority="505" stopIfTrue="1">
      <formula>AI121=CléCongés</formula>
    </cfRule>
  </conditionalFormatting>
  <conditionalFormatting sqref="AM121:AP122">
    <cfRule type="expression" priority="494" stopIfTrue="1">
      <formula>AM121=""</formula>
    </cfRule>
    <cfRule type="expression" dxfId="5029" priority="495" stopIfTrue="1">
      <formula>AM121=CléPersonnalisée2</formula>
    </cfRule>
    <cfRule type="expression" dxfId="5028" priority="496" stopIfTrue="1">
      <formula>AM121=CléPersonnalisée1</formula>
    </cfRule>
    <cfRule type="expression" dxfId="5027" priority="497" stopIfTrue="1">
      <formula>AM121=CléMaladie</formula>
    </cfRule>
    <cfRule type="expression" dxfId="5026" priority="498" stopIfTrue="1">
      <formula>AM121=CléPersonnelle</formula>
    </cfRule>
    <cfRule type="expression" dxfId="5025" priority="499" stopIfTrue="1">
      <formula>AM121=CléCongés</formula>
    </cfRule>
  </conditionalFormatting>
  <conditionalFormatting sqref="AQ121:AR122">
    <cfRule type="expression" priority="488" stopIfTrue="1">
      <formula>AQ121=""</formula>
    </cfRule>
    <cfRule type="expression" dxfId="5024" priority="489" stopIfTrue="1">
      <formula>AQ121=CléPersonnalisée2</formula>
    </cfRule>
    <cfRule type="expression" dxfId="5023" priority="490" stopIfTrue="1">
      <formula>AQ121=CléPersonnalisée1</formula>
    </cfRule>
    <cfRule type="expression" dxfId="5022" priority="491" stopIfTrue="1">
      <formula>AQ121=CléMaladie</formula>
    </cfRule>
    <cfRule type="expression" dxfId="5021" priority="492" stopIfTrue="1">
      <formula>AQ121=CléPersonnelle</formula>
    </cfRule>
    <cfRule type="expression" dxfId="5020" priority="493" stopIfTrue="1">
      <formula>AQ121=CléCongés</formula>
    </cfRule>
  </conditionalFormatting>
  <conditionalFormatting sqref="AM123 AP123">
    <cfRule type="expression" priority="482" stopIfTrue="1">
      <formula>AM123=""</formula>
    </cfRule>
    <cfRule type="expression" dxfId="5019" priority="483" stopIfTrue="1">
      <formula>AM123=CléPersonnalisée2</formula>
    </cfRule>
    <cfRule type="expression" dxfId="5018" priority="484" stopIfTrue="1">
      <formula>AM123=CléPersonnalisée1</formula>
    </cfRule>
    <cfRule type="expression" dxfId="5017" priority="485" stopIfTrue="1">
      <formula>AM123=CléMaladie</formula>
    </cfRule>
    <cfRule type="expression" dxfId="5016" priority="486" stopIfTrue="1">
      <formula>AM123=CléPersonnelle</formula>
    </cfRule>
    <cfRule type="expression" dxfId="5015" priority="487" stopIfTrue="1">
      <formula>AM123=CléCongés</formula>
    </cfRule>
  </conditionalFormatting>
  <conditionalFormatting sqref="AH121:AH122">
    <cfRule type="dataBar" priority="481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{0CE45F8A-B045-4492-9D92-B95149BC2EFF}</x14:id>
        </ext>
      </extLst>
    </cfRule>
  </conditionalFormatting>
  <conditionalFormatting sqref="AO123">
    <cfRule type="expression" priority="475" stopIfTrue="1">
      <formula>AO123=""</formula>
    </cfRule>
    <cfRule type="expression" dxfId="5014" priority="476" stopIfTrue="1">
      <formula>AO123=CléPersonnalisée2</formula>
    </cfRule>
    <cfRule type="expression" dxfId="5013" priority="477" stopIfTrue="1">
      <formula>AO123=CléPersonnalisée1</formula>
    </cfRule>
    <cfRule type="expression" dxfId="5012" priority="478" stopIfTrue="1">
      <formula>AO123=CléMaladie</formula>
    </cfRule>
    <cfRule type="expression" dxfId="5011" priority="479" stopIfTrue="1">
      <formula>AO123=CléPersonnelle</formula>
    </cfRule>
    <cfRule type="expression" dxfId="5010" priority="480" stopIfTrue="1">
      <formula>AO123=CléCongés</formula>
    </cfRule>
  </conditionalFormatting>
  <conditionalFormatting sqref="AI121:AI122">
    <cfRule type="expression" priority="469" stopIfTrue="1">
      <formula>AI121=""</formula>
    </cfRule>
    <cfRule type="expression" dxfId="5009" priority="470" stopIfTrue="1">
      <formula>AI121=CléPersonnalisée2</formula>
    </cfRule>
    <cfRule type="expression" dxfId="5008" priority="471" stopIfTrue="1">
      <formula>AI121=CléPersonnalisée1</formula>
    </cfRule>
    <cfRule type="expression" dxfId="5007" priority="472" stopIfTrue="1">
      <formula>AI121=CléMaladie</formula>
    </cfRule>
    <cfRule type="expression" dxfId="5006" priority="473" stopIfTrue="1">
      <formula>AI121=CléPersonnelle</formula>
    </cfRule>
    <cfRule type="expression" dxfId="5005" priority="474" stopIfTrue="1">
      <formula>AI121=CléCongés</formula>
    </cfRule>
  </conditionalFormatting>
  <conditionalFormatting sqref="AN123">
    <cfRule type="expression" priority="463" stopIfTrue="1">
      <formula>AN123=""</formula>
    </cfRule>
    <cfRule type="expression" dxfId="5004" priority="464" stopIfTrue="1">
      <formula>AN123=CléPersonnalisée2</formula>
    </cfRule>
    <cfRule type="expression" dxfId="5003" priority="465" stopIfTrue="1">
      <formula>AN123=CléPersonnalisée1</formula>
    </cfRule>
    <cfRule type="expression" dxfId="5002" priority="466" stopIfTrue="1">
      <formula>AN123=CléMaladie</formula>
    </cfRule>
    <cfRule type="expression" dxfId="5001" priority="467" stopIfTrue="1">
      <formula>AN123=CléPersonnelle</formula>
    </cfRule>
    <cfRule type="expression" dxfId="5000" priority="468" stopIfTrue="1">
      <formula>AN123=CléCongés</formula>
    </cfRule>
  </conditionalFormatting>
  <conditionalFormatting sqref="AR123">
    <cfRule type="expression" priority="457" stopIfTrue="1">
      <formula>AR123=""</formula>
    </cfRule>
    <cfRule type="expression" dxfId="4999" priority="458" stopIfTrue="1">
      <formula>AR123=CléPersonnalisée2</formula>
    </cfRule>
    <cfRule type="expression" dxfId="4998" priority="459" stopIfTrue="1">
      <formula>AR123=CléPersonnalisée1</formula>
    </cfRule>
    <cfRule type="expression" dxfId="4997" priority="460" stopIfTrue="1">
      <formula>AR123=CléMaladie</formula>
    </cfRule>
    <cfRule type="expression" dxfId="4996" priority="461" stopIfTrue="1">
      <formula>AR123=CléPersonnelle</formula>
    </cfRule>
    <cfRule type="expression" dxfId="4995" priority="462" stopIfTrue="1">
      <formula>AR123=CléCongés</formula>
    </cfRule>
  </conditionalFormatting>
  <conditionalFormatting sqref="AQ115">
    <cfRule type="expression" priority="389" stopIfTrue="1">
      <formula>AQ115=""</formula>
    </cfRule>
    <cfRule type="expression" dxfId="4994" priority="390" stopIfTrue="1">
      <formula>AQ115=CléPersonnalisée2</formula>
    </cfRule>
    <cfRule type="expression" dxfId="4993" priority="391" stopIfTrue="1">
      <formula>AQ115=CléPersonnalisée1</formula>
    </cfRule>
    <cfRule type="expression" dxfId="4992" priority="392" stopIfTrue="1">
      <formula>AQ115=CléMaladie</formula>
    </cfRule>
    <cfRule type="expression" dxfId="4991" priority="393" stopIfTrue="1">
      <formula>AQ115=CléPersonnelle</formula>
    </cfRule>
    <cfRule type="expression" dxfId="4990" priority="394" stopIfTrue="1">
      <formula>AQ115=CléCongés</formula>
    </cfRule>
  </conditionalFormatting>
  <conditionalFormatting sqref="C113:AG115">
    <cfRule type="expression" priority="444" stopIfTrue="1">
      <formula>C113=""</formula>
    </cfRule>
    <cfRule type="expression" dxfId="4989" priority="445" stopIfTrue="1">
      <formula>C113=CléPersonnalisée2</formula>
    </cfRule>
    <cfRule type="expression" dxfId="4988" priority="446" stopIfTrue="1">
      <formula>C113=CléPersonnalisée1</formula>
    </cfRule>
    <cfRule type="expression" dxfId="4987" priority="447" stopIfTrue="1">
      <formula>C113=CléMaladie</formula>
    </cfRule>
    <cfRule type="expression" dxfId="4986" priority="448" stopIfTrue="1">
      <formula>C113=CléPersonnelle</formula>
    </cfRule>
    <cfRule type="expression" dxfId="4985" priority="449" stopIfTrue="1">
      <formula>C113=CléCongés</formula>
    </cfRule>
  </conditionalFormatting>
  <conditionalFormatting sqref="AH115">
    <cfRule type="dataBar" priority="450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{76D61631-96EA-4DA5-963F-CA72904E51CA}</x14:id>
        </ext>
      </extLst>
    </cfRule>
  </conditionalFormatting>
  <conditionalFormatting sqref="AI115:AL115 AJ113:AL114">
    <cfRule type="expression" priority="438" stopIfTrue="1">
      <formula>AI113=""</formula>
    </cfRule>
    <cfRule type="expression" dxfId="4984" priority="439" stopIfTrue="1">
      <formula>AI113=CléPersonnalisée2</formula>
    </cfRule>
    <cfRule type="expression" dxfId="4983" priority="440" stopIfTrue="1">
      <formula>AI113=CléPersonnalisée1</formula>
    </cfRule>
    <cfRule type="expression" dxfId="4982" priority="441" stopIfTrue="1">
      <formula>AI113=CléMaladie</formula>
    </cfRule>
    <cfRule type="expression" dxfId="4981" priority="442" stopIfTrue="1">
      <formula>AI113=CléPersonnelle</formula>
    </cfRule>
    <cfRule type="expression" dxfId="4980" priority="443" stopIfTrue="1">
      <formula>AI113=CléCongés</formula>
    </cfRule>
  </conditionalFormatting>
  <conditionalFormatting sqref="AM113:AP114">
    <cfRule type="expression" priority="432" stopIfTrue="1">
      <formula>AM113=""</formula>
    </cfRule>
    <cfRule type="expression" dxfId="4979" priority="433" stopIfTrue="1">
      <formula>AM113=CléPersonnalisée2</formula>
    </cfRule>
    <cfRule type="expression" dxfId="4978" priority="434" stopIfTrue="1">
      <formula>AM113=CléPersonnalisée1</formula>
    </cfRule>
    <cfRule type="expression" dxfId="4977" priority="435" stopIfTrue="1">
      <formula>AM113=CléMaladie</formula>
    </cfRule>
    <cfRule type="expression" dxfId="4976" priority="436" stopIfTrue="1">
      <formula>AM113=CléPersonnelle</formula>
    </cfRule>
    <cfRule type="expression" dxfId="4975" priority="437" stopIfTrue="1">
      <formula>AM113=CléCongés</formula>
    </cfRule>
  </conditionalFormatting>
  <conditionalFormatting sqref="AQ113:AR114">
    <cfRule type="expression" priority="426" stopIfTrue="1">
      <formula>AQ113=""</formula>
    </cfRule>
    <cfRule type="expression" dxfId="4974" priority="427" stopIfTrue="1">
      <formula>AQ113=CléPersonnalisée2</formula>
    </cfRule>
    <cfRule type="expression" dxfId="4973" priority="428" stopIfTrue="1">
      <formula>AQ113=CléPersonnalisée1</formula>
    </cfRule>
    <cfRule type="expression" dxfId="4972" priority="429" stopIfTrue="1">
      <formula>AQ113=CléMaladie</formula>
    </cfRule>
    <cfRule type="expression" dxfId="4971" priority="430" stopIfTrue="1">
      <formula>AQ113=CléPersonnelle</formula>
    </cfRule>
    <cfRule type="expression" dxfId="4970" priority="431" stopIfTrue="1">
      <formula>AQ113=CléCongés</formula>
    </cfRule>
  </conditionalFormatting>
  <conditionalFormatting sqref="AM115 AP115">
    <cfRule type="expression" priority="420" stopIfTrue="1">
      <formula>AM115=""</formula>
    </cfRule>
    <cfRule type="expression" dxfId="4969" priority="421" stopIfTrue="1">
      <formula>AM115=CléPersonnalisée2</formula>
    </cfRule>
    <cfRule type="expression" dxfId="4968" priority="422" stopIfTrue="1">
      <formula>AM115=CléPersonnalisée1</formula>
    </cfRule>
    <cfRule type="expression" dxfId="4967" priority="423" stopIfTrue="1">
      <formula>AM115=CléMaladie</formula>
    </cfRule>
    <cfRule type="expression" dxfId="4966" priority="424" stopIfTrue="1">
      <formula>AM115=CléPersonnelle</formula>
    </cfRule>
    <cfRule type="expression" dxfId="4965" priority="425" stopIfTrue="1">
      <formula>AM115=CléCongés</formula>
    </cfRule>
  </conditionalFormatting>
  <conditionalFormatting sqref="AH113:AH114">
    <cfRule type="dataBar" priority="419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{2F92B7C1-0949-4D61-BFB4-1390F2042FCF}</x14:id>
        </ext>
      </extLst>
    </cfRule>
  </conditionalFormatting>
  <conditionalFormatting sqref="AO115">
    <cfRule type="expression" priority="413" stopIfTrue="1">
      <formula>AO115=""</formula>
    </cfRule>
    <cfRule type="expression" dxfId="4964" priority="414" stopIfTrue="1">
      <formula>AO115=CléPersonnalisée2</formula>
    </cfRule>
    <cfRule type="expression" dxfId="4963" priority="415" stopIfTrue="1">
      <formula>AO115=CléPersonnalisée1</formula>
    </cfRule>
    <cfRule type="expression" dxfId="4962" priority="416" stopIfTrue="1">
      <formula>AO115=CléMaladie</formula>
    </cfRule>
    <cfRule type="expression" dxfId="4961" priority="417" stopIfTrue="1">
      <formula>AO115=CléPersonnelle</formula>
    </cfRule>
    <cfRule type="expression" dxfId="4960" priority="418" stopIfTrue="1">
      <formula>AO115=CléCongés</formula>
    </cfRule>
  </conditionalFormatting>
  <conditionalFormatting sqref="AI113:AI114">
    <cfRule type="expression" priority="407" stopIfTrue="1">
      <formula>AI113=""</formula>
    </cfRule>
    <cfRule type="expression" dxfId="4959" priority="408" stopIfTrue="1">
      <formula>AI113=CléPersonnalisée2</formula>
    </cfRule>
    <cfRule type="expression" dxfId="4958" priority="409" stopIfTrue="1">
      <formula>AI113=CléPersonnalisée1</formula>
    </cfRule>
    <cfRule type="expression" dxfId="4957" priority="410" stopIfTrue="1">
      <formula>AI113=CléMaladie</formula>
    </cfRule>
    <cfRule type="expression" dxfId="4956" priority="411" stopIfTrue="1">
      <formula>AI113=CléPersonnelle</formula>
    </cfRule>
    <cfRule type="expression" dxfId="4955" priority="412" stopIfTrue="1">
      <formula>AI113=CléCongés</formula>
    </cfRule>
  </conditionalFormatting>
  <conditionalFormatting sqref="AN115">
    <cfRule type="expression" priority="401" stopIfTrue="1">
      <formula>AN115=""</formula>
    </cfRule>
    <cfRule type="expression" dxfId="4954" priority="402" stopIfTrue="1">
      <formula>AN115=CléPersonnalisée2</formula>
    </cfRule>
    <cfRule type="expression" dxfId="4953" priority="403" stopIfTrue="1">
      <formula>AN115=CléPersonnalisée1</formula>
    </cfRule>
    <cfRule type="expression" dxfId="4952" priority="404" stopIfTrue="1">
      <formula>AN115=CléMaladie</formula>
    </cfRule>
    <cfRule type="expression" dxfId="4951" priority="405" stopIfTrue="1">
      <formula>AN115=CléPersonnelle</formula>
    </cfRule>
    <cfRule type="expression" dxfId="4950" priority="406" stopIfTrue="1">
      <formula>AN115=CléCongés</formula>
    </cfRule>
  </conditionalFormatting>
  <conditionalFormatting sqref="AR115">
    <cfRule type="expression" priority="395" stopIfTrue="1">
      <formula>AR115=""</formula>
    </cfRule>
    <cfRule type="expression" dxfId="4949" priority="396" stopIfTrue="1">
      <formula>AR115=CléPersonnalisée2</formula>
    </cfRule>
    <cfRule type="expression" dxfId="4948" priority="397" stopIfTrue="1">
      <formula>AR115=CléPersonnalisée1</formula>
    </cfRule>
    <cfRule type="expression" dxfId="4947" priority="398" stopIfTrue="1">
      <formula>AR115=CléMaladie</formula>
    </cfRule>
    <cfRule type="expression" dxfId="4946" priority="399" stopIfTrue="1">
      <formula>AR115=CléPersonnelle</formula>
    </cfRule>
    <cfRule type="expression" dxfId="4945" priority="400" stopIfTrue="1">
      <formula>AR115=CléCongés</formula>
    </cfRule>
  </conditionalFormatting>
  <conditionalFormatting sqref="AQ15">
    <cfRule type="expression" priority="327" stopIfTrue="1">
      <formula>AQ15=""</formula>
    </cfRule>
    <cfRule type="expression" dxfId="4944" priority="328" stopIfTrue="1">
      <formula>AQ15=CléPersonnalisée2</formula>
    </cfRule>
    <cfRule type="expression" dxfId="4943" priority="329" stopIfTrue="1">
      <formula>AQ15=CléPersonnalisée1</formula>
    </cfRule>
    <cfRule type="expression" dxfId="4942" priority="330" stopIfTrue="1">
      <formula>AQ15=CléMaladie</formula>
    </cfRule>
    <cfRule type="expression" dxfId="4941" priority="331" stopIfTrue="1">
      <formula>AQ15=CléPersonnelle</formula>
    </cfRule>
    <cfRule type="expression" dxfId="4940" priority="332" stopIfTrue="1">
      <formula>AQ15=CléCongés</formula>
    </cfRule>
  </conditionalFormatting>
  <conditionalFormatting sqref="C13:AG15">
    <cfRule type="expression" priority="382" stopIfTrue="1">
      <formula>C13=""</formula>
    </cfRule>
    <cfRule type="expression" dxfId="4939" priority="383" stopIfTrue="1">
      <formula>C13=CléPersonnalisée2</formula>
    </cfRule>
    <cfRule type="expression" dxfId="4938" priority="384" stopIfTrue="1">
      <formula>C13=CléPersonnalisée1</formula>
    </cfRule>
    <cfRule type="expression" dxfId="4937" priority="385" stopIfTrue="1">
      <formula>C13=CléMaladie</formula>
    </cfRule>
    <cfRule type="expression" dxfId="4936" priority="386" stopIfTrue="1">
      <formula>C13=CléPersonnelle</formula>
    </cfRule>
    <cfRule type="expression" dxfId="4935" priority="387" stopIfTrue="1">
      <formula>C13=CléCongés</formula>
    </cfRule>
  </conditionalFormatting>
  <conditionalFormatting sqref="AH15">
    <cfRule type="dataBar" priority="388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{F10C5BD6-1E80-4216-99C3-1C8297137EA6}</x14:id>
        </ext>
      </extLst>
    </cfRule>
  </conditionalFormatting>
  <conditionalFormatting sqref="AI15:AL15 AJ13:AL14">
    <cfRule type="expression" priority="376" stopIfTrue="1">
      <formula>AI13=""</formula>
    </cfRule>
    <cfRule type="expression" dxfId="4934" priority="377" stopIfTrue="1">
      <formula>AI13=CléPersonnalisée2</formula>
    </cfRule>
    <cfRule type="expression" dxfId="4933" priority="378" stopIfTrue="1">
      <formula>AI13=CléPersonnalisée1</formula>
    </cfRule>
    <cfRule type="expression" dxfId="4932" priority="379" stopIfTrue="1">
      <formula>AI13=CléMaladie</formula>
    </cfRule>
    <cfRule type="expression" dxfId="4931" priority="380" stopIfTrue="1">
      <formula>AI13=CléPersonnelle</formula>
    </cfRule>
    <cfRule type="expression" dxfId="4930" priority="381" stopIfTrue="1">
      <formula>AI13=CléCongés</formula>
    </cfRule>
  </conditionalFormatting>
  <conditionalFormatting sqref="AM13:AP14">
    <cfRule type="expression" priority="370" stopIfTrue="1">
      <formula>AM13=""</formula>
    </cfRule>
    <cfRule type="expression" dxfId="4929" priority="371" stopIfTrue="1">
      <formula>AM13=CléPersonnalisée2</formula>
    </cfRule>
    <cfRule type="expression" dxfId="4928" priority="372" stopIfTrue="1">
      <formula>AM13=CléPersonnalisée1</formula>
    </cfRule>
    <cfRule type="expression" dxfId="4927" priority="373" stopIfTrue="1">
      <formula>AM13=CléMaladie</formula>
    </cfRule>
    <cfRule type="expression" dxfId="4926" priority="374" stopIfTrue="1">
      <formula>AM13=CléPersonnelle</formula>
    </cfRule>
    <cfRule type="expression" dxfId="4925" priority="375" stopIfTrue="1">
      <formula>AM13=CléCongés</formula>
    </cfRule>
  </conditionalFormatting>
  <conditionalFormatting sqref="AQ13:AR14">
    <cfRule type="expression" priority="364" stopIfTrue="1">
      <formula>AQ13=""</formula>
    </cfRule>
    <cfRule type="expression" dxfId="4924" priority="365" stopIfTrue="1">
      <formula>AQ13=CléPersonnalisée2</formula>
    </cfRule>
    <cfRule type="expression" dxfId="4923" priority="366" stopIfTrue="1">
      <formula>AQ13=CléPersonnalisée1</formula>
    </cfRule>
    <cfRule type="expression" dxfId="4922" priority="367" stopIfTrue="1">
      <formula>AQ13=CléMaladie</formula>
    </cfRule>
    <cfRule type="expression" dxfId="4921" priority="368" stopIfTrue="1">
      <formula>AQ13=CléPersonnelle</formula>
    </cfRule>
    <cfRule type="expression" dxfId="4920" priority="369" stopIfTrue="1">
      <formula>AQ13=CléCongés</formula>
    </cfRule>
  </conditionalFormatting>
  <conditionalFormatting sqref="AM15 AP15">
    <cfRule type="expression" priority="358" stopIfTrue="1">
      <formula>AM15=""</formula>
    </cfRule>
    <cfRule type="expression" dxfId="4919" priority="359" stopIfTrue="1">
      <formula>AM15=CléPersonnalisée2</formula>
    </cfRule>
    <cfRule type="expression" dxfId="4918" priority="360" stopIfTrue="1">
      <formula>AM15=CléPersonnalisée1</formula>
    </cfRule>
    <cfRule type="expression" dxfId="4917" priority="361" stopIfTrue="1">
      <formula>AM15=CléMaladie</formula>
    </cfRule>
    <cfRule type="expression" dxfId="4916" priority="362" stopIfTrue="1">
      <formula>AM15=CléPersonnelle</formula>
    </cfRule>
    <cfRule type="expression" dxfId="4915" priority="363" stopIfTrue="1">
      <formula>AM15=CléCongés</formula>
    </cfRule>
  </conditionalFormatting>
  <conditionalFormatting sqref="AH13:AH14">
    <cfRule type="dataBar" priority="357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{DE943741-2ECB-4A32-8DBC-7BBE464D642C}</x14:id>
        </ext>
      </extLst>
    </cfRule>
  </conditionalFormatting>
  <conditionalFormatting sqref="AO15">
    <cfRule type="expression" priority="351" stopIfTrue="1">
      <formula>AO15=""</formula>
    </cfRule>
    <cfRule type="expression" dxfId="4914" priority="352" stopIfTrue="1">
      <formula>AO15=CléPersonnalisée2</formula>
    </cfRule>
    <cfRule type="expression" dxfId="4913" priority="353" stopIfTrue="1">
      <formula>AO15=CléPersonnalisée1</formula>
    </cfRule>
    <cfRule type="expression" dxfId="4912" priority="354" stopIfTrue="1">
      <formula>AO15=CléMaladie</formula>
    </cfRule>
    <cfRule type="expression" dxfId="4911" priority="355" stopIfTrue="1">
      <formula>AO15=CléPersonnelle</formula>
    </cfRule>
    <cfRule type="expression" dxfId="4910" priority="356" stopIfTrue="1">
      <formula>AO15=CléCongés</formula>
    </cfRule>
  </conditionalFormatting>
  <conditionalFormatting sqref="AI13:AI14">
    <cfRule type="expression" priority="345" stopIfTrue="1">
      <formula>AI13=""</formula>
    </cfRule>
    <cfRule type="expression" dxfId="4909" priority="346" stopIfTrue="1">
      <formula>AI13=CléPersonnalisée2</formula>
    </cfRule>
    <cfRule type="expression" dxfId="4908" priority="347" stopIfTrue="1">
      <formula>AI13=CléPersonnalisée1</formula>
    </cfRule>
    <cfRule type="expression" dxfId="4907" priority="348" stopIfTrue="1">
      <formula>AI13=CléMaladie</formula>
    </cfRule>
    <cfRule type="expression" dxfId="4906" priority="349" stopIfTrue="1">
      <formula>AI13=CléPersonnelle</formula>
    </cfRule>
    <cfRule type="expression" dxfId="4905" priority="350" stopIfTrue="1">
      <formula>AI13=CléCongés</formula>
    </cfRule>
  </conditionalFormatting>
  <conditionalFormatting sqref="AN15">
    <cfRule type="expression" priority="339" stopIfTrue="1">
      <formula>AN15=""</formula>
    </cfRule>
    <cfRule type="expression" dxfId="4904" priority="340" stopIfTrue="1">
      <formula>AN15=CléPersonnalisée2</formula>
    </cfRule>
    <cfRule type="expression" dxfId="4903" priority="341" stopIfTrue="1">
      <formula>AN15=CléPersonnalisée1</formula>
    </cfRule>
    <cfRule type="expression" dxfId="4902" priority="342" stopIfTrue="1">
      <formula>AN15=CléMaladie</formula>
    </cfRule>
    <cfRule type="expression" dxfId="4901" priority="343" stopIfTrue="1">
      <formula>AN15=CléPersonnelle</formula>
    </cfRule>
    <cfRule type="expression" dxfId="4900" priority="344" stopIfTrue="1">
      <formula>AN15=CléCongés</formula>
    </cfRule>
  </conditionalFormatting>
  <conditionalFormatting sqref="AR15">
    <cfRule type="expression" priority="333" stopIfTrue="1">
      <formula>AR15=""</formula>
    </cfRule>
    <cfRule type="expression" dxfId="4899" priority="334" stopIfTrue="1">
      <formula>AR15=CléPersonnalisée2</formula>
    </cfRule>
    <cfRule type="expression" dxfId="4898" priority="335" stopIfTrue="1">
      <formula>AR15=CléPersonnalisée1</formula>
    </cfRule>
    <cfRule type="expression" dxfId="4897" priority="336" stopIfTrue="1">
      <formula>AR15=CléMaladie</formula>
    </cfRule>
    <cfRule type="expression" dxfId="4896" priority="337" stopIfTrue="1">
      <formula>AR15=CléPersonnelle</formula>
    </cfRule>
    <cfRule type="expression" dxfId="4895" priority="338" stopIfTrue="1">
      <formula>AR15=CléCongés</formula>
    </cfRule>
  </conditionalFormatting>
  <conditionalFormatting sqref="AO111">
    <cfRule type="expression" priority="321" stopIfTrue="1">
      <formula>AO111=""</formula>
    </cfRule>
    <cfRule type="expression" dxfId="4894" priority="322" stopIfTrue="1">
      <formula>AO111=CléPersonnalisée2</formula>
    </cfRule>
    <cfRule type="expression" dxfId="4893" priority="323" stopIfTrue="1">
      <formula>AO111=CléPersonnalisée1</formula>
    </cfRule>
    <cfRule type="expression" dxfId="4892" priority="324" stopIfTrue="1">
      <formula>AO111=CléMaladie</formula>
    </cfRule>
    <cfRule type="expression" dxfId="4891" priority="325" stopIfTrue="1">
      <formula>AO111=CléPersonnelle</formula>
    </cfRule>
    <cfRule type="expression" dxfId="4890" priority="326" stopIfTrue="1">
      <formula>AO111=CléCongés</formula>
    </cfRule>
  </conditionalFormatting>
  <conditionalFormatting sqref="AQ100:AR100">
    <cfRule type="expression" priority="315" stopIfTrue="1">
      <formula>AQ100=""</formula>
    </cfRule>
    <cfRule type="expression" dxfId="4889" priority="316" stopIfTrue="1">
      <formula>AQ100=CléPersonnalisée2</formula>
    </cfRule>
    <cfRule type="expression" dxfId="4888" priority="317" stopIfTrue="1">
      <formula>AQ100=CléPersonnalisée1</formula>
    </cfRule>
    <cfRule type="expression" dxfId="4887" priority="318" stopIfTrue="1">
      <formula>AQ100=CléMaladie</formula>
    </cfRule>
    <cfRule type="expression" dxfId="4886" priority="319" stopIfTrue="1">
      <formula>AQ100=CléPersonnelle</formula>
    </cfRule>
    <cfRule type="expression" dxfId="4885" priority="320" stopIfTrue="1">
      <formula>AQ100=CléCongés</formula>
    </cfRule>
  </conditionalFormatting>
  <conditionalFormatting sqref="AQ96:AR96">
    <cfRule type="expression" priority="309" stopIfTrue="1">
      <formula>AQ96=""</formula>
    </cfRule>
    <cfRule type="expression" dxfId="4884" priority="310" stopIfTrue="1">
      <formula>AQ96=CléPersonnalisée2</formula>
    </cfRule>
    <cfRule type="expression" dxfId="4883" priority="311" stopIfTrue="1">
      <formula>AQ96=CléPersonnalisée1</formula>
    </cfRule>
    <cfRule type="expression" dxfId="4882" priority="312" stopIfTrue="1">
      <formula>AQ96=CléMaladie</formula>
    </cfRule>
    <cfRule type="expression" dxfId="4881" priority="313" stopIfTrue="1">
      <formula>AQ96=CléPersonnelle</formula>
    </cfRule>
    <cfRule type="expression" dxfId="4880" priority="314" stopIfTrue="1">
      <formula>AQ96=CléCongés</formula>
    </cfRule>
  </conditionalFormatting>
  <conditionalFormatting sqref="AQ120:AR120">
    <cfRule type="expression" priority="303" stopIfTrue="1">
      <formula>AQ120=""</formula>
    </cfRule>
    <cfRule type="expression" dxfId="4879" priority="304" stopIfTrue="1">
      <formula>AQ120=CléPersonnalisée2</formula>
    </cfRule>
    <cfRule type="expression" dxfId="4878" priority="305" stopIfTrue="1">
      <formula>AQ120=CléPersonnalisée1</formula>
    </cfRule>
    <cfRule type="expression" dxfId="4877" priority="306" stopIfTrue="1">
      <formula>AQ120=CléMaladie</formula>
    </cfRule>
    <cfRule type="expression" dxfId="4876" priority="307" stopIfTrue="1">
      <formula>AQ120=CléPersonnelle</formula>
    </cfRule>
    <cfRule type="expression" dxfId="4875" priority="308" stopIfTrue="1">
      <formula>AQ120=CléCongés</formula>
    </cfRule>
  </conditionalFormatting>
  <conditionalFormatting sqref="AQ119">
    <cfRule type="expression" priority="241" stopIfTrue="1">
      <formula>AQ119=""</formula>
    </cfRule>
    <cfRule type="expression" dxfId="4874" priority="242" stopIfTrue="1">
      <formula>AQ119=CléPersonnalisée2</formula>
    </cfRule>
    <cfRule type="expression" dxfId="4873" priority="243" stopIfTrue="1">
      <formula>AQ119=CléPersonnalisée1</formula>
    </cfRule>
    <cfRule type="expression" dxfId="4872" priority="244" stopIfTrue="1">
      <formula>AQ119=CléMaladie</formula>
    </cfRule>
    <cfRule type="expression" dxfId="4871" priority="245" stopIfTrue="1">
      <formula>AQ119=CléPersonnelle</formula>
    </cfRule>
    <cfRule type="expression" dxfId="4870" priority="246" stopIfTrue="1">
      <formula>AQ119=CléCongés</formula>
    </cfRule>
  </conditionalFormatting>
  <conditionalFormatting sqref="C117:AG119">
    <cfRule type="expression" priority="296" stopIfTrue="1">
      <formula>C117=""</formula>
    </cfRule>
    <cfRule type="expression" dxfId="4869" priority="297" stopIfTrue="1">
      <formula>C117=CléPersonnalisée2</formula>
    </cfRule>
    <cfRule type="expression" dxfId="4868" priority="298" stopIfTrue="1">
      <formula>C117=CléPersonnalisée1</formula>
    </cfRule>
    <cfRule type="expression" dxfId="4867" priority="299" stopIfTrue="1">
      <formula>C117=CléMaladie</formula>
    </cfRule>
    <cfRule type="expression" dxfId="4866" priority="300" stopIfTrue="1">
      <formula>C117=CléPersonnelle</formula>
    </cfRule>
    <cfRule type="expression" dxfId="4865" priority="301" stopIfTrue="1">
      <formula>C117=CléCongés</formula>
    </cfRule>
  </conditionalFormatting>
  <conditionalFormatting sqref="AH119">
    <cfRule type="dataBar" priority="302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{A1454FF2-DDCC-4F5C-B81F-FA70788D6ED0}</x14:id>
        </ext>
      </extLst>
    </cfRule>
  </conditionalFormatting>
  <conditionalFormatting sqref="AI119:AL119 AJ117:AL118">
    <cfRule type="expression" priority="290" stopIfTrue="1">
      <formula>AI117=""</formula>
    </cfRule>
    <cfRule type="expression" dxfId="4864" priority="291" stopIfTrue="1">
      <formula>AI117=CléPersonnalisée2</formula>
    </cfRule>
    <cfRule type="expression" dxfId="4863" priority="292" stopIfTrue="1">
      <formula>AI117=CléPersonnalisée1</formula>
    </cfRule>
    <cfRule type="expression" dxfId="4862" priority="293" stopIfTrue="1">
      <formula>AI117=CléMaladie</formula>
    </cfRule>
    <cfRule type="expression" dxfId="4861" priority="294" stopIfTrue="1">
      <formula>AI117=CléPersonnelle</formula>
    </cfRule>
    <cfRule type="expression" dxfId="4860" priority="295" stopIfTrue="1">
      <formula>AI117=CléCongés</formula>
    </cfRule>
  </conditionalFormatting>
  <conditionalFormatting sqref="AM117:AP118">
    <cfRule type="expression" priority="284" stopIfTrue="1">
      <formula>AM117=""</formula>
    </cfRule>
    <cfRule type="expression" dxfId="4859" priority="285" stopIfTrue="1">
      <formula>AM117=CléPersonnalisée2</formula>
    </cfRule>
    <cfRule type="expression" dxfId="4858" priority="286" stopIfTrue="1">
      <formula>AM117=CléPersonnalisée1</formula>
    </cfRule>
    <cfRule type="expression" dxfId="4857" priority="287" stopIfTrue="1">
      <formula>AM117=CléMaladie</formula>
    </cfRule>
    <cfRule type="expression" dxfId="4856" priority="288" stopIfTrue="1">
      <formula>AM117=CléPersonnelle</formula>
    </cfRule>
    <cfRule type="expression" dxfId="4855" priority="289" stopIfTrue="1">
      <formula>AM117=CléCongés</formula>
    </cfRule>
  </conditionalFormatting>
  <conditionalFormatting sqref="AQ117:AR118">
    <cfRule type="expression" priority="278" stopIfTrue="1">
      <formula>AQ117=""</formula>
    </cfRule>
    <cfRule type="expression" dxfId="4854" priority="279" stopIfTrue="1">
      <formula>AQ117=CléPersonnalisée2</formula>
    </cfRule>
    <cfRule type="expression" dxfId="4853" priority="280" stopIfTrue="1">
      <formula>AQ117=CléPersonnalisée1</formula>
    </cfRule>
    <cfRule type="expression" dxfId="4852" priority="281" stopIfTrue="1">
      <formula>AQ117=CléMaladie</formula>
    </cfRule>
    <cfRule type="expression" dxfId="4851" priority="282" stopIfTrue="1">
      <formula>AQ117=CléPersonnelle</formula>
    </cfRule>
    <cfRule type="expression" dxfId="4850" priority="283" stopIfTrue="1">
      <formula>AQ117=CléCongés</formula>
    </cfRule>
  </conditionalFormatting>
  <conditionalFormatting sqref="AM119 AP119">
    <cfRule type="expression" priority="272" stopIfTrue="1">
      <formula>AM119=""</formula>
    </cfRule>
    <cfRule type="expression" dxfId="4849" priority="273" stopIfTrue="1">
      <formula>AM119=CléPersonnalisée2</formula>
    </cfRule>
    <cfRule type="expression" dxfId="4848" priority="274" stopIfTrue="1">
      <formula>AM119=CléPersonnalisée1</formula>
    </cfRule>
    <cfRule type="expression" dxfId="4847" priority="275" stopIfTrue="1">
      <formula>AM119=CléMaladie</formula>
    </cfRule>
    <cfRule type="expression" dxfId="4846" priority="276" stopIfTrue="1">
      <formula>AM119=CléPersonnelle</formula>
    </cfRule>
    <cfRule type="expression" dxfId="4845" priority="277" stopIfTrue="1">
      <formula>AM119=CléCongés</formula>
    </cfRule>
  </conditionalFormatting>
  <conditionalFormatting sqref="AH117:AH118">
    <cfRule type="dataBar" priority="271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{E0526B3F-25D5-42FC-B6F4-0BE5A6D902CF}</x14:id>
        </ext>
      </extLst>
    </cfRule>
  </conditionalFormatting>
  <conditionalFormatting sqref="AO119">
    <cfRule type="expression" priority="265" stopIfTrue="1">
      <formula>AO119=""</formula>
    </cfRule>
    <cfRule type="expression" dxfId="4844" priority="266" stopIfTrue="1">
      <formula>AO119=CléPersonnalisée2</formula>
    </cfRule>
    <cfRule type="expression" dxfId="4843" priority="267" stopIfTrue="1">
      <formula>AO119=CléPersonnalisée1</formula>
    </cfRule>
    <cfRule type="expression" dxfId="4842" priority="268" stopIfTrue="1">
      <formula>AO119=CléMaladie</formula>
    </cfRule>
    <cfRule type="expression" dxfId="4841" priority="269" stopIfTrue="1">
      <formula>AO119=CléPersonnelle</formula>
    </cfRule>
    <cfRule type="expression" dxfId="4840" priority="270" stopIfTrue="1">
      <formula>AO119=CléCongés</formula>
    </cfRule>
  </conditionalFormatting>
  <conditionalFormatting sqref="AI117:AI118">
    <cfRule type="expression" priority="259" stopIfTrue="1">
      <formula>AI117=""</formula>
    </cfRule>
    <cfRule type="expression" dxfId="4839" priority="260" stopIfTrue="1">
      <formula>AI117=CléPersonnalisée2</formula>
    </cfRule>
    <cfRule type="expression" dxfId="4838" priority="261" stopIfTrue="1">
      <formula>AI117=CléPersonnalisée1</formula>
    </cfRule>
    <cfRule type="expression" dxfId="4837" priority="262" stopIfTrue="1">
      <formula>AI117=CléMaladie</formula>
    </cfRule>
    <cfRule type="expression" dxfId="4836" priority="263" stopIfTrue="1">
      <formula>AI117=CléPersonnelle</formula>
    </cfRule>
    <cfRule type="expression" dxfId="4835" priority="264" stopIfTrue="1">
      <formula>AI117=CléCongés</formula>
    </cfRule>
  </conditionalFormatting>
  <conditionalFormatting sqref="AN119">
    <cfRule type="expression" priority="253" stopIfTrue="1">
      <formula>AN119=""</formula>
    </cfRule>
    <cfRule type="expression" dxfId="4834" priority="254" stopIfTrue="1">
      <formula>AN119=CléPersonnalisée2</formula>
    </cfRule>
    <cfRule type="expression" dxfId="4833" priority="255" stopIfTrue="1">
      <formula>AN119=CléPersonnalisée1</formula>
    </cfRule>
    <cfRule type="expression" dxfId="4832" priority="256" stopIfTrue="1">
      <formula>AN119=CléMaladie</formula>
    </cfRule>
    <cfRule type="expression" dxfId="4831" priority="257" stopIfTrue="1">
      <formula>AN119=CléPersonnelle</formula>
    </cfRule>
    <cfRule type="expression" dxfId="4830" priority="258" stopIfTrue="1">
      <formula>AN119=CléCongés</formula>
    </cfRule>
  </conditionalFormatting>
  <conditionalFormatting sqref="AR119">
    <cfRule type="expression" priority="247" stopIfTrue="1">
      <formula>AR119=""</formula>
    </cfRule>
    <cfRule type="expression" dxfId="4829" priority="248" stopIfTrue="1">
      <formula>AR119=CléPersonnalisée2</formula>
    </cfRule>
    <cfRule type="expression" dxfId="4828" priority="249" stopIfTrue="1">
      <formula>AR119=CléPersonnalisée1</formula>
    </cfRule>
    <cfRule type="expression" dxfId="4827" priority="250" stopIfTrue="1">
      <formula>AR119=CléMaladie</formula>
    </cfRule>
    <cfRule type="expression" dxfId="4826" priority="251" stopIfTrue="1">
      <formula>AR119=CléPersonnelle</formula>
    </cfRule>
    <cfRule type="expression" dxfId="4825" priority="252" stopIfTrue="1">
      <formula>AR119=CléCongés</formula>
    </cfRule>
  </conditionalFormatting>
  <conditionalFormatting sqref="AQ108:AR108">
    <cfRule type="expression" priority="235" stopIfTrue="1">
      <formula>AQ108=""</formula>
    </cfRule>
    <cfRule type="expression" dxfId="4824" priority="236" stopIfTrue="1">
      <formula>AQ108=CléPersonnalisée2</formula>
    </cfRule>
    <cfRule type="expression" dxfId="4823" priority="237" stopIfTrue="1">
      <formula>AQ108=CléPersonnalisée1</formula>
    </cfRule>
    <cfRule type="expression" dxfId="4822" priority="238" stopIfTrue="1">
      <formula>AQ108=CléMaladie</formula>
    </cfRule>
    <cfRule type="expression" dxfId="4821" priority="239" stopIfTrue="1">
      <formula>AQ108=CléPersonnelle</formula>
    </cfRule>
    <cfRule type="expression" dxfId="4820" priority="240" stopIfTrue="1">
      <formula>AQ108=CléCongés</formula>
    </cfRule>
  </conditionalFormatting>
  <conditionalFormatting sqref="AQ107">
    <cfRule type="expression" priority="179" stopIfTrue="1">
      <formula>AQ107=""</formula>
    </cfRule>
    <cfRule type="expression" dxfId="4819" priority="180" stopIfTrue="1">
      <formula>AQ107=CléPersonnalisée2</formula>
    </cfRule>
    <cfRule type="expression" dxfId="4818" priority="181" stopIfTrue="1">
      <formula>AQ107=CléPersonnalisée1</formula>
    </cfRule>
    <cfRule type="expression" dxfId="4817" priority="182" stopIfTrue="1">
      <formula>AQ107=CléMaladie</formula>
    </cfRule>
    <cfRule type="expression" dxfId="4816" priority="183" stopIfTrue="1">
      <formula>AQ107=CléPersonnelle</formula>
    </cfRule>
    <cfRule type="expression" dxfId="4815" priority="184" stopIfTrue="1">
      <formula>AQ107=CléCongés</formula>
    </cfRule>
  </conditionalFormatting>
  <conditionalFormatting sqref="C105:AG107">
    <cfRule type="expression" priority="228" stopIfTrue="1">
      <formula>C105=""</formula>
    </cfRule>
    <cfRule type="expression" dxfId="4814" priority="229" stopIfTrue="1">
      <formula>C105=CléPersonnalisée2</formula>
    </cfRule>
    <cfRule type="expression" dxfId="4813" priority="230" stopIfTrue="1">
      <formula>C105=CléPersonnalisée1</formula>
    </cfRule>
    <cfRule type="expression" dxfId="4812" priority="231" stopIfTrue="1">
      <formula>C105=CléMaladie</formula>
    </cfRule>
    <cfRule type="expression" dxfId="4811" priority="232" stopIfTrue="1">
      <formula>C105=CléPersonnelle</formula>
    </cfRule>
    <cfRule type="expression" dxfId="4810" priority="233" stopIfTrue="1">
      <formula>C105=CléCongés</formula>
    </cfRule>
  </conditionalFormatting>
  <conditionalFormatting sqref="AH107">
    <cfRule type="dataBar" priority="234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{22D5BD1A-52A5-48D0-8E0B-B05E82CB4C13}</x14:id>
        </ext>
      </extLst>
    </cfRule>
  </conditionalFormatting>
  <conditionalFormatting sqref="AI107:AL107 AJ105:AL106">
    <cfRule type="expression" priority="222" stopIfTrue="1">
      <formula>AI105=""</formula>
    </cfRule>
    <cfRule type="expression" dxfId="4809" priority="223" stopIfTrue="1">
      <formula>AI105=CléPersonnalisée2</formula>
    </cfRule>
    <cfRule type="expression" dxfId="4808" priority="224" stopIfTrue="1">
      <formula>AI105=CléPersonnalisée1</formula>
    </cfRule>
    <cfRule type="expression" dxfId="4807" priority="225" stopIfTrue="1">
      <formula>AI105=CléMaladie</formula>
    </cfRule>
    <cfRule type="expression" dxfId="4806" priority="226" stopIfTrue="1">
      <formula>AI105=CléPersonnelle</formula>
    </cfRule>
    <cfRule type="expression" dxfId="4805" priority="227" stopIfTrue="1">
      <formula>AI105=CléCongés</formula>
    </cfRule>
  </conditionalFormatting>
  <conditionalFormatting sqref="AM105:AP106">
    <cfRule type="expression" priority="216" stopIfTrue="1">
      <formula>AM105=""</formula>
    </cfRule>
    <cfRule type="expression" dxfId="4804" priority="217" stopIfTrue="1">
      <formula>AM105=CléPersonnalisée2</formula>
    </cfRule>
    <cfRule type="expression" dxfId="4803" priority="218" stopIfTrue="1">
      <formula>AM105=CléPersonnalisée1</formula>
    </cfRule>
    <cfRule type="expression" dxfId="4802" priority="219" stopIfTrue="1">
      <formula>AM105=CléMaladie</formula>
    </cfRule>
    <cfRule type="expression" dxfId="4801" priority="220" stopIfTrue="1">
      <formula>AM105=CléPersonnelle</formula>
    </cfRule>
    <cfRule type="expression" dxfId="4800" priority="221" stopIfTrue="1">
      <formula>AM105=CléCongés</formula>
    </cfRule>
  </conditionalFormatting>
  <conditionalFormatting sqref="AQ105:AR106">
    <cfRule type="expression" priority="210" stopIfTrue="1">
      <formula>AQ105=""</formula>
    </cfRule>
    <cfRule type="expression" dxfId="4799" priority="211" stopIfTrue="1">
      <formula>AQ105=CléPersonnalisée2</formula>
    </cfRule>
    <cfRule type="expression" dxfId="4798" priority="212" stopIfTrue="1">
      <formula>AQ105=CléPersonnalisée1</formula>
    </cfRule>
    <cfRule type="expression" dxfId="4797" priority="213" stopIfTrue="1">
      <formula>AQ105=CléMaladie</formula>
    </cfRule>
    <cfRule type="expression" dxfId="4796" priority="214" stopIfTrue="1">
      <formula>AQ105=CléPersonnelle</formula>
    </cfRule>
    <cfRule type="expression" dxfId="4795" priority="215" stopIfTrue="1">
      <formula>AQ105=CléCongés</formula>
    </cfRule>
  </conditionalFormatting>
  <conditionalFormatting sqref="AM107 AP107">
    <cfRule type="expression" priority="204" stopIfTrue="1">
      <formula>AM107=""</formula>
    </cfRule>
    <cfRule type="expression" dxfId="4794" priority="205" stopIfTrue="1">
      <formula>AM107=CléPersonnalisée2</formula>
    </cfRule>
    <cfRule type="expression" dxfId="4793" priority="206" stopIfTrue="1">
      <formula>AM107=CléPersonnalisée1</formula>
    </cfRule>
    <cfRule type="expression" dxfId="4792" priority="207" stopIfTrue="1">
      <formula>AM107=CléMaladie</formula>
    </cfRule>
    <cfRule type="expression" dxfId="4791" priority="208" stopIfTrue="1">
      <formula>AM107=CléPersonnelle</formula>
    </cfRule>
    <cfRule type="expression" dxfId="4790" priority="209" stopIfTrue="1">
      <formula>AM107=CléCongés</formula>
    </cfRule>
  </conditionalFormatting>
  <conditionalFormatting sqref="AH105:AH106">
    <cfRule type="dataBar" priority="203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{6F87DFBC-0D4A-4E11-93A7-2BD1B850ADC1}</x14:id>
        </ext>
      </extLst>
    </cfRule>
  </conditionalFormatting>
  <conditionalFormatting sqref="AI105:AI106">
    <cfRule type="expression" priority="197" stopIfTrue="1">
      <formula>AI105=""</formula>
    </cfRule>
    <cfRule type="expression" dxfId="4789" priority="198" stopIfTrue="1">
      <formula>AI105=CléPersonnalisée2</formula>
    </cfRule>
    <cfRule type="expression" dxfId="4788" priority="199" stopIfTrue="1">
      <formula>AI105=CléPersonnalisée1</formula>
    </cfRule>
    <cfRule type="expression" dxfId="4787" priority="200" stopIfTrue="1">
      <formula>AI105=CléMaladie</formula>
    </cfRule>
    <cfRule type="expression" dxfId="4786" priority="201" stopIfTrue="1">
      <formula>AI105=CléPersonnelle</formula>
    </cfRule>
    <cfRule type="expression" dxfId="4785" priority="202" stopIfTrue="1">
      <formula>AI105=CléCongés</formula>
    </cfRule>
  </conditionalFormatting>
  <conditionalFormatting sqref="AN107">
    <cfRule type="expression" priority="191" stopIfTrue="1">
      <formula>AN107=""</formula>
    </cfRule>
    <cfRule type="expression" dxfId="4784" priority="192" stopIfTrue="1">
      <formula>AN107=CléPersonnalisée2</formula>
    </cfRule>
    <cfRule type="expression" dxfId="4783" priority="193" stopIfTrue="1">
      <formula>AN107=CléPersonnalisée1</formula>
    </cfRule>
    <cfRule type="expression" dxfId="4782" priority="194" stopIfTrue="1">
      <formula>AN107=CléMaladie</formula>
    </cfRule>
    <cfRule type="expression" dxfId="4781" priority="195" stopIfTrue="1">
      <formula>AN107=CléPersonnelle</formula>
    </cfRule>
    <cfRule type="expression" dxfId="4780" priority="196" stopIfTrue="1">
      <formula>AN107=CléCongés</formula>
    </cfRule>
  </conditionalFormatting>
  <conditionalFormatting sqref="AR107">
    <cfRule type="expression" priority="185" stopIfTrue="1">
      <formula>AR107=""</formula>
    </cfRule>
    <cfRule type="expression" dxfId="4779" priority="186" stopIfTrue="1">
      <formula>AR107=CléPersonnalisée2</formula>
    </cfRule>
    <cfRule type="expression" dxfId="4778" priority="187" stopIfTrue="1">
      <formula>AR107=CléPersonnalisée1</formula>
    </cfRule>
    <cfRule type="expression" dxfId="4777" priority="188" stopIfTrue="1">
      <formula>AR107=CléMaladie</formula>
    </cfRule>
    <cfRule type="expression" dxfId="4776" priority="189" stopIfTrue="1">
      <formula>AR107=CléPersonnelle</formula>
    </cfRule>
    <cfRule type="expression" dxfId="4775" priority="190" stopIfTrue="1">
      <formula>AR107=CléCongés</formula>
    </cfRule>
  </conditionalFormatting>
  <conditionalFormatting sqref="AO107">
    <cfRule type="expression" priority="173" stopIfTrue="1">
      <formula>AO107=""</formula>
    </cfRule>
    <cfRule type="expression" dxfId="4774" priority="174" stopIfTrue="1">
      <formula>AO107=CléPersonnalisée2</formula>
    </cfRule>
    <cfRule type="expression" dxfId="4773" priority="175" stopIfTrue="1">
      <formula>AO107=CléPersonnalisée1</formula>
    </cfRule>
    <cfRule type="expression" dxfId="4772" priority="176" stopIfTrue="1">
      <formula>AO107=CléMaladie</formula>
    </cfRule>
    <cfRule type="expression" dxfId="4771" priority="177" stopIfTrue="1">
      <formula>AO107=CléPersonnelle</formula>
    </cfRule>
    <cfRule type="expression" dxfId="4770" priority="178" stopIfTrue="1">
      <formula>AO107=CléCongés</formula>
    </cfRule>
  </conditionalFormatting>
  <conditionalFormatting sqref="C57:AG59">
    <cfRule type="expression" priority="166" stopIfTrue="1">
      <formula>C57=""</formula>
    </cfRule>
    <cfRule type="expression" dxfId="4769" priority="167" stopIfTrue="1">
      <formula>C57=CléPersonnalisée2</formula>
    </cfRule>
    <cfRule type="expression" dxfId="4768" priority="168" stopIfTrue="1">
      <formula>C57=CléPersonnalisée1</formula>
    </cfRule>
    <cfRule type="expression" dxfId="4767" priority="169" stopIfTrue="1">
      <formula>C57=CléMaladie</formula>
    </cfRule>
    <cfRule type="expression" dxfId="4766" priority="170" stopIfTrue="1">
      <formula>C57=CléPersonnelle</formula>
    </cfRule>
    <cfRule type="expression" dxfId="4765" priority="171" stopIfTrue="1">
      <formula>C57=CléCongés</formula>
    </cfRule>
  </conditionalFormatting>
  <conditionalFormatting sqref="AH59">
    <cfRule type="dataBar" priority="172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{D8EB9DCA-83E2-4717-9E26-C3C20903371F}</x14:id>
        </ext>
      </extLst>
    </cfRule>
  </conditionalFormatting>
  <conditionalFormatting sqref="AI59:AL59 AJ57:AL58">
    <cfRule type="expression" priority="160" stopIfTrue="1">
      <formula>AI57=""</formula>
    </cfRule>
    <cfRule type="expression" dxfId="4764" priority="161" stopIfTrue="1">
      <formula>AI57=CléPersonnalisée2</formula>
    </cfRule>
    <cfRule type="expression" dxfId="4763" priority="162" stopIfTrue="1">
      <formula>AI57=CléPersonnalisée1</formula>
    </cfRule>
    <cfRule type="expression" dxfId="4762" priority="163" stopIfTrue="1">
      <formula>AI57=CléMaladie</formula>
    </cfRule>
    <cfRule type="expression" dxfId="4761" priority="164" stopIfTrue="1">
      <formula>AI57=CléPersonnelle</formula>
    </cfRule>
    <cfRule type="expression" dxfId="4760" priority="165" stopIfTrue="1">
      <formula>AI57=CléCongés</formula>
    </cfRule>
  </conditionalFormatting>
  <conditionalFormatting sqref="AM57:AP58">
    <cfRule type="expression" priority="154" stopIfTrue="1">
      <formula>AM57=""</formula>
    </cfRule>
    <cfRule type="expression" dxfId="4759" priority="155" stopIfTrue="1">
      <formula>AM57=CléPersonnalisée2</formula>
    </cfRule>
    <cfRule type="expression" dxfId="4758" priority="156" stopIfTrue="1">
      <formula>AM57=CléPersonnalisée1</formula>
    </cfRule>
    <cfRule type="expression" dxfId="4757" priority="157" stopIfTrue="1">
      <formula>AM57=CléMaladie</formula>
    </cfRule>
    <cfRule type="expression" dxfId="4756" priority="158" stopIfTrue="1">
      <formula>AM57=CléPersonnelle</formula>
    </cfRule>
    <cfRule type="expression" dxfId="4755" priority="159" stopIfTrue="1">
      <formula>AM57=CléCongés</formula>
    </cfRule>
  </conditionalFormatting>
  <conditionalFormatting sqref="AQ57:AR58">
    <cfRule type="expression" priority="148" stopIfTrue="1">
      <formula>AQ57=""</formula>
    </cfRule>
    <cfRule type="expression" dxfId="4754" priority="149" stopIfTrue="1">
      <formula>AQ57=CléPersonnalisée2</formula>
    </cfRule>
    <cfRule type="expression" dxfId="4753" priority="150" stopIfTrue="1">
      <formula>AQ57=CléPersonnalisée1</formula>
    </cfRule>
    <cfRule type="expression" dxfId="4752" priority="151" stopIfTrue="1">
      <formula>AQ57=CléMaladie</formula>
    </cfRule>
    <cfRule type="expression" dxfId="4751" priority="152" stopIfTrue="1">
      <formula>AQ57=CléPersonnelle</formula>
    </cfRule>
    <cfRule type="expression" dxfId="4750" priority="153" stopIfTrue="1">
      <formula>AQ57=CléCongés</formula>
    </cfRule>
  </conditionalFormatting>
  <conditionalFormatting sqref="AM59 AP59">
    <cfRule type="expression" priority="142" stopIfTrue="1">
      <formula>AM59=""</formula>
    </cfRule>
    <cfRule type="expression" dxfId="4749" priority="143" stopIfTrue="1">
      <formula>AM59=CléPersonnalisée2</formula>
    </cfRule>
    <cfRule type="expression" dxfId="4748" priority="144" stopIfTrue="1">
      <formula>AM59=CléPersonnalisée1</formula>
    </cfRule>
    <cfRule type="expression" dxfId="4747" priority="145" stopIfTrue="1">
      <formula>AM59=CléMaladie</formula>
    </cfRule>
    <cfRule type="expression" dxfId="4746" priority="146" stopIfTrue="1">
      <formula>AM59=CléPersonnelle</formula>
    </cfRule>
    <cfRule type="expression" dxfId="4745" priority="147" stopIfTrue="1">
      <formula>AM59=CléCongés</formula>
    </cfRule>
  </conditionalFormatting>
  <conditionalFormatting sqref="AH57:AH58">
    <cfRule type="dataBar" priority="141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{AAD567D7-E2F4-45D8-B5DF-170B86023345}</x14:id>
        </ext>
      </extLst>
    </cfRule>
  </conditionalFormatting>
  <conditionalFormatting sqref="AO59">
    <cfRule type="expression" priority="135" stopIfTrue="1">
      <formula>AO59=""</formula>
    </cfRule>
    <cfRule type="expression" dxfId="4744" priority="136" stopIfTrue="1">
      <formula>AO59=CléPersonnalisée2</formula>
    </cfRule>
    <cfRule type="expression" dxfId="4743" priority="137" stopIfTrue="1">
      <formula>AO59=CléPersonnalisée1</formula>
    </cfRule>
    <cfRule type="expression" dxfId="4742" priority="138" stopIfTrue="1">
      <formula>AO59=CléMaladie</formula>
    </cfRule>
    <cfRule type="expression" dxfId="4741" priority="139" stopIfTrue="1">
      <formula>AO59=CléPersonnelle</formula>
    </cfRule>
    <cfRule type="expression" dxfId="4740" priority="140" stopIfTrue="1">
      <formula>AO59=CléCongés</formula>
    </cfRule>
  </conditionalFormatting>
  <conditionalFormatting sqref="AI57:AI58">
    <cfRule type="expression" priority="129" stopIfTrue="1">
      <formula>AI57=""</formula>
    </cfRule>
    <cfRule type="expression" dxfId="4739" priority="130" stopIfTrue="1">
      <formula>AI57=CléPersonnalisée2</formula>
    </cfRule>
    <cfRule type="expression" dxfId="4738" priority="131" stopIfTrue="1">
      <formula>AI57=CléPersonnalisée1</formula>
    </cfRule>
    <cfRule type="expression" dxfId="4737" priority="132" stopIfTrue="1">
      <formula>AI57=CléMaladie</formula>
    </cfRule>
    <cfRule type="expression" dxfId="4736" priority="133" stopIfTrue="1">
      <formula>AI57=CléPersonnelle</formula>
    </cfRule>
    <cfRule type="expression" dxfId="4735" priority="134" stopIfTrue="1">
      <formula>AI57=CléCongés</formula>
    </cfRule>
  </conditionalFormatting>
  <conditionalFormatting sqref="AN59">
    <cfRule type="expression" priority="123" stopIfTrue="1">
      <formula>AN59=""</formula>
    </cfRule>
    <cfRule type="expression" dxfId="4734" priority="124" stopIfTrue="1">
      <formula>AN59=CléPersonnalisée2</formula>
    </cfRule>
    <cfRule type="expression" dxfId="4733" priority="125" stopIfTrue="1">
      <formula>AN59=CléPersonnalisée1</formula>
    </cfRule>
    <cfRule type="expression" dxfId="4732" priority="126" stopIfTrue="1">
      <formula>AN59=CléMaladie</formula>
    </cfRule>
    <cfRule type="expression" dxfId="4731" priority="127" stopIfTrue="1">
      <formula>AN59=CléPersonnelle</formula>
    </cfRule>
    <cfRule type="expression" dxfId="4730" priority="128" stopIfTrue="1">
      <formula>AN59=CléCongés</formula>
    </cfRule>
  </conditionalFormatting>
  <conditionalFormatting sqref="AR59">
    <cfRule type="expression" priority="117" stopIfTrue="1">
      <formula>AR59=""</formula>
    </cfRule>
    <cfRule type="expression" dxfId="4729" priority="118" stopIfTrue="1">
      <formula>AR59=CléPersonnalisée2</formula>
    </cfRule>
    <cfRule type="expression" dxfId="4728" priority="119" stopIfTrue="1">
      <formula>AR59=CléPersonnalisée1</formula>
    </cfRule>
    <cfRule type="expression" dxfId="4727" priority="120" stopIfTrue="1">
      <formula>AR59=CléMaladie</formula>
    </cfRule>
    <cfRule type="expression" dxfId="4726" priority="121" stopIfTrue="1">
      <formula>AR59=CléPersonnelle</formula>
    </cfRule>
    <cfRule type="expression" dxfId="4725" priority="122" stopIfTrue="1">
      <formula>AR59=CléCongés</formula>
    </cfRule>
  </conditionalFormatting>
  <conditionalFormatting sqref="AQ59">
    <cfRule type="expression" priority="111" stopIfTrue="1">
      <formula>AQ59=""</formula>
    </cfRule>
    <cfRule type="expression" dxfId="4724" priority="112" stopIfTrue="1">
      <formula>AQ59=CléPersonnalisée2</formula>
    </cfRule>
    <cfRule type="expression" dxfId="4723" priority="113" stopIfTrue="1">
      <formula>AQ59=CléPersonnalisée1</formula>
    </cfRule>
    <cfRule type="expression" dxfId="4722" priority="114" stopIfTrue="1">
      <formula>AQ59=CléMaladie</formula>
    </cfRule>
    <cfRule type="expression" dxfId="4721" priority="115" stopIfTrue="1">
      <formula>AQ59=CléPersonnelle</formula>
    </cfRule>
    <cfRule type="expression" dxfId="4720" priority="116" stopIfTrue="1">
      <formula>AQ59=CléCongés</formula>
    </cfRule>
  </conditionalFormatting>
  <conditionalFormatting sqref="AQ79">
    <cfRule type="expression" priority="61" stopIfTrue="1">
      <formula>AQ79=""</formula>
    </cfRule>
    <cfRule type="expression" dxfId="4719" priority="62" stopIfTrue="1">
      <formula>AQ79=CléPersonnalisée2</formula>
    </cfRule>
    <cfRule type="expression" dxfId="4718" priority="63" stopIfTrue="1">
      <formula>AQ79=CléPersonnalisée1</formula>
    </cfRule>
    <cfRule type="expression" dxfId="4717" priority="64" stopIfTrue="1">
      <formula>AQ79=CléMaladie</formula>
    </cfRule>
    <cfRule type="expression" dxfId="4716" priority="65" stopIfTrue="1">
      <formula>AQ79=CléPersonnelle</formula>
    </cfRule>
    <cfRule type="expression" dxfId="4715" priority="66" stopIfTrue="1">
      <formula>AQ79=CléCongés</formula>
    </cfRule>
  </conditionalFormatting>
  <conditionalFormatting sqref="C77:AG79">
    <cfRule type="expression" priority="104" stopIfTrue="1">
      <formula>C77=""</formula>
    </cfRule>
    <cfRule type="expression" dxfId="4714" priority="105" stopIfTrue="1">
      <formula>C77=CléPersonnalisée2</formula>
    </cfRule>
    <cfRule type="expression" dxfId="4713" priority="106" stopIfTrue="1">
      <formula>C77=CléPersonnalisée1</formula>
    </cfRule>
    <cfRule type="expression" dxfId="4712" priority="107" stopIfTrue="1">
      <formula>C77=CléMaladie</formula>
    </cfRule>
    <cfRule type="expression" dxfId="4711" priority="108" stopIfTrue="1">
      <formula>C77=CléPersonnelle</formula>
    </cfRule>
    <cfRule type="expression" dxfId="4710" priority="109" stopIfTrue="1">
      <formula>C77=CléCongés</formula>
    </cfRule>
  </conditionalFormatting>
  <conditionalFormatting sqref="AH79">
    <cfRule type="dataBar" priority="110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{72460D6A-659C-4654-8052-C185D4D30348}</x14:id>
        </ext>
      </extLst>
    </cfRule>
  </conditionalFormatting>
  <conditionalFormatting sqref="AI79:AL79 AJ77:AL78">
    <cfRule type="expression" priority="98" stopIfTrue="1">
      <formula>AI77=""</formula>
    </cfRule>
    <cfRule type="expression" dxfId="4709" priority="99" stopIfTrue="1">
      <formula>AI77=CléPersonnalisée2</formula>
    </cfRule>
    <cfRule type="expression" dxfId="4708" priority="100" stopIfTrue="1">
      <formula>AI77=CléPersonnalisée1</formula>
    </cfRule>
    <cfRule type="expression" dxfId="4707" priority="101" stopIfTrue="1">
      <formula>AI77=CléMaladie</formula>
    </cfRule>
    <cfRule type="expression" dxfId="4706" priority="102" stopIfTrue="1">
      <formula>AI77=CléPersonnelle</formula>
    </cfRule>
    <cfRule type="expression" dxfId="4705" priority="103" stopIfTrue="1">
      <formula>AI77=CléCongés</formula>
    </cfRule>
  </conditionalFormatting>
  <conditionalFormatting sqref="AM77:AP78">
    <cfRule type="expression" priority="92" stopIfTrue="1">
      <formula>AM77=""</formula>
    </cfRule>
    <cfRule type="expression" dxfId="4704" priority="93" stopIfTrue="1">
      <formula>AM77=CléPersonnalisée2</formula>
    </cfRule>
    <cfRule type="expression" dxfId="4703" priority="94" stopIfTrue="1">
      <formula>AM77=CléPersonnalisée1</formula>
    </cfRule>
    <cfRule type="expression" dxfId="4702" priority="95" stopIfTrue="1">
      <formula>AM77=CléMaladie</formula>
    </cfRule>
    <cfRule type="expression" dxfId="4701" priority="96" stopIfTrue="1">
      <formula>AM77=CléPersonnelle</formula>
    </cfRule>
    <cfRule type="expression" dxfId="4700" priority="97" stopIfTrue="1">
      <formula>AM77=CléCongés</formula>
    </cfRule>
  </conditionalFormatting>
  <conditionalFormatting sqref="AQ77:AR78">
    <cfRule type="expression" priority="86" stopIfTrue="1">
      <formula>AQ77=""</formula>
    </cfRule>
    <cfRule type="expression" dxfId="4699" priority="87" stopIfTrue="1">
      <formula>AQ77=CléPersonnalisée2</formula>
    </cfRule>
    <cfRule type="expression" dxfId="4698" priority="88" stopIfTrue="1">
      <formula>AQ77=CléPersonnalisée1</formula>
    </cfRule>
    <cfRule type="expression" dxfId="4697" priority="89" stopIfTrue="1">
      <formula>AQ77=CléMaladie</formula>
    </cfRule>
    <cfRule type="expression" dxfId="4696" priority="90" stopIfTrue="1">
      <formula>AQ77=CléPersonnelle</formula>
    </cfRule>
    <cfRule type="expression" dxfId="4695" priority="91" stopIfTrue="1">
      <formula>AQ77=CléCongés</formula>
    </cfRule>
  </conditionalFormatting>
  <conditionalFormatting sqref="AM79 AP79">
    <cfRule type="expression" priority="80" stopIfTrue="1">
      <formula>AM79=""</formula>
    </cfRule>
    <cfRule type="expression" dxfId="4694" priority="81" stopIfTrue="1">
      <formula>AM79=CléPersonnalisée2</formula>
    </cfRule>
    <cfRule type="expression" dxfId="4693" priority="82" stopIfTrue="1">
      <formula>AM79=CléPersonnalisée1</formula>
    </cfRule>
    <cfRule type="expression" dxfId="4692" priority="83" stopIfTrue="1">
      <formula>AM79=CléMaladie</formula>
    </cfRule>
    <cfRule type="expression" dxfId="4691" priority="84" stopIfTrue="1">
      <formula>AM79=CléPersonnelle</formula>
    </cfRule>
    <cfRule type="expression" dxfId="4690" priority="85" stopIfTrue="1">
      <formula>AM79=CléCongés</formula>
    </cfRule>
  </conditionalFormatting>
  <conditionalFormatting sqref="AH77:AH78">
    <cfRule type="dataBar" priority="79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{045AA8B9-6EB3-4B95-83AD-C53A45D2D9EA}</x14:id>
        </ext>
      </extLst>
    </cfRule>
  </conditionalFormatting>
  <conditionalFormatting sqref="AI77:AI78">
    <cfRule type="expression" priority="73" stopIfTrue="1">
      <formula>AI77=""</formula>
    </cfRule>
    <cfRule type="expression" dxfId="4689" priority="74" stopIfTrue="1">
      <formula>AI77=CléPersonnalisée2</formula>
    </cfRule>
    <cfRule type="expression" dxfId="4688" priority="75" stopIfTrue="1">
      <formula>AI77=CléPersonnalisée1</formula>
    </cfRule>
    <cfRule type="expression" dxfId="4687" priority="76" stopIfTrue="1">
      <formula>AI77=CléMaladie</formula>
    </cfRule>
    <cfRule type="expression" dxfId="4686" priority="77" stopIfTrue="1">
      <formula>AI77=CléPersonnelle</formula>
    </cfRule>
    <cfRule type="expression" dxfId="4685" priority="78" stopIfTrue="1">
      <formula>AI77=CléCongés</formula>
    </cfRule>
  </conditionalFormatting>
  <conditionalFormatting sqref="AR79">
    <cfRule type="expression" priority="67" stopIfTrue="1">
      <formula>AR79=""</formula>
    </cfRule>
    <cfRule type="expression" dxfId="4684" priority="68" stopIfTrue="1">
      <formula>AR79=CléPersonnalisée2</formula>
    </cfRule>
    <cfRule type="expression" dxfId="4683" priority="69" stopIfTrue="1">
      <formula>AR79=CléPersonnalisée1</formula>
    </cfRule>
    <cfRule type="expression" dxfId="4682" priority="70" stopIfTrue="1">
      <formula>AR79=CléMaladie</formula>
    </cfRule>
    <cfRule type="expression" dxfId="4681" priority="71" stopIfTrue="1">
      <formula>AR79=CléPersonnelle</formula>
    </cfRule>
    <cfRule type="expression" dxfId="4680" priority="72" stopIfTrue="1">
      <formula>AR79=CléCongés</formula>
    </cfRule>
  </conditionalFormatting>
  <conditionalFormatting sqref="AO79">
    <cfRule type="expression" priority="55" stopIfTrue="1">
      <formula>AO79=""</formula>
    </cfRule>
    <cfRule type="expression" dxfId="4679" priority="56" stopIfTrue="1">
      <formula>AO79=CléPersonnalisée2</formula>
    </cfRule>
    <cfRule type="expression" dxfId="4678" priority="57" stopIfTrue="1">
      <formula>AO79=CléPersonnalisée1</formula>
    </cfRule>
    <cfRule type="expression" dxfId="4677" priority="58" stopIfTrue="1">
      <formula>AO79=CléMaladie</formula>
    </cfRule>
    <cfRule type="expression" dxfId="4676" priority="59" stopIfTrue="1">
      <formula>AO79=CléPersonnelle</formula>
    </cfRule>
    <cfRule type="expression" dxfId="4675" priority="60" stopIfTrue="1">
      <formula>AO79=CléCongés</formula>
    </cfRule>
  </conditionalFormatting>
  <conditionalFormatting sqref="AN79">
    <cfRule type="expression" priority="49" stopIfTrue="1">
      <formula>AN79=""</formula>
    </cfRule>
    <cfRule type="expression" dxfId="4674" priority="50" stopIfTrue="1">
      <formula>AN79=CléPersonnalisée2</formula>
    </cfRule>
    <cfRule type="expression" dxfId="4673" priority="51" stopIfTrue="1">
      <formula>AN79=CléPersonnalisée1</formula>
    </cfRule>
    <cfRule type="expression" dxfId="4672" priority="52" stopIfTrue="1">
      <formula>AN79=CléMaladie</formula>
    </cfRule>
    <cfRule type="expression" dxfId="4671" priority="53" stopIfTrue="1">
      <formula>AN79=CléPersonnelle</formula>
    </cfRule>
    <cfRule type="expression" dxfId="4670" priority="54" stopIfTrue="1">
      <formula>AN79=CléCongés</formula>
    </cfRule>
  </conditionalFormatting>
  <conditionalFormatting sqref="AM95">
    <cfRule type="expression" priority="43" stopIfTrue="1">
      <formula>AM95=""</formula>
    </cfRule>
    <cfRule type="expression" dxfId="4669" priority="44" stopIfTrue="1">
      <formula>AM95=CléPersonnalisée2</formula>
    </cfRule>
    <cfRule type="expression" dxfId="4668" priority="45" stopIfTrue="1">
      <formula>AM95=CléPersonnalisée1</formula>
    </cfRule>
    <cfRule type="expression" dxfId="4667" priority="46" stopIfTrue="1">
      <formula>AM95=CléMaladie</formula>
    </cfRule>
    <cfRule type="expression" dxfId="4666" priority="47" stopIfTrue="1">
      <formula>AM95=CléPersonnelle</formula>
    </cfRule>
    <cfRule type="expression" dxfId="4665" priority="48" stopIfTrue="1">
      <formula>AM95=CléCongés</formula>
    </cfRule>
  </conditionalFormatting>
  <conditionalFormatting sqref="AM97:AP98">
    <cfRule type="expression" priority="37" stopIfTrue="1">
      <formula>AM97=""</formula>
    </cfRule>
    <cfRule type="expression" dxfId="4664" priority="38" stopIfTrue="1">
      <formula>AM97=CléPersonnalisée2</formula>
    </cfRule>
    <cfRule type="expression" dxfId="4663" priority="39" stopIfTrue="1">
      <formula>AM97=CléPersonnalisée1</formula>
    </cfRule>
    <cfRule type="expression" dxfId="4662" priority="40" stopIfTrue="1">
      <formula>AM97=CléMaladie</formula>
    </cfRule>
    <cfRule type="expression" dxfId="4661" priority="41" stopIfTrue="1">
      <formula>AM97=CléPersonnelle</formula>
    </cfRule>
    <cfRule type="expression" dxfId="4660" priority="42" stopIfTrue="1">
      <formula>AM97=CléCongés</formula>
    </cfRule>
  </conditionalFormatting>
  <conditionalFormatting sqref="AQ97:AR98">
    <cfRule type="expression" priority="31" stopIfTrue="1">
      <formula>AQ97=""</formula>
    </cfRule>
    <cfRule type="expression" dxfId="4659" priority="32" stopIfTrue="1">
      <formula>AQ97=CléPersonnalisée2</formula>
    </cfRule>
    <cfRule type="expression" dxfId="4658" priority="33" stopIfTrue="1">
      <formula>AQ97=CléPersonnalisée1</formula>
    </cfRule>
    <cfRule type="expression" dxfId="4657" priority="34" stopIfTrue="1">
      <formula>AQ97=CléMaladie</formula>
    </cfRule>
    <cfRule type="expression" dxfId="4656" priority="35" stopIfTrue="1">
      <formula>AQ97=CléPersonnelle</formula>
    </cfRule>
    <cfRule type="expression" dxfId="4655" priority="36" stopIfTrue="1">
      <formula>AQ97=CléCongés</formula>
    </cfRule>
  </conditionalFormatting>
  <conditionalFormatting sqref="AM101:AP102">
    <cfRule type="expression" priority="25" stopIfTrue="1">
      <formula>AM101=""</formula>
    </cfRule>
    <cfRule type="expression" dxfId="4654" priority="26" stopIfTrue="1">
      <formula>AM101=CléPersonnalisée2</formula>
    </cfRule>
    <cfRule type="expression" dxfId="4653" priority="27" stopIfTrue="1">
      <formula>AM101=CléPersonnalisée1</formula>
    </cfRule>
    <cfRule type="expression" dxfId="4652" priority="28" stopIfTrue="1">
      <formula>AM101=CléMaladie</formula>
    </cfRule>
    <cfRule type="expression" dxfId="4651" priority="29" stopIfTrue="1">
      <formula>AM101=CléPersonnelle</formula>
    </cfRule>
    <cfRule type="expression" dxfId="4650" priority="30" stopIfTrue="1">
      <formula>AM101=CléCongés</formula>
    </cfRule>
  </conditionalFormatting>
  <conditionalFormatting sqref="AQ101:AR102">
    <cfRule type="expression" priority="19" stopIfTrue="1">
      <formula>AQ101=""</formula>
    </cfRule>
    <cfRule type="expression" dxfId="4649" priority="20" stopIfTrue="1">
      <formula>AQ101=CléPersonnalisée2</formula>
    </cfRule>
    <cfRule type="expression" dxfId="4648" priority="21" stopIfTrue="1">
      <formula>AQ101=CléPersonnalisée1</formula>
    </cfRule>
    <cfRule type="expression" dxfId="4647" priority="22" stopIfTrue="1">
      <formula>AQ101=CléMaladie</formula>
    </cfRule>
    <cfRule type="expression" dxfId="4646" priority="23" stopIfTrue="1">
      <formula>AQ101=CléPersonnelle</formula>
    </cfRule>
    <cfRule type="expression" dxfId="4645" priority="24" stopIfTrue="1">
      <formula>AQ101=CléCongés</formula>
    </cfRule>
  </conditionalFormatting>
  <conditionalFormatting sqref="AS13 AS17 AS21 AS25 AS29 AS33 AS37 AS41 AS45 AS49 AS53 AS57 AS61 AS65 AS69 AS73 AS77 AS81 AS85 AS89 AS93 AS97 AS101 AS105 AS109 AS113 AS117 AS121">
    <cfRule type="expression" priority="13" stopIfTrue="1">
      <formula>AS13=""</formula>
    </cfRule>
    <cfRule type="expression" dxfId="99" priority="14" stopIfTrue="1">
      <formula>AS13=CléPersonnalisée2</formula>
    </cfRule>
    <cfRule type="expression" dxfId="98" priority="15" stopIfTrue="1">
      <formula>AS13=CléPersonnalisée1</formula>
    </cfRule>
    <cfRule type="expression" dxfId="97" priority="16" stopIfTrue="1">
      <formula>AS13=CléMaladie</formula>
    </cfRule>
    <cfRule type="expression" dxfId="96" priority="17" stopIfTrue="1">
      <formula>AS13=CléPersonnelle</formula>
    </cfRule>
    <cfRule type="expression" dxfId="95" priority="18" stopIfTrue="1">
      <formula>AS13=CléCongés</formula>
    </cfRule>
  </conditionalFormatting>
  <conditionalFormatting sqref="AS9">
    <cfRule type="expression" priority="7" stopIfTrue="1">
      <formula>AS9=""</formula>
    </cfRule>
    <cfRule type="expression" dxfId="94" priority="8" stopIfTrue="1">
      <formula>AS9=CléPersonnalisée2</formula>
    </cfRule>
    <cfRule type="expression" dxfId="93" priority="9" stopIfTrue="1">
      <formula>AS9=CléPersonnalisée1</formula>
    </cfRule>
    <cfRule type="expression" dxfId="92" priority="10" stopIfTrue="1">
      <formula>AS9=CléMaladie</formula>
    </cfRule>
    <cfRule type="expression" dxfId="91" priority="11" stopIfTrue="1">
      <formula>AS9=CléPersonnelle</formula>
    </cfRule>
    <cfRule type="expression" dxfId="90" priority="12" stopIfTrue="1">
      <formula>AS9=CléCongés</formula>
    </cfRule>
  </conditionalFormatting>
  <conditionalFormatting sqref="AS5">
    <cfRule type="expression" priority="1" stopIfTrue="1">
      <formula>AS5=""</formula>
    </cfRule>
    <cfRule type="expression" dxfId="89" priority="2" stopIfTrue="1">
      <formula>AS5=CléPersonnalisée2</formula>
    </cfRule>
    <cfRule type="expression" dxfId="88" priority="3" stopIfTrue="1">
      <formula>AS5=CléPersonnalisée1</formula>
    </cfRule>
    <cfRule type="expression" dxfId="87" priority="4" stopIfTrue="1">
      <formula>AS5=CléMaladie</formula>
    </cfRule>
    <cfRule type="expression" dxfId="86" priority="5" stopIfTrue="1">
      <formula>AS5=CléPersonnelle</formula>
    </cfRule>
    <cfRule type="expression" dxfId="85" priority="6" stopIfTrue="1">
      <formula>AS5=CléCongés</formula>
    </cfRule>
  </conditionalFormatting>
  <printOptions horizontalCentered="1"/>
  <pageMargins left="0.25" right="0.25" top="0.75" bottom="0.75" header="0.3" footer="0.3"/>
  <pageSetup scale="67" fitToHeight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A6F4E89-E0D2-4E20-9C98-90302CD2E59F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AH5:AH6 AH9:AH11</xm:sqref>
        </x14:conditionalFormatting>
        <x14:conditionalFormatting xmlns:xm="http://schemas.microsoft.com/office/excel/2006/main">
          <x14:cfRule type="dataBar" id="{CBD4569E-922A-4A92-B5F8-91E8D50350C4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AH27</xm:sqref>
        </x14:conditionalFormatting>
        <x14:conditionalFormatting xmlns:xm="http://schemas.microsoft.com/office/excel/2006/main">
          <x14:cfRule type="dataBar" id="{30C35390-03A0-425A-8B15-05EFBD96C28A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AH31</xm:sqref>
        </x14:conditionalFormatting>
        <x14:conditionalFormatting xmlns:xm="http://schemas.microsoft.com/office/excel/2006/main">
          <x14:cfRule type="dataBar" id="{C47444B6-3DC1-4254-A35D-BA231CDC116A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AH35</xm:sqref>
        </x14:conditionalFormatting>
        <x14:conditionalFormatting xmlns:xm="http://schemas.microsoft.com/office/excel/2006/main">
          <x14:cfRule type="dataBar" id="{7968AD04-783C-409C-A10C-733331B7CEBC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AH39</xm:sqref>
        </x14:conditionalFormatting>
        <x14:conditionalFormatting xmlns:xm="http://schemas.microsoft.com/office/excel/2006/main">
          <x14:cfRule type="dataBar" id="{78AEC2EA-BBCF-4576-AC99-E798FA0F87B4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AH43</xm:sqref>
        </x14:conditionalFormatting>
        <x14:conditionalFormatting xmlns:xm="http://schemas.microsoft.com/office/excel/2006/main">
          <x14:cfRule type="dataBar" id="{ECED99A3-16D0-4FB9-AC18-919621D7AEB7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AH47</xm:sqref>
        </x14:conditionalFormatting>
        <x14:conditionalFormatting xmlns:xm="http://schemas.microsoft.com/office/excel/2006/main">
          <x14:cfRule type="dataBar" id="{5DBAB600-A94D-4DAC-BB08-8C3A9C475DB2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AH51</xm:sqref>
        </x14:conditionalFormatting>
        <x14:conditionalFormatting xmlns:xm="http://schemas.microsoft.com/office/excel/2006/main">
          <x14:cfRule type="dataBar" id="{9CC8B3F8-A819-4BB2-9301-31FFE99E42D5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AH55</xm:sqref>
        </x14:conditionalFormatting>
        <x14:conditionalFormatting xmlns:xm="http://schemas.microsoft.com/office/excel/2006/main">
          <x14:cfRule type="dataBar" id="{3D3C4B2D-72E5-4BFC-80E4-1F5F6B34D8F9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AH63</xm:sqref>
        </x14:conditionalFormatting>
        <x14:conditionalFormatting xmlns:xm="http://schemas.microsoft.com/office/excel/2006/main">
          <x14:cfRule type="dataBar" id="{ABC5A62E-D704-4AC6-9F17-6269FF2CFF22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AH71</xm:sqref>
        </x14:conditionalFormatting>
        <x14:conditionalFormatting xmlns:xm="http://schemas.microsoft.com/office/excel/2006/main">
          <x14:cfRule type="dataBar" id="{D2E0DAAC-351E-41B8-8CEA-0B197E90FA12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AH19</xm:sqref>
        </x14:conditionalFormatting>
        <x14:conditionalFormatting xmlns:xm="http://schemas.microsoft.com/office/excel/2006/main">
          <x14:cfRule type="dataBar" id="{4C0BED77-5DFF-47E3-9940-7959B30BBDD4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AH23</xm:sqref>
        </x14:conditionalFormatting>
        <x14:conditionalFormatting xmlns:xm="http://schemas.microsoft.com/office/excel/2006/main">
          <x14:cfRule type="dataBar" id="{F5674375-C57B-4845-AB57-5ACEC6F3DF9E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AH17:AH18</xm:sqref>
        </x14:conditionalFormatting>
        <x14:conditionalFormatting xmlns:xm="http://schemas.microsoft.com/office/excel/2006/main">
          <x14:cfRule type="dataBar" id="{E34AFA36-FC6A-4DD2-B369-854196CFDDE7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AH21:AH22</xm:sqref>
        </x14:conditionalFormatting>
        <x14:conditionalFormatting xmlns:xm="http://schemas.microsoft.com/office/excel/2006/main">
          <x14:cfRule type="dataBar" id="{EDB02F11-91FD-47E6-B61C-8E6DAE3C6969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AH25:AH26</xm:sqref>
        </x14:conditionalFormatting>
        <x14:conditionalFormatting xmlns:xm="http://schemas.microsoft.com/office/excel/2006/main">
          <x14:cfRule type="dataBar" id="{940F286B-AC2F-42A7-9230-2D2FE2A9D5A3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AH29:AH30</xm:sqref>
        </x14:conditionalFormatting>
        <x14:conditionalFormatting xmlns:xm="http://schemas.microsoft.com/office/excel/2006/main">
          <x14:cfRule type="dataBar" id="{D2050947-C94F-4104-B8E9-301AC4DCC531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AH33:AH34</xm:sqref>
        </x14:conditionalFormatting>
        <x14:conditionalFormatting xmlns:xm="http://schemas.microsoft.com/office/excel/2006/main">
          <x14:cfRule type="dataBar" id="{F96DD2ED-8AC6-4CBF-B2F9-77F33ABE0204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AH37:AH38</xm:sqref>
        </x14:conditionalFormatting>
        <x14:conditionalFormatting xmlns:xm="http://schemas.microsoft.com/office/excel/2006/main">
          <x14:cfRule type="dataBar" id="{4035E9E4-38A9-475E-B401-93D763F882B7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AH41:AH42</xm:sqref>
        </x14:conditionalFormatting>
        <x14:conditionalFormatting xmlns:xm="http://schemas.microsoft.com/office/excel/2006/main">
          <x14:cfRule type="dataBar" id="{BBB69FE6-B154-47F9-B3E6-0CC7DF24A126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AH45:AH46</xm:sqref>
        </x14:conditionalFormatting>
        <x14:conditionalFormatting xmlns:xm="http://schemas.microsoft.com/office/excel/2006/main">
          <x14:cfRule type="dataBar" id="{DF56CD13-517B-4C78-A7E9-34FDCFE8D4CD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AH49:AH50</xm:sqref>
        </x14:conditionalFormatting>
        <x14:conditionalFormatting xmlns:xm="http://schemas.microsoft.com/office/excel/2006/main">
          <x14:cfRule type="dataBar" id="{383D4709-F272-4963-9C96-1DC2DD2FF136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AH53:AH54</xm:sqref>
        </x14:conditionalFormatting>
        <x14:conditionalFormatting xmlns:xm="http://schemas.microsoft.com/office/excel/2006/main">
          <x14:cfRule type="dataBar" id="{E66F7A0E-4726-485E-BBD5-8A9071438C6B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AH61:AH62</xm:sqref>
        </x14:conditionalFormatting>
        <x14:conditionalFormatting xmlns:xm="http://schemas.microsoft.com/office/excel/2006/main">
          <x14:cfRule type="dataBar" id="{2E98733F-973B-4FF9-B9AC-7B14099D1CA7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AH69:AH70</xm:sqref>
        </x14:conditionalFormatting>
        <x14:conditionalFormatting xmlns:xm="http://schemas.microsoft.com/office/excel/2006/main">
          <x14:cfRule type="dataBar" id="{FA77BB2E-16E5-4672-96FB-518F5A35455F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AH7</xm:sqref>
        </x14:conditionalFormatting>
        <x14:conditionalFormatting xmlns:xm="http://schemas.microsoft.com/office/excel/2006/main">
          <x14:cfRule type="dataBar" id="{15C5973D-9485-46F8-9C31-FC3B9D57E245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AH67</xm:sqref>
        </x14:conditionalFormatting>
        <x14:conditionalFormatting xmlns:xm="http://schemas.microsoft.com/office/excel/2006/main">
          <x14:cfRule type="dataBar" id="{32870D36-5630-4A84-B686-384FFF93D3B3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AH65:AH66</xm:sqref>
        </x14:conditionalFormatting>
        <x14:conditionalFormatting xmlns:xm="http://schemas.microsoft.com/office/excel/2006/main">
          <x14:cfRule type="dataBar" id="{FF31CBAA-0B5F-4A7F-B42E-B4B4AD2C85BE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AH75</xm:sqref>
        </x14:conditionalFormatting>
        <x14:conditionalFormatting xmlns:xm="http://schemas.microsoft.com/office/excel/2006/main">
          <x14:cfRule type="dataBar" id="{5A13EB58-BC8F-4262-834E-48915FB68A0C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AH73:AH74</xm:sqref>
        </x14:conditionalFormatting>
        <x14:conditionalFormatting xmlns:xm="http://schemas.microsoft.com/office/excel/2006/main">
          <x14:cfRule type="dataBar" id="{30F9B0AD-0A9E-47B4-8B18-A44162C7F1A6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AH83</xm:sqref>
        </x14:conditionalFormatting>
        <x14:conditionalFormatting xmlns:xm="http://schemas.microsoft.com/office/excel/2006/main">
          <x14:cfRule type="dataBar" id="{43B28889-3E5E-4480-8413-A001930EDC91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AH81:AH82</xm:sqref>
        </x14:conditionalFormatting>
        <x14:conditionalFormatting xmlns:xm="http://schemas.microsoft.com/office/excel/2006/main">
          <x14:cfRule type="dataBar" id="{35BAA797-B2DA-4A74-8AF6-7C5ECECB341E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AH87</xm:sqref>
        </x14:conditionalFormatting>
        <x14:conditionalFormatting xmlns:xm="http://schemas.microsoft.com/office/excel/2006/main">
          <x14:cfRule type="dataBar" id="{839791C4-EF97-4E42-B9F1-4706A7A915AA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AH85:AH86</xm:sqref>
        </x14:conditionalFormatting>
        <x14:conditionalFormatting xmlns:xm="http://schemas.microsoft.com/office/excel/2006/main">
          <x14:cfRule type="dataBar" id="{E35FDB1B-515C-4D92-A434-31E13A667DB8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AH91</xm:sqref>
        </x14:conditionalFormatting>
        <x14:conditionalFormatting xmlns:xm="http://schemas.microsoft.com/office/excel/2006/main">
          <x14:cfRule type="dataBar" id="{397F45E3-2253-4CEE-82DB-E1FEF7BA98E1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AH89:AH90</xm:sqref>
        </x14:conditionalFormatting>
        <x14:conditionalFormatting xmlns:xm="http://schemas.microsoft.com/office/excel/2006/main">
          <x14:cfRule type="dataBar" id="{57FF7B4C-5923-4DEA-826D-E8ABF1284CD2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AH101:AH103 AH95 AH97:AH99</xm:sqref>
        </x14:conditionalFormatting>
        <x14:conditionalFormatting xmlns:xm="http://schemas.microsoft.com/office/excel/2006/main">
          <x14:cfRule type="dataBar" id="{D088EABE-5BC9-4A4E-9F3A-D8DF90189D6F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AH93:AH94</xm:sqref>
        </x14:conditionalFormatting>
        <x14:conditionalFormatting xmlns:xm="http://schemas.microsoft.com/office/excel/2006/main">
          <x14:cfRule type="dataBar" id="{6B62C28F-D5B4-4F86-8416-21C98829F6E3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AH111</xm:sqref>
        </x14:conditionalFormatting>
        <x14:conditionalFormatting xmlns:xm="http://schemas.microsoft.com/office/excel/2006/main">
          <x14:cfRule type="dataBar" id="{0371E98D-AB67-4C4C-9D45-10139281D1F4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AH109:AH110</xm:sqref>
        </x14:conditionalFormatting>
        <x14:conditionalFormatting xmlns:xm="http://schemas.microsoft.com/office/excel/2006/main">
          <x14:cfRule type="dataBar" id="{AC06109A-9349-4582-9714-D3327C7AC1C5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AH123</xm:sqref>
        </x14:conditionalFormatting>
        <x14:conditionalFormatting xmlns:xm="http://schemas.microsoft.com/office/excel/2006/main">
          <x14:cfRule type="dataBar" id="{0CE45F8A-B045-4492-9D92-B95149BC2EFF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AH121:AH122</xm:sqref>
        </x14:conditionalFormatting>
        <x14:conditionalFormatting xmlns:xm="http://schemas.microsoft.com/office/excel/2006/main">
          <x14:cfRule type="dataBar" id="{76D61631-96EA-4DA5-963F-CA72904E51CA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AH115</xm:sqref>
        </x14:conditionalFormatting>
        <x14:conditionalFormatting xmlns:xm="http://schemas.microsoft.com/office/excel/2006/main">
          <x14:cfRule type="dataBar" id="{2F92B7C1-0949-4D61-BFB4-1390F2042FCF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AH113:AH114</xm:sqref>
        </x14:conditionalFormatting>
        <x14:conditionalFormatting xmlns:xm="http://schemas.microsoft.com/office/excel/2006/main">
          <x14:cfRule type="dataBar" id="{F10C5BD6-1E80-4216-99C3-1C8297137EA6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AH15</xm:sqref>
        </x14:conditionalFormatting>
        <x14:conditionalFormatting xmlns:xm="http://schemas.microsoft.com/office/excel/2006/main">
          <x14:cfRule type="dataBar" id="{DE943741-2ECB-4A32-8DBC-7BBE464D642C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AH13:AH14</xm:sqref>
        </x14:conditionalFormatting>
        <x14:conditionalFormatting xmlns:xm="http://schemas.microsoft.com/office/excel/2006/main">
          <x14:cfRule type="dataBar" id="{A1454FF2-DDCC-4F5C-B81F-FA70788D6ED0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AH119</xm:sqref>
        </x14:conditionalFormatting>
        <x14:conditionalFormatting xmlns:xm="http://schemas.microsoft.com/office/excel/2006/main">
          <x14:cfRule type="dataBar" id="{E0526B3F-25D5-42FC-B6F4-0BE5A6D902CF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AH117:AH118</xm:sqref>
        </x14:conditionalFormatting>
        <x14:conditionalFormatting xmlns:xm="http://schemas.microsoft.com/office/excel/2006/main">
          <x14:cfRule type="dataBar" id="{22D5BD1A-52A5-48D0-8E0B-B05E82CB4C13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AH107</xm:sqref>
        </x14:conditionalFormatting>
        <x14:conditionalFormatting xmlns:xm="http://schemas.microsoft.com/office/excel/2006/main">
          <x14:cfRule type="dataBar" id="{6F87DFBC-0D4A-4E11-93A7-2BD1B850ADC1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AH105:AH106</xm:sqref>
        </x14:conditionalFormatting>
        <x14:conditionalFormatting xmlns:xm="http://schemas.microsoft.com/office/excel/2006/main">
          <x14:cfRule type="dataBar" id="{D8EB9DCA-83E2-4717-9E26-C3C20903371F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AH59</xm:sqref>
        </x14:conditionalFormatting>
        <x14:conditionalFormatting xmlns:xm="http://schemas.microsoft.com/office/excel/2006/main">
          <x14:cfRule type="dataBar" id="{AAD567D7-E2F4-45D8-B5DF-170B86023345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AH57:AH58</xm:sqref>
        </x14:conditionalFormatting>
        <x14:conditionalFormatting xmlns:xm="http://schemas.microsoft.com/office/excel/2006/main">
          <x14:cfRule type="dataBar" id="{72460D6A-659C-4654-8052-C185D4D30348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AH79</xm:sqref>
        </x14:conditionalFormatting>
        <x14:conditionalFormatting xmlns:xm="http://schemas.microsoft.com/office/excel/2006/main">
          <x14:cfRule type="dataBar" id="{045AA8B9-6EB3-4B95-83AD-C53A45D2D9EA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AH77:AH78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2" tint="-0.89999084444715716"/>
    <pageSetUpPr fitToPage="1"/>
  </sheetPr>
  <dimension ref="A1:AS1514"/>
  <sheetViews>
    <sheetView showGridLines="0" topLeftCell="P4" zoomScale="98" zoomScaleNormal="98" workbookViewId="0">
      <selection activeCell="AS7" sqref="AS7"/>
    </sheetView>
  </sheetViews>
  <sheetFormatPr baseColWidth="10" defaultColWidth="9.140625" defaultRowHeight="15" customHeight="1" x14ac:dyDescent="0.25"/>
  <cols>
    <col min="1" max="1" width="24.28515625" style="96" customWidth="1"/>
    <col min="2" max="2" width="6" style="96" customWidth="1"/>
    <col min="3" max="22" width="4" style="93" customWidth="1"/>
    <col min="23" max="23" width="4.42578125" style="93" customWidth="1"/>
    <col min="24" max="26" width="4" style="93" customWidth="1"/>
    <col min="27" max="27" width="4.42578125" style="93" customWidth="1"/>
    <col min="28" max="28" width="4.42578125" style="93" bestFit="1" customWidth="1"/>
    <col min="29" max="32" width="4" style="93" customWidth="1"/>
    <col min="33" max="33" width="4.42578125" style="93" bestFit="1" customWidth="1"/>
    <col min="34" max="34" width="12.28515625" style="94" customWidth="1"/>
    <col min="35" max="35" width="5.5703125" style="93" customWidth="1"/>
    <col min="36" max="36" width="5" style="75" customWidth="1"/>
    <col min="37" max="37" width="4.7109375" style="75" customWidth="1"/>
    <col min="38" max="38" width="4.5703125" style="75" customWidth="1"/>
    <col min="39" max="39" width="7" style="75" customWidth="1"/>
    <col min="40" max="40" width="8.85546875" style="75" customWidth="1"/>
    <col min="41" max="41" width="8.140625" style="75" customWidth="1"/>
    <col min="42" max="42" width="4.7109375" style="75" customWidth="1"/>
    <col min="43" max="43" width="6.42578125" style="75" customWidth="1"/>
    <col min="44" max="44" width="6.5703125" style="75" customWidth="1"/>
    <col min="45" max="45" width="13.140625" style="75" customWidth="1"/>
    <col min="46" max="16384" width="9.140625" style="75"/>
  </cols>
  <sheetData>
    <row r="1" spans="1:45" s="8" customFormat="1" ht="50.25" customHeight="1" thickBot="1" x14ac:dyDescent="0.3">
      <c r="A1" s="1" t="s">
        <v>0</v>
      </c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3"/>
      <c r="AE1" s="3"/>
      <c r="AF1" s="4"/>
      <c r="AG1" s="5"/>
      <c r="AH1" s="5"/>
      <c r="AI1" s="6"/>
      <c r="AJ1" s="7"/>
      <c r="AK1" s="7"/>
      <c r="AL1" s="7"/>
      <c r="AM1" s="7"/>
      <c r="AN1" s="7"/>
      <c r="AO1" s="7"/>
      <c r="AP1" s="7"/>
      <c r="AQ1" s="7"/>
      <c r="AR1" s="7"/>
    </row>
    <row r="2" spans="1:45" s="18" customFormat="1" ht="30" customHeight="1" x14ac:dyDescent="0.25">
      <c r="A2" s="97">
        <v>43190</v>
      </c>
      <c r="B2" s="10"/>
      <c r="C2" s="11" t="s">
        <v>1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2">
        <v>2018</v>
      </c>
      <c r="AI2" s="13" t="s">
        <v>2</v>
      </c>
      <c r="AJ2" s="14"/>
      <c r="AK2" s="14"/>
      <c r="AL2" s="15"/>
      <c r="AM2" s="13" t="s">
        <v>3</v>
      </c>
      <c r="AN2" s="14"/>
      <c r="AO2" s="14"/>
      <c r="AP2" s="15"/>
      <c r="AQ2" s="16" t="s">
        <v>4</v>
      </c>
      <c r="AR2" s="17"/>
    </row>
    <row r="3" spans="1:45" s="27" customFormat="1" ht="15.75" customHeight="1" thickBot="1" x14ac:dyDescent="0.35">
      <c r="A3" s="98">
        <v>43160</v>
      </c>
      <c r="B3" s="10"/>
      <c r="C3" s="20" t="str">
        <f>TEXT(WEEKDAY(DATE(CalendrierAnnée,3,1),1),"jjj")</f>
        <v>jeu</v>
      </c>
      <c r="D3" s="21" t="str">
        <f>TEXT(WEEKDAY(DATE(CalendrierAnnée,3,2),1),"jjj")</f>
        <v>ven</v>
      </c>
      <c r="E3" s="21" t="str">
        <f>TEXT(WEEKDAY(DATE(CalendrierAnnée,3,3),1),"jjj")</f>
        <v>sam</v>
      </c>
      <c r="F3" s="21" t="str">
        <f>TEXT(WEEKDAY(DATE(CalendrierAnnée,3,4),1),"jjj")</f>
        <v>dim</v>
      </c>
      <c r="G3" s="21" t="str">
        <f>TEXT(WEEKDAY(DATE(CalendrierAnnée,3,5),1),"jjj")</f>
        <v>lun</v>
      </c>
      <c r="H3" s="21" t="str">
        <f>TEXT(WEEKDAY(DATE(CalendrierAnnée,4,6),1),"jjj")</f>
        <v>ven</v>
      </c>
      <c r="I3" s="21" t="str">
        <f>TEXT(WEEKDAY(DATE(CalendrierAnnée,4,7),1),"jjj")</f>
        <v>sam</v>
      </c>
      <c r="J3" s="21" t="str">
        <f>TEXT(WEEKDAY(DATE(CalendrierAnnée,4,8),1),"jjj")</f>
        <v>dim</v>
      </c>
      <c r="K3" s="21" t="str">
        <f>TEXT(WEEKDAY(DATE(CalendrierAnnée,4,9),1),"jjj")</f>
        <v>lun</v>
      </c>
      <c r="L3" s="21" t="str">
        <f>TEXT(WEEKDAY(DATE(CalendrierAnnée,4,10),1),"jjj")</f>
        <v>mar</v>
      </c>
      <c r="M3" s="21" t="str">
        <f>TEXT(WEEKDAY(DATE(CalendrierAnnée,4,11),1),"jjj")</f>
        <v>mer</v>
      </c>
      <c r="N3" s="21" t="str">
        <f>TEXT(WEEKDAY(DATE(CalendrierAnnée,4,12),1),"jjj")</f>
        <v>jeu</v>
      </c>
      <c r="O3" s="21" t="str">
        <f>TEXT(WEEKDAY(DATE(CalendrierAnnée,4,13),1),"jjj")</f>
        <v>ven</v>
      </c>
      <c r="P3" s="21" t="str">
        <f>TEXT(WEEKDAY(DATE(CalendrierAnnée,4,14),1),"jjj")</f>
        <v>sam</v>
      </c>
      <c r="Q3" s="21" t="str">
        <f>TEXT(WEEKDAY(DATE(CalendrierAnnée,4,15),1),"jjj")</f>
        <v>dim</v>
      </c>
      <c r="R3" s="21" t="str">
        <f>TEXT(WEEKDAY(DATE(CalendrierAnnée,4,16),1),"jjj")</f>
        <v>lun</v>
      </c>
      <c r="S3" s="21" t="str">
        <f>TEXT(WEEKDAY(DATE(CalendrierAnnée,4,17),1),"jjj")</f>
        <v>mar</v>
      </c>
      <c r="T3" s="21" t="str">
        <f>TEXT(WEEKDAY(DATE(CalendrierAnnée,4,18),1),"jjj")</f>
        <v>mer</v>
      </c>
      <c r="U3" s="21" t="str">
        <f>TEXT(WEEKDAY(DATE(CalendrierAnnée,4,19),1),"jjj")</f>
        <v>jeu</v>
      </c>
      <c r="V3" s="21" t="str">
        <f>TEXT(WEEKDAY(DATE(CalendrierAnnée,4,20),1),"jjj")</f>
        <v>ven</v>
      </c>
      <c r="W3" s="21" t="str">
        <f>TEXT(WEEKDAY(DATE(CalendrierAnnée,4,21),1),"jjj")</f>
        <v>sam</v>
      </c>
      <c r="X3" s="21" t="str">
        <f>TEXT(WEEKDAY(DATE(CalendrierAnnée,4,22),1),"jjj")</f>
        <v>dim</v>
      </c>
      <c r="Y3" s="21" t="str">
        <f>TEXT(WEEKDAY(DATE(CalendrierAnnée,4,23),1),"jjj")</f>
        <v>lun</v>
      </c>
      <c r="Z3" s="21" t="str">
        <f>TEXT(WEEKDAY(DATE(CalendrierAnnée,4,24),1),"jjj")</f>
        <v>mar</v>
      </c>
      <c r="AA3" s="21" t="str">
        <f>TEXT(WEEKDAY(DATE(CalendrierAnnée,4,25),1),"jjj")</f>
        <v>mer</v>
      </c>
      <c r="AB3" s="21" t="str">
        <f>TEXT(WEEKDAY(DATE(CalendrierAnnée,4,26),1),"jjj")</f>
        <v>jeu</v>
      </c>
      <c r="AC3" s="21" t="str">
        <f>TEXT(WEEKDAY(DATE(CalendrierAnnée,4,27),1),"jjj")</f>
        <v>ven</v>
      </c>
      <c r="AD3" s="21" t="str">
        <f>TEXT(WEEKDAY(DATE(CalendrierAnnée,4,28),1),"jjj")</f>
        <v>sam</v>
      </c>
      <c r="AE3" s="21" t="str">
        <f>TEXT(WEEKDAY(DATE(CalendrierAnnée,4,29),1),"jjj")</f>
        <v>dim</v>
      </c>
      <c r="AF3" s="21" t="str">
        <f>TEXT(WEEKDAY(DATE(CalendrierAnnée,4,30),1),"jjj")</f>
        <v>lun</v>
      </c>
      <c r="AG3" s="21" t="str">
        <f>TEXT(WEEKDAY(DATE(CalendrierAnnée,4,31),1),"jjj")</f>
        <v>mar</v>
      </c>
      <c r="AH3" s="12"/>
      <c r="AI3" s="22"/>
      <c r="AJ3" s="23"/>
      <c r="AK3" s="23"/>
      <c r="AL3" s="24"/>
      <c r="AM3" s="22"/>
      <c r="AN3" s="23"/>
      <c r="AO3" s="23"/>
      <c r="AP3" s="24"/>
      <c r="AQ3" s="25"/>
      <c r="AR3" s="26"/>
    </row>
    <row r="4" spans="1:45" s="40" customFormat="1" ht="53.25" customHeight="1" x14ac:dyDescent="0.25">
      <c r="A4" s="28" t="s">
        <v>22</v>
      </c>
      <c r="B4" s="29"/>
      <c r="C4" s="99" t="s">
        <v>25</v>
      </c>
      <c r="D4" s="32" t="s">
        <v>26</v>
      </c>
      <c r="E4" s="32" t="s">
        <v>27</v>
      </c>
      <c r="F4" s="32" t="s">
        <v>28</v>
      </c>
      <c r="G4" s="32" t="s">
        <v>29</v>
      </c>
      <c r="H4" s="32" t="s">
        <v>30</v>
      </c>
      <c r="I4" s="32" t="s">
        <v>31</v>
      </c>
      <c r="J4" s="32" t="s">
        <v>32</v>
      </c>
      <c r="K4" s="32" t="s">
        <v>33</v>
      </c>
      <c r="L4" s="32" t="s">
        <v>34</v>
      </c>
      <c r="M4" s="32" t="s">
        <v>35</v>
      </c>
      <c r="N4" s="32" t="s">
        <v>36</v>
      </c>
      <c r="O4" s="32" t="s">
        <v>37</v>
      </c>
      <c r="P4" s="32" t="s">
        <v>38</v>
      </c>
      <c r="Q4" s="32" t="s">
        <v>39</v>
      </c>
      <c r="R4" s="32" t="s">
        <v>40</v>
      </c>
      <c r="S4" s="32" t="s">
        <v>41</v>
      </c>
      <c r="T4" s="32" t="s">
        <v>42</v>
      </c>
      <c r="U4" s="32" t="s">
        <v>43</v>
      </c>
      <c r="V4" s="32" t="s">
        <v>44</v>
      </c>
      <c r="W4" s="32" t="s">
        <v>45</v>
      </c>
      <c r="X4" s="32" t="s">
        <v>46</v>
      </c>
      <c r="Y4" s="32" t="s">
        <v>47</v>
      </c>
      <c r="Z4" s="32" t="s">
        <v>48</v>
      </c>
      <c r="AA4" s="32" t="s">
        <v>49</v>
      </c>
      <c r="AB4" s="32" t="s">
        <v>50</v>
      </c>
      <c r="AC4" s="32" t="s">
        <v>51</v>
      </c>
      <c r="AD4" s="32" t="s">
        <v>52</v>
      </c>
      <c r="AE4" s="32" t="s">
        <v>53</v>
      </c>
      <c r="AF4" s="32" t="s">
        <v>54</v>
      </c>
      <c r="AG4" s="32" t="s">
        <v>55</v>
      </c>
      <c r="AH4" s="33" t="s">
        <v>6</v>
      </c>
      <c r="AI4" s="34" t="s">
        <v>7</v>
      </c>
      <c r="AJ4" s="35" t="s">
        <v>8</v>
      </c>
      <c r="AK4" s="36" t="s">
        <v>9</v>
      </c>
      <c r="AL4" s="37" t="s">
        <v>10</v>
      </c>
      <c r="AM4" s="38" t="s">
        <v>11</v>
      </c>
      <c r="AN4" s="38" t="s">
        <v>12</v>
      </c>
      <c r="AO4" s="38" t="s">
        <v>13</v>
      </c>
      <c r="AP4" s="39" t="s">
        <v>14</v>
      </c>
      <c r="AQ4" s="34" t="s">
        <v>7</v>
      </c>
      <c r="AR4" s="35" t="s">
        <v>8</v>
      </c>
      <c r="AS4" s="39" t="s">
        <v>56</v>
      </c>
    </row>
    <row r="5" spans="1:45" s="40" customFormat="1" ht="12.95" customHeight="1" x14ac:dyDescent="0.25">
      <c r="A5" s="41"/>
      <c r="B5" s="42" t="s">
        <v>15</v>
      </c>
      <c r="C5" s="67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43"/>
      <c r="AH5" s="44">
        <f>COUNTA(Mars!$C5:$AG5)</f>
        <v>0</v>
      </c>
      <c r="AI5" s="45">
        <f>(COUNTIFS(Mars!$C5:$AG5,("cp")))/2+Février!AI5</f>
        <v>8</v>
      </c>
      <c r="AJ5" s="45">
        <f>COUNTIFS(Mars!$C5:$AG5,"RTT")/2+Février!AJ5</f>
        <v>0</v>
      </c>
      <c r="AK5" s="45">
        <f>COUNTIFS(Mars!$C5:$AG5,"m")/2+Février!AK5</f>
        <v>0</v>
      </c>
      <c r="AL5" s="45">
        <f>COUNTIFS(Mars!$C5:$AG5,"a")/2+Février!AL5</f>
        <v>0</v>
      </c>
      <c r="AM5" s="46"/>
      <c r="AN5" s="47"/>
      <c r="AO5" s="47"/>
      <c r="AP5" s="46"/>
      <c r="AQ5" s="47"/>
      <c r="AR5" s="47"/>
      <c r="AS5" s="47"/>
    </row>
    <row r="6" spans="1:45" s="40" customFormat="1" ht="12.95" customHeight="1" x14ac:dyDescent="0.25">
      <c r="A6" s="48">
        <v>41722</v>
      </c>
      <c r="B6" s="42" t="s">
        <v>16</v>
      </c>
      <c r="C6" s="67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3"/>
      <c r="AH6" s="44">
        <f>COUNTA(Mars!$C6:$AG6)</f>
        <v>0</v>
      </c>
      <c r="AI6" s="45">
        <f>(COUNTIFS(Mars!$C6:$AG6,("cp")))/2+Février!AI6</f>
        <v>8</v>
      </c>
      <c r="AJ6" s="45">
        <f>COUNTIFS(Mars!$C6:$AG6,"RTT")/2+Février!AJ6</f>
        <v>0</v>
      </c>
      <c r="AK6" s="45">
        <f>COUNTIFS(Mars!$C6:$AG6,"m")/2+Février!AK6</f>
        <v>0</v>
      </c>
      <c r="AL6" s="45">
        <f>COUNTIFS(Mars!$C6:$AG6,"a")/2+Février!AL6</f>
        <v>0</v>
      </c>
      <c r="AM6" s="46"/>
      <c r="AN6" s="47"/>
      <c r="AO6" s="47"/>
      <c r="AP6" s="46"/>
      <c r="AQ6" s="47"/>
      <c r="AR6" s="47"/>
      <c r="AS6" s="101"/>
    </row>
    <row r="7" spans="1:45" s="40" customFormat="1" ht="12.95" customHeight="1" x14ac:dyDescent="0.25">
      <c r="A7" s="41"/>
      <c r="B7" s="42"/>
      <c r="C7" s="49" t="str">
        <f t="shared" ref="C7:AG7" si="0">IF(C5&gt;0,C5,IF(C6&gt;0,C6,""))</f>
        <v/>
      </c>
      <c r="D7" s="49" t="str">
        <f t="shared" si="0"/>
        <v/>
      </c>
      <c r="E7" s="49" t="str">
        <f t="shared" si="0"/>
        <v/>
      </c>
      <c r="F7" s="49" t="str">
        <f t="shared" si="0"/>
        <v/>
      </c>
      <c r="G7" s="49" t="str">
        <f t="shared" si="0"/>
        <v/>
      </c>
      <c r="H7" s="49" t="str">
        <f t="shared" si="0"/>
        <v/>
      </c>
      <c r="I7" s="49" t="str">
        <f t="shared" si="0"/>
        <v/>
      </c>
      <c r="J7" s="49" t="str">
        <f t="shared" si="0"/>
        <v/>
      </c>
      <c r="K7" s="49" t="str">
        <f t="shared" si="0"/>
        <v/>
      </c>
      <c r="L7" s="49" t="str">
        <f t="shared" si="0"/>
        <v/>
      </c>
      <c r="M7" s="49" t="str">
        <f t="shared" si="0"/>
        <v/>
      </c>
      <c r="N7" s="49" t="str">
        <f t="shared" si="0"/>
        <v/>
      </c>
      <c r="O7" s="49" t="str">
        <f t="shared" si="0"/>
        <v/>
      </c>
      <c r="P7" s="49" t="str">
        <f t="shared" si="0"/>
        <v/>
      </c>
      <c r="Q7" s="49" t="str">
        <f t="shared" si="0"/>
        <v/>
      </c>
      <c r="R7" s="49" t="str">
        <f t="shared" si="0"/>
        <v/>
      </c>
      <c r="S7" s="49" t="str">
        <f t="shared" si="0"/>
        <v/>
      </c>
      <c r="T7" s="49" t="str">
        <f t="shared" si="0"/>
        <v/>
      </c>
      <c r="U7" s="49" t="str">
        <f t="shared" si="0"/>
        <v/>
      </c>
      <c r="V7" s="49" t="str">
        <f t="shared" si="0"/>
        <v/>
      </c>
      <c r="W7" s="49" t="str">
        <f t="shared" si="0"/>
        <v/>
      </c>
      <c r="X7" s="49" t="str">
        <f t="shared" si="0"/>
        <v/>
      </c>
      <c r="Y7" s="49" t="str">
        <f t="shared" si="0"/>
        <v/>
      </c>
      <c r="Z7" s="49" t="str">
        <f t="shared" si="0"/>
        <v/>
      </c>
      <c r="AA7" s="49" t="str">
        <f t="shared" si="0"/>
        <v/>
      </c>
      <c r="AB7" s="49" t="str">
        <f t="shared" si="0"/>
        <v/>
      </c>
      <c r="AC7" s="49" t="str">
        <f t="shared" si="0"/>
        <v/>
      </c>
      <c r="AD7" s="49" t="str">
        <f t="shared" si="0"/>
        <v/>
      </c>
      <c r="AE7" s="49" t="str">
        <f t="shared" si="0"/>
        <v/>
      </c>
      <c r="AF7" s="49" t="str">
        <f t="shared" si="0"/>
        <v/>
      </c>
      <c r="AG7" s="49" t="str">
        <f t="shared" si="0"/>
        <v/>
      </c>
      <c r="AH7" s="44">
        <f>SUM(AH5:AH6)</f>
        <v>0</v>
      </c>
      <c r="AI7" s="45">
        <f>SUM(AI5:AI6)</f>
        <v>16</v>
      </c>
      <c r="AJ7" s="45">
        <f>SUM(AJ5:AJ6)</f>
        <v>0</v>
      </c>
      <c r="AK7" s="45">
        <f>SUM(AK5:AK6)</f>
        <v>0</v>
      </c>
      <c r="AL7" s="45">
        <f>SUM(AL5:AL6)</f>
        <v>0</v>
      </c>
      <c r="AM7" s="50">
        <f>Juin!AM7</f>
        <v>9.15</v>
      </c>
      <c r="AN7" s="51">
        <f>IF(A6="","",IF(A6&gt;NomMois,0,IF(A6&lt;$A$3,2.08,(NETWORKDAYS(A6,$A$2)/21.66667)*2.08)))</f>
        <v>2.08</v>
      </c>
      <c r="AO7" s="51">
        <f>IF( AN7="",0,+AN7+Février!AO7)</f>
        <v>20.799999999999997</v>
      </c>
      <c r="AP7" s="112">
        <f>IF(A6="","",IF(A6&gt;NomMois,0,IF(A6&lt;$A$3,1.5,(NETWORKDAYS(A6,$A$2)/21.66667)*1.5)))+Février!AP7</f>
        <v>4.5</v>
      </c>
      <c r="AQ7" s="45">
        <f>+AM7-AI7</f>
        <v>-6.85</v>
      </c>
      <c r="AR7" s="45">
        <f>+IF(AP7="","",AP7-AJ7)</f>
        <v>4.5</v>
      </c>
      <c r="AS7" s="102">
        <f>+AO7+AQ7</f>
        <v>13.949999999999998</v>
      </c>
    </row>
    <row r="8" spans="1:45" s="40" customFormat="1" ht="6.75" customHeight="1" x14ac:dyDescent="0.25">
      <c r="A8" s="52"/>
      <c r="B8" s="53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  <c r="AF8" s="52"/>
      <c r="AG8" s="52"/>
      <c r="AH8" s="54"/>
      <c r="AI8" s="54"/>
      <c r="AJ8" s="54"/>
      <c r="AK8" s="54"/>
      <c r="AL8" s="54"/>
      <c r="AM8" s="52"/>
      <c r="AN8" s="55"/>
      <c r="AO8" s="55"/>
      <c r="AP8" s="56"/>
      <c r="AQ8" s="58"/>
      <c r="AR8" s="58"/>
      <c r="AS8" s="65"/>
    </row>
    <row r="9" spans="1:45" s="40" customFormat="1" ht="12.95" customHeight="1" x14ac:dyDescent="0.25">
      <c r="A9" s="41"/>
      <c r="B9" s="42" t="s">
        <v>15</v>
      </c>
      <c r="C9" s="67"/>
      <c r="D9" s="43"/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  <c r="AA9" s="43"/>
      <c r="AB9" s="43"/>
      <c r="AC9" s="43"/>
      <c r="AD9" s="43"/>
      <c r="AE9" s="43"/>
      <c r="AF9" s="43"/>
      <c r="AG9" s="43"/>
      <c r="AH9" s="44">
        <f>COUNTA(Mars!$C9:$AG9)</f>
        <v>0</v>
      </c>
      <c r="AI9" s="45">
        <f>(COUNTIFS(Mars!$C9:$AG9,("cp")))/2+Février!AI9</f>
        <v>3.5</v>
      </c>
      <c r="AJ9" s="45">
        <f>COUNTIFS(Mars!$C9:$AG9,"RTT")/2+Février!AJ9</f>
        <v>0</v>
      </c>
      <c r="AK9" s="45">
        <f>COUNTIFS(Mars!$C9:$AG9,"m")/2+Février!AK9</f>
        <v>0</v>
      </c>
      <c r="AL9" s="45">
        <f>COUNTIFS(Mars!$C9:$AG9,"a")/2+Février!AL9</f>
        <v>0</v>
      </c>
      <c r="AM9" s="46"/>
      <c r="AN9" s="47"/>
      <c r="AO9" s="47"/>
      <c r="AP9" s="46"/>
      <c r="AQ9" s="47"/>
      <c r="AR9" s="47"/>
      <c r="AS9" s="47"/>
    </row>
    <row r="10" spans="1:45" s="40" customFormat="1" ht="12.95" customHeight="1" x14ac:dyDescent="0.25">
      <c r="A10" s="48">
        <v>42740</v>
      </c>
      <c r="B10" s="42" t="s">
        <v>16</v>
      </c>
      <c r="C10" s="67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3"/>
      <c r="AG10" s="43"/>
      <c r="AH10" s="44">
        <f>COUNTA(Mars!$C10:$AG10)</f>
        <v>0</v>
      </c>
      <c r="AI10" s="45">
        <f>(COUNTIFS(Mars!$C10:$AG10,("cp")))/2+Février!AI10</f>
        <v>3.5</v>
      </c>
      <c r="AJ10" s="45">
        <f>COUNTIFS(Mars!$C10:$AG10,"RTT")/2+Février!AJ10</f>
        <v>0</v>
      </c>
      <c r="AK10" s="45">
        <f>COUNTIFS(Mars!$C10:$AG10,"m")/2+Février!AK10</f>
        <v>0</v>
      </c>
      <c r="AL10" s="45">
        <f>COUNTIFS(Mars!$C10:$AG10,"a")/2+Février!AL10</f>
        <v>0</v>
      </c>
      <c r="AM10" s="46"/>
      <c r="AN10" s="47"/>
      <c r="AO10" s="47"/>
      <c r="AP10" s="46"/>
      <c r="AQ10" s="47"/>
      <c r="AR10" s="47"/>
      <c r="AS10" s="101"/>
    </row>
    <row r="11" spans="1:45" s="40" customFormat="1" ht="12.95" customHeight="1" x14ac:dyDescent="0.25">
      <c r="A11" s="41"/>
      <c r="B11" s="42"/>
      <c r="C11" s="49" t="str">
        <f t="shared" ref="C11:AG11" si="1">IF(C9&gt;0,C9,IF(C10&gt;0,C10,""))</f>
        <v/>
      </c>
      <c r="D11" s="49" t="str">
        <f t="shared" si="1"/>
        <v/>
      </c>
      <c r="E11" s="49" t="str">
        <f t="shared" si="1"/>
        <v/>
      </c>
      <c r="F11" s="49" t="str">
        <f t="shared" si="1"/>
        <v/>
      </c>
      <c r="G11" s="49" t="str">
        <f t="shared" si="1"/>
        <v/>
      </c>
      <c r="H11" s="49" t="str">
        <f t="shared" si="1"/>
        <v/>
      </c>
      <c r="I11" s="49" t="str">
        <f t="shared" si="1"/>
        <v/>
      </c>
      <c r="J11" s="49" t="str">
        <f t="shared" si="1"/>
        <v/>
      </c>
      <c r="K11" s="49" t="str">
        <f t="shared" si="1"/>
        <v/>
      </c>
      <c r="L11" s="49" t="str">
        <f t="shared" si="1"/>
        <v/>
      </c>
      <c r="M11" s="49" t="str">
        <f t="shared" si="1"/>
        <v/>
      </c>
      <c r="N11" s="49" t="str">
        <f t="shared" si="1"/>
        <v/>
      </c>
      <c r="O11" s="49" t="str">
        <f t="shared" si="1"/>
        <v/>
      </c>
      <c r="P11" s="49" t="str">
        <f t="shared" si="1"/>
        <v/>
      </c>
      <c r="Q11" s="49" t="str">
        <f t="shared" si="1"/>
        <v/>
      </c>
      <c r="R11" s="49" t="str">
        <f t="shared" si="1"/>
        <v/>
      </c>
      <c r="S11" s="49" t="str">
        <f t="shared" si="1"/>
        <v/>
      </c>
      <c r="T11" s="49" t="str">
        <f t="shared" si="1"/>
        <v/>
      </c>
      <c r="U11" s="49" t="str">
        <f t="shared" si="1"/>
        <v/>
      </c>
      <c r="V11" s="49" t="str">
        <f t="shared" si="1"/>
        <v/>
      </c>
      <c r="W11" s="49" t="str">
        <f t="shared" si="1"/>
        <v/>
      </c>
      <c r="X11" s="49" t="str">
        <f t="shared" si="1"/>
        <v/>
      </c>
      <c r="Y11" s="49" t="str">
        <f t="shared" si="1"/>
        <v/>
      </c>
      <c r="Z11" s="49" t="str">
        <f t="shared" si="1"/>
        <v/>
      </c>
      <c r="AA11" s="49" t="str">
        <f t="shared" si="1"/>
        <v/>
      </c>
      <c r="AB11" s="49" t="str">
        <f t="shared" si="1"/>
        <v/>
      </c>
      <c r="AC11" s="49" t="str">
        <f t="shared" si="1"/>
        <v/>
      </c>
      <c r="AD11" s="49" t="str">
        <f t="shared" si="1"/>
        <v/>
      </c>
      <c r="AE11" s="49" t="str">
        <f t="shared" si="1"/>
        <v/>
      </c>
      <c r="AF11" s="49" t="str">
        <f t="shared" si="1"/>
        <v/>
      </c>
      <c r="AG11" s="49" t="str">
        <f t="shared" si="1"/>
        <v/>
      </c>
      <c r="AH11" s="44">
        <f>SUM(AH9:AH10)</f>
        <v>0</v>
      </c>
      <c r="AI11" s="45">
        <f>SUM(AI9:AI10)</f>
        <v>7</v>
      </c>
      <c r="AJ11" s="45">
        <f>SUM(AJ9:AJ10)</f>
        <v>0</v>
      </c>
      <c r="AK11" s="45">
        <f>SUM(AK9:AK10)</f>
        <v>0</v>
      </c>
      <c r="AL11" s="45">
        <f>SUM(AL9:AL10)</f>
        <v>0</v>
      </c>
      <c r="AM11" s="50">
        <f>Juin!AM11</f>
        <v>10.32</v>
      </c>
      <c r="AN11" s="51">
        <f>IF(A10="","",IF(A10&gt;NomMois,0,IF(A10&lt;$A$3,2.08,(NETWORKDAYS(A10,$A$2)/21.66667)*2.08)))</f>
        <v>2.08</v>
      </c>
      <c r="AO11" s="51">
        <f>IF( AN11="",0,+AN11+Février!AO11)</f>
        <v>20.799999999999997</v>
      </c>
      <c r="AP11" s="50">
        <f>IF(A10="","",IF(A10&gt;NomMois,0,IF(A10&lt;$A$3,1.5,(NETWORKDAYS(A10,$A$2)/21.66667)*1.5)))+Février!AP11</f>
        <v>4.5</v>
      </c>
      <c r="AQ11" s="45">
        <f>+AM11-AI11</f>
        <v>3.3200000000000003</v>
      </c>
      <c r="AR11" s="45">
        <f>+IF(AP11="","",AP11-AJ11)</f>
        <v>4.5</v>
      </c>
      <c r="AS11" s="102">
        <f>+AO11+AQ11</f>
        <v>24.119999999999997</v>
      </c>
    </row>
    <row r="12" spans="1:45" s="63" customFormat="1" ht="6.75" customHeight="1" x14ac:dyDescent="0.25">
      <c r="A12" s="60"/>
      <c r="B12" s="53"/>
      <c r="C12" s="60"/>
      <c r="D12" s="60"/>
      <c r="E12" s="60"/>
      <c r="F12" s="60"/>
      <c r="G12" s="60"/>
      <c r="H12" s="60"/>
      <c r="I12" s="60"/>
      <c r="J12" s="60"/>
      <c r="K12" s="60"/>
      <c r="L12" s="60"/>
      <c r="M12" s="60"/>
      <c r="N12" s="60"/>
      <c r="O12" s="60"/>
      <c r="P12" s="60"/>
      <c r="Q12" s="60"/>
      <c r="R12" s="60"/>
      <c r="S12" s="60"/>
      <c r="T12" s="60"/>
      <c r="U12" s="60"/>
      <c r="V12" s="60"/>
      <c r="W12" s="60"/>
      <c r="X12" s="60"/>
      <c r="Y12" s="60"/>
      <c r="Z12" s="60"/>
      <c r="AA12" s="60"/>
      <c r="AB12" s="60"/>
      <c r="AC12" s="60"/>
      <c r="AD12" s="60"/>
      <c r="AE12" s="60"/>
      <c r="AF12" s="60"/>
      <c r="AG12" s="60"/>
      <c r="AH12" s="61"/>
      <c r="AI12" s="61"/>
      <c r="AJ12" s="61"/>
      <c r="AK12" s="61"/>
      <c r="AL12" s="61"/>
      <c r="AM12" s="60"/>
      <c r="AN12" s="61"/>
      <c r="AO12" s="61"/>
      <c r="AP12" s="60"/>
      <c r="AQ12" s="61"/>
      <c r="AR12" s="61"/>
      <c r="AS12" s="65"/>
    </row>
    <row r="13" spans="1:45" s="79" customFormat="1" ht="12.95" customHeight="1" x14ac:dyDescent="0.25">
      <c r="A13" s="41"/>
      <c r="B13" s="42" t="s">
        <v>15</v>
      </c>
      <c r="C13" s="67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43"/>
      <c r="AB13" s="43"/>
      <c r="AC13" s="43"/>
      <c r="AD13" s="43"/>
      <c r="AE13" s="43"/>
      <c r="AF13" s="43"/>
      <c r="AG13" s="43"/>
      <c r="AH13" s="44">
        <f>COUNTA(Mars!$C13:$AG13)</f>
        <v>0</v>
      </c>
      <c r="AI13" s="45">
        <f>(COUNTIFS(Mars!$C13:$AG13,("cp")))/2+Février!AI13</f>
        <v>0.5</v>
      </c>
      <c r="AJ13" s="45">
        <f>COUNTIFS(Mars!$C13:$AG13,"RTT")/2+Février!AJ13</f>
        <v>0</v>
      </c>
      <c r="AK13" s="45">
        <f>COUNTIFS(Mars!$C13:$AG13,"m")/2+Février!AK13</f>
        <v>0</v>
      </c>
      <c r="AL13" s="45">
        <f>COUNTIFS(Mars!$C13:$AG13,"a")/2+Février!AL13</f>
        <v>1.5</v>
      </c>
      <c r="AM13" s="46"/>
      <c r="AN13" s="47"/>
      <c r="AO13" s="47"/>
      <c r="AP13" s="46"/>
      <c r="AQ13" s="47"/>
      <c r="AR13" s="47"/>
      <c r="AS13" s="47"/>
    </row>
    <row r="14" spans="1:45" s="79" customFormat="1" ht="12.95" customHeight="1" x14ac:dyDescent="0.25">
      <c r="A14" s="48"/>
      <c r="B14" s="42" t="s">
        <v>16</v>
      </c>
      <c r="C14" s="67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4">
        <f>COUNTA(Mars!$C14:$AG14)</f>
        <v>0</v>
      </c>
      <c r="AI14" s="45">
        <f>(COUNTIFS(Mars!$C14:$AG14,("cp")))/2+Février!AI14</f>
        <v>0.5</v>
      </c>
      <c r="AJ14" s="45">
        <f>COUNTIFS(Mars!$C14:$AG14,"RTT")/2+Février!AJ14</f>
        <v>0</v>
      </c>
      <c r="AK14" s="45">
        <f>COUNTIFS(Mars!$C14:$AG14,"m")/2+Février!AK14</f>
        <v>0</v>
      </c>
      <c r="AL14" s="45">
        <f>COUNTIFS(Mars!$C14:$AG14,"a")/2+Février!AL14</f>
        <v>1</v>
      </c>
      <c r="AM14" s="46"/>
      <c r="AN14" s="47"/>
      <c r="AO14" s="47"/>
      <c r="AP14" s="46"/>
      <c r="AQ14" s="47"/>
      <c r="AR14" s="47"/>
      <c r="AS14" s="101">
        <v>43014</v>
      </c>
    </row>
    <row r="15" spans="1:45" s="79" customFormat="1" ht="12.95" customHeight="1" x14ac:dyDescent="0.25">
      <c r="A15" s="41"/>
      <c r="B15" s="42"/>
      <c r="C15" s="49" t="str">
        <f t="shared" ref="C15:AG15" si="2">IF(C13&gt;0,C13,IF(C14&gt;0,C14,""))</f>
        <v/>
      </c>
      <c r="D15" s="49" t="str">
        <f t="shared" si="2"/>
        <v/>
      </c>
      <c r="E15" s="49" t="str">
        <f t="shared" si="2"/>
        <v/>
      </c>
      <c r="F15" s="49" t="str">
        <f t="shared" si="2"/>
        <v/>
      </c>
      <c r="G15" s="49" t="str">
        <f t="shared" si="2"/>
        <v/>
      </c>
      <c r="H15" s="49" t="str">
        <f t="shared" si="2"/>
        <v/>
      </c>
      <c r="I15" s="49" t="str">
        <f t="shared" si="2"/>
        <v/>
      </c>
      <c r="J15" s="49" t="str">
        <f t="shared" si="2"/>
        <v/>
      </c>
      <c r="K15" s="49" t="str">
        <f t="shared" si="2"/>
        <v/>
      </c>
      <c r="L15" s="49" t="str">
        <f t="shared" si="2"/>
        <v/>
      </c>
      <c r="M15" s="49" t="str">
        <f t="shared" si="2"/>
        <v/>
      </c>
      <c r="N15" s="49" t="str">
        <f t="shared" si="2"/>
        <v/>
      </c>
      <c r="O15" s="49" t="str">
        <f t="shared" si="2"/>
        <v/>
      </c>
      <c r="P15" s="49" t="str">
        <f t="shared" si="2"/>
        <v/>
      </c>
      <c r="Q15" s="49" t="str">
        <f t="shared" si="2"/>
        <v/>
      </c>
      <c r="R15" s="49" t="str">
        <f t="shared" si="2"/>
        <v/>
      </c>
      <c r="S15" s="49" t="str">
        <f t="shared" si="2"/>
        <v/>
      </c>
      <c r="T15" s="49" t="str">
        <f t="shared" si="2"/>
        <v/>
      </c>
      <c r="U15" s="49" t="str">
        <f t="shared" si="2"/>
        <v/>
      </c>
      <c r="V15" s="49" t="str">
        <f t="shared" si="2"/>
        <v/>
      </c>
      <c r="W15" s="49" t="str">
        <f t="shared" si="2"/>
        <v/>
      </c>
      <c r="X15" s="49" t="str">
        <f t="shared" si="2"/>
        <v/>
      </c>
      <c r="Y15" s="49" t="str">
        <f t="shared" si="2"/>
        <v/>
      </c>
      <c r="Z15" s="49" t="str">
        <f t="shared" si="2"/>
        <v/>
      </c>
      <c r="AA15" s="49" t="str">
        <f t="shared" si="2"/>
        <v/>
      </c>
      <c r="AB15" s="49" t="str">
        <f t="shared" si="2"/>
        <v/>
      </c>
      <c r="AC15" s="49" t="str">
        <f t="shared" si="2"/>
        <v/>
      </c>
      <c r="AD15" s="49" t="str">
        <f t="shared" si="2"/>
        <v/>
      </c>
      <c r="AE15" s="49" t="str">
        <f t="shared" si="2"/>
        <v/>
      </c>
      <c r="AF15" s="49" t="str">
        <f t="shared" si="2"/>
        <v/>
      </c>
      <c r="AG15" s="49" t="str">
        <f t="shared" si="2"/>
        <v/>
      </c>
      <c r="AH15" s="44">
        <f>SUM(AH13:AH14)</f>
        <v>0</v>
      </c>
      <c r="AI15" s="45">
        <f>SUM(AI13:AI14)</f>
        <v>1</v>
      </c>
      <c r="AJ15" s="45">
        <f>SUM(AJ13:AJ14)</f>
        <v>0</v>
      </c>
      <c r="AK15" s="45">
        <f>SUM(AK13:AK14)</f>
        <v>0</v>
      </c>
      <c r="AL15" s="45">
        <f>SUM(AL13:AL14)</f>
        <v>2.5</v>
      </c>
      <c r="AM15" s="50">
        <f>Juin!AM15</f>
        <v>0</v>
      </c>
      <c r="AN15" s="51" t="str">
        <f>IF(A14="","",IF(A14&gt;NomMois,0,IF(A14&lt;$A$3,2.08,(NETWORKDAYS(A14,$A$2)/21.66667)*2.08)))</f>
        <v/>
      </c>
      <c r="AO15" s="51">
        <f>IF( AN15="",0,+AN15+Février!AO15)</f>
        <v>0</v>
      </c>
      <c r="AP15" s="50" t="e">
        <f>IF(A14="","",IF(A14&gt;NomMois,0,IF(A14&lt;$A$3,1.5,(NETWORKDAYS(A14,$A$2)/21.66667)*1.5)))+Février!AP15</f>
        <v>#VALUE!</v>
      </c>
      <c r="AQ15" s="45">
        <f>+AM15-AI15</f>
        <v>-1</v>
      </c>
      <c r="AR15" s="45" t="e">
        <f>+IF(AP15="","",AP15-AJ15)</f>
        <v>#VALUE!</v>
      </c>
      <c r="AS15" s="102">
        <f>+AO15+AQ15</f>
        <v>-1</v>
      </c>
    </row>
    <row r="16" spans="1:45" s="63" customFormat="1" ht="6.75" customHeight="1" x14ac:dyDescent="0.25">
      <c r="A16" s="60"/>
      <c r="B16" s="42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  <c r="N16" s="64"/>
      <c r="O16" s="64"/>
      <c r="P16" s="64"/>
      <c r="Q16" s="64"/>
      <c r="R16" s="64"/>
      <c r="S16" s="64"/>
      <c r="T16" s="64"/>
      <c r="U16" s="64"/>
      <c r="V16" s="64"/>
      <c r="W16" s="64"/>
      <c r="X16" s="64"/>
      <c r="Y16" s="64"/>
      <c r="Z16" s="64"/>
      <c r="AA16" s="64"/>
      <c r="AB16" s="64"/>
      <c r="AC16" s="64"/>
      <c r="AD16" s="64"/>
      <c r="AE16" s="64"/>
      <c r="AF16" s="64"/>
      <c r="AG16" s="64"/>
      <c r="AH16" s="65"/>
      <c r="AI16" s="65"/>
      <c r="AJ16" s="65"/>
      <c r="AK16" s="65"/>
      <c r="AL16" s="65"/>
      <c r="AM16" s="64"/>
      <c r="AN16" s="65"/>
      <c r="AO16" s="65"/>
      <c r="AP16" s="64"/>
      <c r="AQ16" s="65"/>
      <c r="AR16" s="65"/>
      <c r="AS16" s="65"/>
    </row>
    <row r="17" spans="1:45" s="63" customFormat="1" ht="12.95" customHeight="1" x14ac:dyDescent="0.25">
      <c r="A17" s="41"/>
      <c r="B17" s="42" t="s">
        <v>15</v>
      </c>
      <c r="C17" s="67"/>
      <c r="D17" s="67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4">
        <f>COUNTA(Mars!$C17:$AG17)</f>
        <v>0</v>
      </c>
      <c r="AI17" s="45">
        <f>(COUNTIFS(Mars!$C17:$AG17,("cp")))/2+Février!AI17</f>
        <v>8.5</v>
      </c>
      <c r="AJ17" s="45">
        <f>COUNTIFS(Mars!$C17:$AG17,"RTT")/2+Février!AJ17</f>
        <v>0</v>
      </c>
      <c r="AK17" s="45">
        <f>COUNTIFS(Mars!$C17:$AG17,"m")/2+Février!AK17</f>
        <v>0</v>
      </c>
      <c r="AL17" s="45">
        <f>COUNTIFS(Mars!$C17:$AG17,"a")/2+Février!AL17</f>
        <v>0</v>
      </c>
      <c r="AM17" s="46"/>
      <c r="AN17" s="47"/>
      <c r="AO17" s="47"/>
      <c r="AP17" s="46"/>
      <c r="AQ17" s="47"/>
      <c r="AR17" s="47"/>
      <c r="AS17" s="47"/>
    </row>
    <row r="18" spans="1:45" s="63" customFormat="1" ht="12.95" customHeight="1" x14ac:dyDescent="0.25">
      <c r="A18" s="48">
        <v>38923</v>
      </c>
      <c r="B18" s="42" t="s">
        <v>16</v>
      </c>
      <c r="C18" s="67"/>
      <c r="D18" s="67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3"/>
      <c r="AC18" s="43"/>
      <c r="AD18" s="43"/>
      <c r="AE18" s="43"/>
      <c r="AF18" s="43"/>
      <c r="AG18" s="43"/>
      <c r="AH18" s="44">
        <f>COUNTA(Mars!$C18:$AG18)</f>
        <v>0</v>
      </c>
      <c r="AI18" s="45">
        <f>(COUNTIFS(Mars!$C18:$AG18,("cp")))/2+Février!AI18</f>
        <v>8.5</v>
      </c>
      <c r="AJ18" s="45">
        <f>COUNTIFS(Mars!$C18:$AG18,"RTT")/2+Février!AJ18</f>
        <v>0</v>
      </c>
      <c r="AK18" s="45">
        <f>COUNTIFS(Mars!$C18:$AG18,"m")/2+Février!AK18</f>
        <v>0</v>
      </c>
      <c r="AL18" s="45">
        <f>COUNTIFS(Mars!$C18:$AG18,"a")/2+Février!AL18</f>
        <v>0</v>
      </c>
      <c r="AM18" s="46"/>
      <c r="AN18" s="47"/>
      <c r="AO18" s="47"/>
      <c r="AP18" s="46"/>
      <c r="AQ18" s="47"/>
      <c r="AR18" s="47"/>
      <c r="AS18" s="101"/>
    </row>
    <row r="19" spans="1:45" s="63" customFormat="1" ht="12.95" customHeight="1" x14ac:dyDescent="0.25">
      <c r="A19" s="41"/>
      <c r="B19" s="42"/>
      <c r="C19" s="49" t="str">
        <f t="shared" ref="C19:AG19" si="3">IF(C17&gt;0,C17,IF(C18&gt;0,C18,""))</f>
        <v/>
      </c>
      <c r="D19" s="49" t="str">
        <f t="shared" si="3"/>
        <v/>
      </c>
      <c r="E19" s="49" t="str">
        <f t="shared" si="3"/>
        <v/>
      </c>
      <c r="F19" s="49" t="str">
        <f t="shared" si="3"/>
        <v/>
      </c>
      <c r="G19" s="49" t="str">
        <f t="shared" si="3"/>
        <v/>
      </c>
      <c r="H19" s="49" t="str">
        <f t="shared" si="3"/>
        <v/>
      </c>
      <c r="I19" s="49" t="str">
        <f t="shared" si="3"/>
        <v/>
      </c>
      <c r="J19" s="49" t="str">
        <f t="shared" si="3"/>
        <v/>
      </c>
      <c r="K19" s="49" t="str">
        <f t="shared" si="3"/>
        <v/>
      </c>
      <c r="L19" s="49" t="str">
        <f t="shared" si="3"/>
        <v/>
      </c>
      <c r="M19" s="49" t="str">
        <f t="shared" si="3"/>
        <v/>
      </c>
      <c r="N19" s="49" t="str">
        <f t="shared" si="3"/>
        <v/>
      </c>
      <c r="O19" s="49" t="str">
        <f t="shared" si="3"/>
        <v/>
      </c>
      <c r="P19" s="49" t="str">
        <f t="shared" si="3"/>
        <v/>
      </c>
      <c r="Q19" s="49" t="str">
        <f t="shared" si="3"/>
        <v/>
      </c>
      <c r="R19" s="49" t="str">
        <f t="shared" si="3"/>
        <v/>
      </c>
      <c r="S19" s="49" t="str">
        <f t="shared" si="3"/>
        <v/>
      </c>
      <c r="T19" s="49" t="str">
        <f t="shared" si="3"/>
        <v/>
      </c>
      <c r="U19" s="49" t="str">
        <f t="shared" si="3"/>
        <v/>
      </c>
      <c r="V19" s="49" t="str">
        <f t="shared" si="3"/>
        <v/>
      </c>
      <c r="W19" s="49" t="str">
        <f t="shared" si="3"/>
        <v/>
      </c>
      <c r="X19" s="49" t="str">
        <f t="shared" si="3"/>
        <v/>
      </c>
      <c r="Y19" s="49" t="str">
        <f t="shared" si="3"/>
        <v/>
      </c>
      <c r="Z19" s="49" t="str">
        <f t="shared" si="3"/>
        <v/>
      </c>
      <c r="AA19" s="49" t="str">
        <f t="shared" si="3"/>
        <v/>
      </c>
      <c r="AB19" s="49" t="str">
        <f t="shared" si="3"/>
        <v/>
      </c>
      <c r="AC19" s="49" t="str">
        <f t="shared" si="3"/>
        <v/>
      </c>
      <c r="AD19" s="49" t="str">
        <f t="shared" si="3"/>
        <v/>
      </c>
      <c r="AE19" s="49" t="str">
        <f t="shared" si="3"/>
        <v/>
      </c>
      <c r="AF19" s="49" t="str">
        <f t="shared" si="3"/>
        <v/>
      </c>
      <c r="AG19" s="49" t="str">
        <f t="shared" si="3"/>
        <v/>
      </c>
      <c r="AH19" s="44">
        <f>SUM(AH17:AH18)</f>
        <v>0</v>
      </c>
      <c r="AI19" s="45">
        <f>SUM(AI17:AI18)</f>
        <v>17</v>
      </c>
      <c r="AJ19" s="45">
        <f>SUM(AJ17:AJ18)</f>
        <v>0</v>
      </c>
      <c r="AK19" s="45">
        <f>SUM(AK17:AK18)</f>
        <v>0</v>
      </c>
      <c r="AL19" s="45">
        <f>SUM(AL17:AL18)</f>
        <v>0</v>
      </c>
      <c r="AM19" s="50">
        <f>Juin!AM19</f>
        <v>24.54</v>
      </c>
      <c r="AN19" s="51">
        <f>IF(A18="","",IF(A18&gt;NomMois,0,IF(A18&lt;$A$3,2.08,(NETWORKDAYS(A18,$A$2)/21.66667)*2.08)))</f>
        <v>2.08</v>
      </c>
      <c r="AO19" s="51">
        <f>IF( AN19="",0,+AN19+Février!AO19)</f>
        <v>20.799999999999997</v>
      </c>
      <c r="AP19" s="50">
        <f>IF(A18="","",IF(A18&gt;NomMois,0,IF(A18&lt;$A$3,1.5,(NETWORKDAYS(A18,$A$2)/21.66667)*1.5)))+Février!AP19</f>
        <v>4.5</v>
      </c>
      <c r="AQ19" s="45">
        <f>+AM19-AI19</f>
        <v>7.5399999999999991</v>
      </c>
      <c r="AR19" s="45">
        <f>+IF(AP19="","",AP19-AJ19)</f>
        <v>4.5</v>
      </c>
      <c r="AS19" s="102">
        <f t="shared" ref="AS19" si="4">+AO19+AQ19</f>
        <v>28.339999999999996</v>
      </c>
    </row>
    <row r="20" spans="1:45" s="63" customFormat="1" ht="6.75" customHeight="1" x14ac:dyDescent="0.25">
      <c r="A20" s="60"/>
      <c r="B20" s="53"/>
      <c r="C20" s="60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0"/>
      <c r="AG20" s="60"/>
      <c r="AH20" s="61"/>
      <c r="AI20" s="61"/>
      <c r="AJ20" s="61"/>
      <c r="AK20" s="61"/>
      <c r="AL20" s="61"/>
      <c r="AM20" s="60"/>
      <c r="AN20" s="61"/>
      <c r="AO20" s="61"/>
      <c r="AP20" s="60"/>
      <c r="AQ20" s="61"/>
      <c r="AR20" s="61"/>
      <c r="AS20" s="65"/>
    </row>
    <row r="21" spans="1:45" s="63" customFormat="1" ht="12.95" customHeight="1" x14ac:dyDescent="0.25">
      <c r="A21" s="41"/>
      <c r="B21" s="42" t="s">
        <v>15</v>
      </c>
      <c r="C21" s="67"/>
      <c r="D21" s="67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43"/>
      <c r="AC21" s="43"/>
      <c r="AD21" s="43"/>
      <c r="AE21" s="43"/>
      <c r="AF21" s="43"/>
      <c r="AG21" s="43"/>
      <c r="AH21" s="44">
        <f>COUNTA(Mars!$C21:$AG21)</f>
        <v>0</v>
      </c>
      <c r="AI21" s="45">
        <f>(COUNTIFS(Mars!$C21:$AG21,("cp")))/2+Février!AI21</f>
        <v>1.5</v>
      </c>
      <c r="AJ21" s="45">
        <f>COUNTIFS(Mars!$C21:$AG21,"RTT")/2+Février!AJ21</f>
        <v>0</v>
      </c>
      <c r="AK21" s="45">
        <f>COUNTIFS(Mars!$C21:$AG21,"m")/2+Février!AK21</f>
        <v>0</v>
      </c>
      <c r="AL21" s="45">
        <f>COUNTIFS(Mars!$C21:$AG21,"a")/2+Février!AL21</f>
        <v>0.5</v>
      </c>
      <c r="AM21" s="46"/>
      <c r="AN21" s="47"/>
      <c r="AO21" s="47"/>
      <c r="AP21" s="46"/>
      <c r="AQ21" s="47"/>
      <c r="AR21" s="47"/>
      <c r="AS21" s="47"/>
    </row>
    <row r="22" spans="1:45" s="63" customFormat="1" ht="12.95" customHeight="1" x14ac:dyDescent="0.25">
      <c r="A22" s="48">
        <v>41824</v>
      </c>
      <c r="B22" s="42" t="s">
        <v>16</v>
      </c>
      <c r="C22" s="67"/>
      <c r="D22" s="67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43"/>
      <c r="AC22" s="43"/>
      <c r="AD22" s="43"/>
      <c r="AE22" s="43"/>
      <c r="AF22" s="43"/>
      <c r="AG22" s="43"/>
      <c r="AH22" s="44">
        <f>COUNTA(Mars!$C22:$AG22)</f>
        <v>0</v>
      </c>
      <c r="AI22" s="45">
        <f>(COUNTIFS(Mars!$C22:$AG22,("cp")))/2+Février!AI22</f>
        <v>1.5</v>
      </c>
      <c r="AJ22" s="45">
        <f>COUNTIFS(Mars!$C22:$AG22,"RTT")/2+Février!AJ22</f>
        <v>0</v>
      </c>
      <c r="AK22" s="45">
        <f>COUNTIFS(Mars!$C22:$AG22,"m")/2+Février!AK22</f>
        <v>0</v>
      </c>
      <c r="AL22" s="45">
        <f>COUNTIFS(Mars!$C22:$AG22,"a")/2+Février!AL22</f>
        <v>0.5</v>
      </c>
      <c r="AM22" s="46"/>
      <c r="AN22" s="47"/>
      <c r="AO22" s="47"/>
      <c r="AP22" s="46"/>
      <c r="AQ22" s="47"/>
      <c r="AR22" s="47"/>
      <c r="AS22" s="101"/>
    </row>
    <row r="23" spans="1:45" s="63" customFormat="1" ht="12.95" customHeight="1" x14ac:dyDescent="0.25">
      <c r="A23" s="41"/>
      <c r="B23" s="42"/>
      <c r="C23" s="49" t="str">
        <f t="shared" ref="C23:AG23" si="5">IF(C21&gt;0,C21,IF(C22&gt;0,C22,""))</f>
        <v/>
      </c>
      <c r="D23" s="49" t="str">
        <f t="shared" si="5"/>
        <v/>
      </c>
      <c r="E23" s="49" t="str">
        <f t="shared" si="5"/>
        <v/>
      </c>
      <c r="F23" s="49" t="str">
        <f t="shared" si="5"/>
        <v/>
      </c>
      <c r="G23" s="49" t="str">
        <f t="shared" si="5"/>
        <v/>
      </c>
      <c r="H23" s="49" t="str">
        <f t="shared" si="5"/>
        <v/>
      </c>
      <c r="I23" s="49" t="str">
        <f t="shared" si="5"/>
        <v/>
      </c>
      <c r="J23" s="49" t="str">
        <f t="shared" si="5"/>
        <v/>
      </c>
      <c r="K23" s="49" t="str">
        <f t="shared" si="5"/>
        <v/>
      </c>
      <c r="L23" s="49" t="str">
        <f t="shared" si="5"/>
        <v/>
      </c>
      <c r="M23" s="49" t="str">
        <f t="shared" si="5"/>
        <v/>
      </c>
      <c r="N23" s="49" t="str">
        <f t="shared" si="5"/>
        <v/>
      </c>
      <c r="O23" s="49" t="str">
        <f t="shared" si="5"/>
        <v/>
      </c>
      <c r="P23" s="49" t="str">
        <f t="shared" si="5"/>
        <v/>
      </c>
      <c r="Q23" s="49" t="str">
        <f t="shared" si="5"/>
        <v/>
      </c>
      <c r="R23" s="49" t="str">
        <f t="shared" si="5"/>
        <v/>
      </c>
      <c r="S23" s="49" t="str">
        <f t="shared" si="5"/>
        <v/>
      </c>
      <c r="T23" s="49" t="str">
        <f t="shared" si="5"/>
        <v/>
      </c>
      <c r="U23" s="49" t="str">
        <f t="shared" si="5"/>
        <v/>
      </c>
      <c r="V23" s="49" t="str">
        <f t="shared" si="5"/>
        <v/>
      </c>
      <c r="W23" s="49" t="str">
        <f t="shared" si="5"/>
        <v/>
      </c>
      <c r="X23" s="49" t="str">
        <f t="shared" si="5"/>
        <v/>
      </c>
      <c r="Y23" s="49" t="str">
        <f t="shared" si="5"/>
        <v/>
      </c>
      <c r="Z23" s="49" t="str">
        <f t="shared" si="5"/>
        <v/>
      </c>
      <c r="AA23" s="49" t="str">
        <f t="shared" si="5"/>
        <v/>
      </c>
      <c r="AB23" s="49" t="str">
        <f t="shared" si="5"/>
        <v/>
      </c>
      <c r="AC23" s="49" t="str">
        <f t="shared" si="5"/>
        <v/>
      </c>
      <c r="AD23" s="49" t="str">
        <f t="shared" si="5"/>
        <v/>
      </c>
      <c r="AE23" s="49" t="str">
        <f t="shared" si="5"/>
        <v/>
      </c>
      <c r="AF23" s="49" t="str">
        <f t="shared" si="5"/>
        <v/>
      </c>
      <c r="AG23" s="49" t="str">
        <f t="shared" si="5"/>
        <v/>
      </c>
      <c r="AH23" s="44">
        <f>SUM(AH21:AH22)</f>
        <v>0</v>
      </c>
      <c r="AI23" s="45">
        <f>SUM(AI21:AI22)</f>
        <v>3</v>
      </c>
      <c r="AJ23" s="45">
        <f>SUM(AJ21:AJ22)</f>
        <v>0</v>
      </c>
      <c r="AK23" s="45">
        <f>SUM(AK21:AK22)</f>
        <v>0</v>
      </c>
      <c r="AL23" s="45">
        <f>SUM(AL21:AL22)</f>
        <v>1</v>
      </c>
      <c r="AM23" s="50">
        <f>Juin!AM23</f>
        <v>11.23</v>
      </c>
      <c r="AN23" s="51">
        <f>IF(A22="","",IF(A22&gt;NomMois,0,IF(A22&lt;$A$3,2.08,(NETWORKDAYS(A22,$A$2)/21.66667)*2.08)))</f>
        <v>2.08</v>
      </c>
      <c r="AO23" s="51">
        <f>IF( AN23="",0,+AN23+Février!AO23)</f>
        <v>20.799999999999997</v>
      </c>
      <c r="AP23" s="50">
        <f>IF(A22="","",IF(A22&gt;NomMois,0,IF(A22&lt;$A$3,1.5,(NETWORKDAYS(A22,$A$2)/21.66667)*1.5)))+Février!AP23</f>
        <v>4.5</v>
      </c>
      <c r="AQ23" s="45">
        <f>+AM23-AI23</f>
        <v>8.23</v>
      </c>
      <c r="AR23" s="45">
        <f>+IF(AP23="","",AP23-AJ23)</f>
        <v>4.5</v>
      </c>
      <c r="AS23" s="102">
        <f t="shared" ref="AS23" si="6">+AO23+AQ23</f>
        <v>29.029999999999998</v>
      </c>
    </row>
    <row r="24" spans="1:45" s="63" customFormat="1" ht="6.75" customHeight="1" x14ac:dyDescent="0.25">
      <c r="A24" s="60"/>
      <c r="B24" s="53"/>
      <c r="C24" s="60"/>
      <c r="D24" s="60"/>
      <c r="E24" s="60"/>
      <c r="F24" s="60"/>
      <c r="G24" s="60"/>
      <c r="H24" s="60"/>
      <c r="I24" s="60"/>
      <c r="J24" s="60"/>
      <c r="K24" s="60"/>
      <c r="L24" s="60"/>
      <c r="M24" s="60"/>
      <c r="N24" s="60"/>
      <c r="O24" s="60"/>
      <c r="P24" s="60"/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60"/>
      <c r="AD24" s="60"/>
      <c r="AE24" s="60"/>
      <c r="AF24" s="60"/>
      <c r="AG24" s="60"/>
      <c r="AH24" s="61"/>
      <c r="AI24" s="61"/>
      <c r="AJ24" s="61"/>
      <c r="AK24" s="61"/>
      <c r="AL24" s="61"/>
      <c r="AM24" s="60"/>
      <c r="AN24" s="61"/>
      <c r="AO24" s="61"/>
      <c r="AP24" s="60"/>
      <c r="AQ24" s="61"/>
      <c r="AR24" s="61"/>
      <c r="AS24" s="65"/>
    </row>
    <row r="25" spans="1:45" s="63" customFormat="1" ht="12.95" customHeight="1" x14ac:dyDescent="0.25">
      <c r="A25" s="41"/>
      <c r="B25" s="42" t="s">
        <v>15</v>
      </c>
      <c r="C25" s="67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  <c r="AA25" s="43"/>
      <c r="AB25" s="43"/>
      <c r="AC25" s="43"/>
      <c r="AD25" s="43"/>
      <c r="AE25" s="43"/>
      <c r="AF25" s="43"/>
      <c r="AG25" s="43"/>
      <c r="AH25" s="44">
        <f>COUNTA(Mars!$C25:$AG25)</f>
        <v>0</v>
      </c>
      <c r="AI25" s="45">
        <f>(COUNTIFS(Mars!$C25:$AG25,("cp")))/2+Février!AI25</f>
        <v>3.5</v>
      </c>
      <c r="AJ25" s="45">
        <f>COUNTIFS(Mars!$C25:$AG25,"RTT")/2+Février!AJ25</f>
        <v>0</v>
      </c>
      <c r="AK25" s="45">
        <f>COUNTIFS(Mars!$C25:$AG25,"m")/2+Février!AK25</f>
        <v>0</v>
      </c>
      <c r="AL25" s="45">
        <f>COUNTIFS(Mars!$C25:$AG25,"a")/2+Février!AL25</f>
        <v>0</v>
      </c>
      <c r="AM25" s="46"/>
      <c r="AN25" s="47"/>
      <c r="AO25" s="47"/>
      <c r="AP25" s="46"/>
      <c r="AQ25" s="47"/>
      <c r="AR25" s="47"/>
      <c r="AS25" s="47"/>
    </row>
    <row r="26" spans="1:45" s="63" customFormat="1" ht="12.95" customHeight="1" x14ac:dyDescent="0.25">
      <c r="A26" s="48">
        <v>38626</v>
      </c>
      <c r="B26" s="42" t="s">
        <v>16</v>
      </c>
      <c r="C26" s="67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43"/>
      <c r="AB26" s="43"/>
      <c r="AC26" s="43"/>
      <c r="AD26" s="43"/>
      <c r="AE26" s="43"/>
      <c r="AF26" s="43"/>
      <c r="AG26" s="43"/>
      <c r="AH26" s="44">
        <f>COUNTA(Mars!$C26:$AG26)</f>
        <v>0</v>
      </c>
      <c r="AI26" s="45">
        <f>(COUNTIFS(Mars!$C26:$AG26,("cp")))/2+Février!AI26</f>
        <v>3.5</v>
      </c>
      <c r="AJ26" s="45">
        <f>COUNTIFS(Mars!$C26:$AG26,"RTT")/2+Février!AJ26</f>
        <v>0</v>
      </c>
      <c r="AK26" s="45">
        <f>COUNTIFS(Mars!$C26:$AG26,"m")/2+Février!AK26</f>
        <v>0</v>
      </c>
      <c r="AL26" s="45">
        <f>COUNTIFS(Mars!$C26:$AG26,"a")/2+Février!AL26</f>
        <v>0</v>
      </c>
      <c r="AM26" s="46"/>
      <c r="AN26" s="47"/>
      <c r="AO26" s="47"/>
      <c r="AP26" s="46"/>
      <c r="AQ26" s="47"/>
      <c r="AR26" s="47"/>
      <c r="AS26" s="101"/>
    </row>
    <row r="27" spans="1:45" s="63" customFormat="1" ht="12.95" customHeight="1" x14ac:dyDescent="0.25">
      <c r="A27" s="41"/>
      <c r="B27" s="42"/>
      <c r="C27" s="49" t="str">
        <f t="shared" ref="C27:AG27" si="7">IF(C25&gt;0,C25,IF(C26&gt;0,C26,""))</f>
        <v/>
      </c>
      <c r="D27" s="49" t="str">
        <f t="shared" si="7"/>
        <v/>
      </c>
      <c r="E27" s="49" t="str">
        <f t="shared" si="7"/>
        <v/>
      </c>
      <c r="F27" s="49" t="str">
        <f t="shared" si="7"/>
        <v/>
      </c>
      <c r="G27" s="49" t="str">
        <f t="shared" si="7"/>
        <v/>
      </c>
      <c r="H27" s="49" t="str">
        <f t="shared" si="7"/>
        <v/>
      </c>
      <c r="I27" s="49" t="str">
        <f t="shared" si="7"/>
        <v/>
      </c>
      <c r="J27" s="49" t="str">
        <f t="shared" si="7"/>
        <v/>
      </c>
      <c r="K27" s="49" t="str">
        <f t="shared" si="7"/>
        <v/>
      </c>
      <c r="L27" s="49" t="str">
        <f t="shared" si="7"/>
        <v/>
      </c>
      <c r="M27" s="49" t="str">
        <f t="shared" si="7"/>
        <v/>
      </c>
      <c r="N27" s="49" t="str">
        <f t="shared" si="7"/>
        <v/>
      </c>
      <c r="O27" s="49" t="str">
        <f t="shared" si="7"/>
        <v/>
      </c>
      <c r="P27" s="49" t="str">
        <f t="shared" si="7"/>
        <v/>
      </c>
      <c r="Q27" s="49" t="str">
        <f t="shared" si="7"/>
        <v/>
      </c>
      <c r="R27" s="49" t="str">
        <f t="shared" si="7"/>
        <v/>
      </c>
      <c r="S27" s="49" t="str">
        <f t="shared" si="7"/>
        <v/>
      </c>
      <c r="T27" s="49" t="str">
        <f t="shared" si="7"/>
        <v/>
      </c>
      <c r="U27" s="49" t="str">
        <f t="shared" si="7"/>
        <v/>
      </c>
      <c r="V27" s="49" t="str">
        <f t="shared" si="7"/>
        <v/>
      </c>
      <c r="W27" s="49" t="str">
        <f t="shared" si="7"/>
        <v/>
      </c>
      <c r="X27" s="49" t="str">
        <f t="shared" si="7"/>
        <v/>
      </c>
      <c r="Y27" s="49" t="str">
        <f t="shared" si="7"/>
        <v/>
      </c>
      <c r="Z27" s="49" t="str">
        <f t="shared" si="7"/>
        <v/>
      </c>
      <c r="AA27" s="49" t="str">
        <f t="shared" si="7"/>
        <v/>
      </c>
      <c r="AB27" s="49" t="str">
        <f t="shared" si="7"/>
        <v/>
      </c>
      <c r="AC27" s="49" t="str">
        <f t="shared" si="7"/>
        <v/>
      </c>
      <c r="AD27" s="49" t="str">
        <f t="shared" si="7"/>
        <v/>
      </c>
      <c r="AE27" s="49" t="str">
        <f t="shared" si="7"/>
        <v/>
      </c>
      <c r="AF27" s="49" t="str">
        <f t="shared" si="7"/>
        <v/>
      </c>
      <c r="AG27" s="49" t="str">
        <f t="shared" si="7"/>
        <v/>
      </c>
      <c r="AH27" s="44">
        <f>SUM(AH25:AH26)</f>
        <v>0</v>
      </c>
      <c r="AI27" s="45">
        <f>SUM(AI25:AI26)</f>
        <v>7</v>
      </c>
      <c r="AJ27" s="45">
        <f>SUM(AJ25:AJ26)</f>
        <v>0</v>
      </c>
      <c r="AK27" s="45">
        <f>SUM(AK25:AK26)</f>
        <v>0</v>
      </c>
      <c r="AL27" s="45">
        <f>SUM(AL25:AL26)</f>
        <v>0</v>
      </c>
      <c r="AM27" s="50">
        <f>Juin!AM27</f>
        <v>28.7</v>
      </c>
      <c r="AN27" s="51">
        <f>IF(A26="","",IF(A26&gt;NomMois,0,IF(A26&lt;$A$3,2.08,(NETWORKDAYS(A26,$A$2)/21.66667)*2.08)))</f>
        <v>2.08</v>
      </c>
      <c r="AO27" s="51">
        <f>IF( AN27="",0,+AN27+Février!AO27)</f>
        <v>20.799999999999997</v>
      </c>
      <c r="AP27" s="50">
        <f>IF(A26="","",IF(A26&gt;NomMois,0,IF(A26&lt;$A$3,1.5,(NETWORKDAYS(A26,$A$2)/21.66667)*1.5)))+Février!AP27</f>
        <v>4.5</v>
      </c>
      <c r="AQ27" s="45">
        <f>+AM27-AI27</f>
        <v>21.7</v>
      </c>
      <c r="AR27" s="45">
        <f>+IF(AP27="","",AP27-AJ27)</f>
        <v>4.5</v>
      </c>
      <c r="AS27" s="102">
        <f t="shared" ref="AS27" si="8">+AO27+AQ27</f>
        <v>42.5</v>
      </c>
    </row>
    <row r="28" spans="1:45" s="63" customFormat="1" ht="6.75" customHeight="1" x14ac:dyDescent="0.25">
      <c r="A28" s="60"/>
      <c r="B28" s="53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1"/>
      <c r="AI28" s="61"/>
      <c r="AJ28" s="61"/>
      <c r="AK28" s="61"/>
      <c r="AL28" s="61"/>
      <c r="AM28" s="60"/>
      <c r="AN28" s="61"/>
      <c r="AO28" s="61"/>
      <c r="AP28" s="60"/>
      <c r="AQ28" s="61"/>
      <c r="AR28" s="61"/>
      <c r="AS28" s="65"/>
    </row>
    <row r="29" spans="1:45" s="63" customFormat="1" ht="12.95" customHeight="1" x14ac:dyDescent="0.25">
      <c r="A29" s="41"/>
      <c r="B29" s="42" t="s">
        <v>15</v>
      </c>
      <c r="C29" s="67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4">
        <f>COUNTA(Mars!$C29:$AG29)</f>
        <v>0</v>
      </c>
      <c r="AI29" s="45">
        <f>(COUNTIFS(Mars!$C29:$AG29,("cp")))/2+Février!AI29</f>
        <v>7.5</v>
      </c>
      <c r="AJ29" s="45">
        <f>COUNTIFS(Mars!$C29:$AG29,"RTT")/2+Février!AJ29</f>
        <v>0</v>
      </c>
      <c r="AK29" s="45">
        <f>COUNTIFS(Mars!$C29:$AG29,"m")/2+Février!AK29</f>
        <v>0</v>
      </c>
      <c r="AL29" s="45">
        <f>COUNTIFS(Mars!$C29:$AG29,"a")/2+Février!AL29</f>
        <v>0</v>
      </c>
      <c r="AM29" s="46"/>
      <c r="AN29" s="47"/>
      <c r="AO29" s="47"/>
      <c r="AP29" s="46"/>
      <c r="AQ29" s="47"/>
      <c r="AR29" s="47"/>
      <c r="AS29" s="47"/>
    </row>
    <row r="30" spans="1:45" s="63" customFormat="1" ht="12.95" customHeight="1" x14ac:dyDescent="0.25">
      <c r="A30" s="48">
        <v>36892</v>
      </c>
      <c r="B30" s="42" t="s">
        <v>16</v>
      </c>
      <c r="C30" s="67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4">
        <f>COUNTA(Mars!$C30:$AG30)</f>
        <v>0</v>
      </c>
      <c r="AI30" s="45">
        <f>(COUNTIFS(Mars!$C30:$AG30,("cp")))/2+Février!AI30</f>
        <v>8</v>
      </c>
      <c r="AJ30" s="45">
        <f>COUNTIFS(Mars!$C30:$AG30,"RTT")/2+Février!AJ30</f>
        <v>0</v>
      </c>
      <c r="AK30" s="45">
        <f>COUNTIFS(Mars!$C30:$AG30,"m")/2+Février!AK30</f>
        <v>0</v>
      </c>
      <c r="AL30" s="45">
        <f>COUNTIFS(Mars!$C30:$AG30,"a")/2+Février!AL30</f>
        <v>0</v>
      </c>
      <c r="AM30" s="46"/>
      <c r="AN30" s="47"/>
      <c r="AO30" s="47"/>
      <c r="AP30" s="46"/>
      <c r="AQ30" s="47"/>
      <c r="AR30" s="47"/>
      <c r="AS30" s="101"/>
    </row>
    <row r="31" spans="1:45" s="63" customFormat="1" ht="12.95" customHeight="1" x14ac:dyDescent="0.25">
      <c r="A31" s="41"/>
      <c r="B31" s="42"/>
      <c r="C31" s="49" t="str">
        <f t="shared" ref="C31:AG31" si="9">IF(C29&gt;0,C29,IF(C30&gt;0,C30,""))</f>
        <v/>
      </c>
      <c r="D31" s="49" t="str">
        <f t="shared" si="9"/>
        <v/>
      </c>
      <c r="E31" s="49" t="str">
        <f t="shared" si="9"/>
        <v/>
      </c>
      <c r="F31" s="49" t="str">
        <f t="shared" si="9"/>
        <v/>
      </c>
      <c r="G31" s="49" t="str">
        <f t="shared" si="9"/>
        <v/>
      </c>
      <c r="H31" s="49" t="str">
        <f t="shared" si="9"/>
        <v/>
      </c>
      <c r="I31" s="49" t="str">
        <f t="shared" si="9"/>
        <v/>
      </c>
      <c r="J31" s="49" t="str">
        <f t="shared" si="9"/>
        <v/>
      </c>
      <c r="K31" s="49" t="str">
        <f t="shared" si="9"/>
        <v/>
      </c>
      <c r="L31" s="49" t="str">
        <f t="shared" si="9"/>
        <v/>
      </c>
      <c r="M31" s="49" t="str">
        <f t="shared" si="9"/>
        <v/>
      </c>
      <c r="N31" s="49" t="str">
        <f t="shared" si="9"/>
        <v/>
      </c>
      <c r="O31" s="49" t="str">
        <f t="shared" si="9"/>
        <v/>
      </c>
      <c r="P31" s="49" t="str">
        <f t="shared" si="9"/>
        <v/>
      </c>
      <c r="Q31" s="49" t="str">
        <f t="shared" si="9"/>
        <v/>
      </c>
      <c r="R31" s="49" t="str">
        <f t="shared" si="9"/>
        <v/>
      </c>
      <c r="S31" s="49" t="str">
        <f t="shared" si="9"/>
        <v/>
      </c>
      <c r="T31" s="49" t="str">
        <f t="shared" si="9"/>
        <v/>
      </c>
      <c r="U31" s="49" t="str">
        <f t="shared" si="9"/>
        <v/>
      </c>
      <c r="V31" s="49" t="str">
        <f t="shared" si="9"/>
        <v/>
      </c>
      <c r="W31" s="49" t="str">
        <f t="shared" si="9"/>
        <v/>
      </c>
      <c r="X31" s="49" t="str">
        <f t="shared" si="9"/>
        <v/>
      </c>
      <c r="Y31" s="49" t="str">
        <f t="shared" si="9"/>
        <v/>
      </c>
      <c r="Z31" s="49" t="str">
        <f t="shared" si="9"/>
        <v/>
      </c>
      <c r="AA31" s="49" t="str">
        <f t="shared" si="9"/>
        <v/>
      </c>
      <c r="AB31" s="49" t="str">
        <f t="shared" si="9"/>
        <v/>
      </c>
      <c r="AC31" s="49" t="str">
        <f t="shared" si="9"/>
        <v/>
      </c>
      <c r="AD31" s="49" t="str">
        <f t="shared" si="9"/>
        <v/>
      </c>
      <c r="AE31" s="49" t="str">
        <f t="shared" si="9"/>
        <v/>
      </c>
      <c r="AF31" s="49" t="str">
        <f t="shared" si="9"/>
        <v/>
      </c>
      <c r="AG31" s="49" t="str">
        <f t="shared" si="9"/>
        <v/>
      </c>
      <c r="AH31" s="44">
        <f>SUM(AH29:AH30)</f>
        <v>0</v>
      </c>
      <c r="AI31" s="45">
        <f>SUM(AI29:AI30)</f>
        <v>15.5</v>
      </c>
      <c r="AJ31" s="45">
        <f>SUM(AJ29:AJ30)</f>
        <v>0</v>
      </c>
      <c r="AK31" s="45">
        <f>SUM(AK29:AK30)</f>
        <v>0</v>
      </c>
      <c r="AL31" s="45">
        <f>SUM(AL29:AL30)</f>
        <v>0</v>
      </c>
      <c r="AM31" s="50">
        <f>Juin!AM31</f>
        <v>30.37</v>
      </c>
      <c r="AN31" s="51">
        <f>IF(A30="","",IF(A30&gt;NomMois,0,IF(A30&lt;$A$3,2.08,(NETWORKDAYS(A30,$A$2)/21.66667)*2.08)))</f>
        <v>2.08</v>
      </c>
      <c r="AO31" s="51">
        <f>IF( AN31="",0,+AN31+Février!AO31)</f>
        <v>20.799999999999997</v>
      </c>
      <c r="AP31" s="50">
        <f>IF(A30="","",IF(A30&gt;NomMois,0,IF(A30&lt;$A$3,1.5,(NETWORKDAYS(A30,$A$2)/21.66667)*1.5)))+Février!AP31</f>
        <v>4.5</v>
      </c>
      <c r="AQ31" s="45">
        <f>+AM31-AI31</f>
        <v>14.870000000000001</v>
      </c>
      <c r="AR31" s="45">
        <f>+IF(AP31="","",AP31-AJ31)</f>
        <v>4.5</v>
      </c>
      <c r="AS31" s="102">
        <f t="shared" ref="AS31:AS91" si="10">+AO31+AQ31</f>
        <v>35.67</v>
      </c>
    </row>
    <row r="32" spans="1:45" s="63" customFormat="1" ht="6.75" customHeight="1" x14ac:dyDescent="0.25">
      <c r="A32" s="60"/>
      <c r="B32" s="53"/>
      <c r="C32" s="60"/>
      <c r="D32" s="60"/>
      <c r="E32" s="60"/>
      <c r="F32" s="60"/>
      <c r="G32" s="60"/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1"/>
      <c r="AI32" s="61"/>
      <c r="AJ32" s="61"/>
      <c r="AK32" s="61"/>
      <c r="AL32" s="61"/>
      <c r="AM32" s="60"/>
      <c r="AN32" s="61"/>
      <c r="AO32" s="61"/>
      <c r="AP32" s="60"/>
      <c r="AQ32" s="69"/>
      <c r="AR32" s="69"/>
      <c r="AS32" s="65"/>
    </row>
    <row r="33" spans="1:45" s="63" customFormat="1" ht="12.95" customHeight="1" x14ac:dyDescent="0.25">
      <c r="A33" s="41"/>
      <c r="B33" s="42" t="s">
        <v>15</v>
      </c>
      <c r="C33" s="67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4">
        <f>COUNTA(Mars!$C33:$AG33)</f>
        <v>0</v>
      </c>
      <c r="AI33" s="45">
        <f>(COUNTIFS(Mars!$C33:$AG33,("cp")))/2+Février!AI33</f>
        <v>8.5</v>
      </c>
      <c r="AJ33" s="45">
        <f>COUNTIFS(Mars!$C33:$AG33,"RTT")/2+Février!AJ33</f>
        <v>0</v>
      </c>
      <c r="AK33" s="45">
        <f>COUNTIFS(Mars!$C33:$AG33,"m")/2+Février!AK33</f>
        <v>0</v>
      </c>
      <c r="AL33" s="45">
        <f>COUNTIFS(Mars!$C33:$AG33,"a")/2+Février!AL33</f>
        <v>0</v>
      </c>
      <c r="AM33" s="46"/>
      <c r="AN33" s="47"/>
      <c r="AO33" s="47"/>
      <c r="AP33" s="46"/>
      <c r="AQ33" s="47"/>
      <c r="AR33" s="47"/>
      <c r="AS33" s="47"/>
    </row>
    <row r="34" spans="1:45" s="63" customFormat="1" ht="12.95" customHeight="1" x14ac:dyDescent="0.25">
      <c r="A34" s="48">
        <v>42110</v>
      </c>
      <c r="B34" s="42" t="s">
        <v>16</v>
      </c>
      <c r="C34" s="67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3"/>
      <c r="AE34" s="43"/>
      <c r="AF34" s="43"/>
      <c r="AG34" s="43"/>
      <c r="AH34" s="44">
        <f>COUNTA(Mars!$C34:$AG34)</f>
        <v>0</v>
      </c>
      <c r="AI34" s="45">
        <f>(COUNTIFS(Mars!$C34:$AG34,("cp")))/2+Février!AI34</f>
        <v>8.5</v>
      </c>
      <c r="AJ34" s="45">
        <f>COUNTIFS(Mars!$C34:$AG34,"RTT")/2+Février!AJ34</f>
        <v>0</v>
      </c>
      <c r="AK34" s="45">
        <f>COUNTIFS(Mars!$C34:$AG34,"m")/2+Février!AK34</f>
        <v>0</v>
      </c>
      <c r="AL34" s="45">
        <f>COUNTIFS(Mars!$C34:$AG34,"a")/2+Février!AL34</f>
        <v>0</v>
      </c>
      <c r="AM34" s="46"/>
      <c r="AN34" s="47"/>
      <c r="AO34" s="47"/>
      <c r="AP34" s="46"/>
      <c r="AQ34" s="47"/>
      <c r="AR34" s="47"/>
      <c r="AS34" s="101"/>
    </row>
    <row r="35" spans="1:45" s="63" customFormat="1" ht="12.95" customHeight="1" x14ac:dyDescent="0.25">
      <c r="A35" s="41"/>
      <c r="B35" s="42"/>
      <c r="C35" s="49" t="str">
        <f t="shared" ref="C35:AG35" si="11">IF(C33&gt;0,C33,IF(C34&gt;0,C34,""))</f>
        <v/>
      </c>
      <c r="D35" s="49" t="str">
        <f t="shared" si="11"/>
        <v/>
      </c>
      <c r="E35" s="49" t="str">
        <f t="shared" si="11"/>
        <v/>
      </c>
      <c r="F35" s="49" t="str">
        <f t="shared" si="11"/>
        <v/>
      </c>
      <c r="G35" s="49" t="str">
        <f t="shared" si="11"/>
        <v/>
      </c>
      <c r="H35" s="49" t="str">
        <f t="shared" si="11"/>
        <v/>
      </c>
      <c r="I35" s="49" t="str">
        <f t="shared" si="11"/>
        <v/>
      </c>
      <c r="J35" s="49" t="str">
        <f t="shared" si="11"/>
        <v/>
      </c>
      <c r="K35" s="49" t="str">
        <f t="shared" si="11"/>
        <v/>
      </c>
      <c r="L35" s="49" t="str">
        <f t="shared" si="11"/>
        <v/>
      </c>
      <c r="M35" s="49" t="str">
        <f t="shared" si="11"/>
        <v/>
      </c>
      <c r="N35" s="49" t="str">
        <f t="shared" si="11"/>
        <v/>
      </c>
      <c r="O35" s="49" t="str">
        <f t="shared" si="11"/>
        <v/>
      </c>
      <c r="P35" s="49" t="str">
        <f t="shared" si="11"/>
        <v/>
      </c>
      <c r="Q35" s="49" t="str">
        <f t="shared" si="11"/>
        <v/>
      </c>
      <c r="R35" s="49" t="str">
        <f t="shared" si="11"/>
        <v/>
      </c>
      <c r="S35" s="49" t="str">
        <f t="shared" si="11"/>
        <v/>
      </c>
      <c r="T35" s="49" t="str">
        <f t="shared" si="11"/>
        <v/>
      </c>
      <c r="U35" s="49" t="str">
        <f t="shared" si="11"/>
        <v/>
      </c>
      <c r="V35" s="49" t="str">
        <f t="shared" si="11"/>
        <v/>
      </c>
      <c r="W35" s="49" t="str">
        <f t="shared" si="11"/>
        <v/>
      </c>
      <c r="X35" s="49" t="str">
        <f t="shared" si="11"/>
        <v/>
      </c>
      <c r="Y35" s="49" t="str">
        <f t="shared" si="11"/>
        <v/>
      </c>
      <c r="Z35" s="49" t="str">
        <f t="shared" si="11"/>
        <v/>
      </c>
      <c r="AA35" s="49" t="str">
        <f t="shared" si="11"/>
        <v/>
      </c>
      <c r="AB35" s="49" t="str">
        <f t="shared" si="11"/>
        <v/>
      </c>
      <c r="AC35" s="49" t="str">
        <f t="shared" si="11"/>
        <v/>
      </c>
      <c r="AD35" s="49" t="str">
        <f t="shared" si="11"/>
        <v/>
      </c>
      <c r="AE35" s="49" t="str">
        <f t="shared" si="11"/>
        <v/>
      </c>
      <c r="AF35" s="49" t="str">
        <f t="shared" si="11"/>
        <v/>
      </c>
      <c r="AG35" s="49" t="str">
        <f t="shared" si="11"/>
        <v/>
      </c>
      <c r="AH35" s="44">
        <f>SUM(AH33:AH34)</f>
        <v>0</v>
      </c>
      <c r="AI35" s="45">
        <f>SUM(AI33:AI34)</f>
        <v>17</v>
      </c>
      <c r="AJ35" s="45">
        <f>SUM(AJ33:AJ34)</f>
        <v>0</v>
      </c>
      <c r="AK35" s="45">
        <f>SUM(AK33:AK34)</f>
        <v>0</v>
      </c>
      <c r="AL35" s="45">
        <f>SUM(AL33:AL34)</f>
        <v>0</v>
      </c>
      <c r="AM35" s="50">
        <f>Juin!AM35</f>
        <v>14.56</v>
      </c>
      <c r="AN35" s="51">
        <f>IF(A34="","",IF(A34&gt;NomMois,0,IF(A34&lt;$A$3,2.08,(NETWORKDAYS(A34,$A$2)/21.66667)*2.08)))</f>
        <v>2.08</v>
      </c>
      <c r="AO35" s="51">
        <f>IF( AN35="",0,+AN35+Février!AO35)</f>
        <v>20.799999999999997</v>
      </c>
      <c r="AP35" s="50">
        <f>IF(A34="","",IF(A34&gt;NomMois,0,IF(A34&lt;$A$3,1.5,(NETWORKDAYS(A34,$A$2)/21.66667)*1.5)))+Février!AP35</f>
        <v>4.5</v>
      </c>
      <c r="AQ35" s="45">
        <f>+AM35-AI35</f>
        <v>-2.4399999999999995</v>
      </c>
      <c r="AR35" s="45">
        <f>+IF(AP35="","",AP35-AJ35)</f>
        <v>4.5</v>
      </c>
      <c r="AS35" s="102">
        <f t="shared" si="10"/>
        <v>18.36</v>
      </c>
    </row>
    <row r="36" spans="1:45" s="63" customFormat="1" ht="6.75" customHeight="1" x14ac:dyDescent="0.25">
      <c r="A36" s="60"/>
      <c r="B36" s="53"/>
      <c r="C36" s="60"/>
      <c r="D36" s="60"/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0"/>
      <c r="Z36" s="60"/>
      <c r="AA36" s="60"/>
      <c r="AB36" s="60"/>
      <c r="AC36" s="60"/>
      <c r="AD36" s="60"/>
      <c r="AE36" s="60"/>
      <c r="AF36" s="60"/>
      <c r="AG36" s="60"/>
      <c r="AH36" s="61"/>
      <c r="AI36" s="61"/>
      <c r="AJ36" s="61"/>
      <c r="AK36" s="61"/>
      <c r="AL36" s="61"/>
      <c r="AM36" s="60"/>
      <c r="AN36" s="61"/>
      <c r="AO36" s="61"/>
      <c r="AP36" s="60"/>
      <c r="AQ36" s="61"/>
      <c r="AR36" s="61"/>
      <c r="AS36" s="65"/>
    </row>
    <row r="37" spans="1:45" s="63" customFormat="1" ht="12.95" customHeight="1" x14ac:dyDescent="0.25">
      <c r="A37" s="41"/>
      <c r="B37" s="42" t="s">
        <v>15</v>
      </c>
      <c r="C37" s="67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  <c r="AB37" s="43"/>
      <c r="AC37" s="43"/>
      <c r="AD37" s="43"/>
      <c r="AE37" s="43"/>
      <c r="AF37" s="43"/>
      <c r="AG37" s="43"/>
      <c r="AH37" s="44">
        <f>COUNTA(Mars!$C37:$AG37)</f>
        <v>0</v>
      </c>
      <c r="AI37" s="45">
        <f>(COUNTIFS(Mars!$C37:$AG37,("cp")))/2+Février!AI37</f>
        <v>6</v>
      </c>
      <c r="AJ37" s="45">
        <f>COUNTIFS(Mars!$C37:$AG37,"RTT")/2+Février!AJ37</f>
        <v>0</v>
      </c>
      <c r="AK37" s="45">
        <f>COUNTIFS(Mars!$C37:$AG37,"m")/2+Février!AK37</f>
        <v>0</v>
      </c>
      <c r="AL37" s="45">
        <f>COUNTIFS(Mars!$C37:$AG37,"a")/2+Février!AL37</f>
        <v>0</v>
      </c>
      <c r="AM37" s="46"/>
      <c r="AN37" s="47"/>
      <c r="AO37" s="47"/>
      <c r="AP37" s="46"/>
      <c r="AQ37" s="47"/>
      <c r="AR37" s="47"/>
      <c r="AS37" s="47"/>
    </row>
    <row r="38" spans="1:45" s="63" customFormat="1" ht="12.95" customHeight="1" x14ac:dyDescent="0.25">
      <c r="A38" s="48">
        <v>42373</v>
      </c>
      <c r="B38" s="42" t="s">
        <v>16</v>
      </c>
      <c r="C38" s="67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4">
        <f>COUNTA(Mars!$C38:$AG38)</f>
        <v>0</v>
      </c>
      <c r="AI38" s="45">
        <f>(COUNTIFS(Mars!$C38:$AG38,("cp")))/2+Février!AI38</f>
        <v>6</v>
      </c>
      <c r="AJ38" s="45">
        <f>COUNTIFS(Mars!$C38:$AG38,"RTT")/2+Février!AJ38</f>
        <v>0</v>
      </c>
      <c r="AK38" s="45">
        <f>COUNTIFS(Mars!$C38:$AG38,"m")/2+Février!AK38</f>
        <v>0</v>
      </c>
      <c r="AL38" s="45">
        <f>COUNTIFS(Mars!$C38:$AG38,"a")/2+Février!AL38</f>
        <v>0</v>
      </c>
      <c r="AM38" s="46"/>
      <c r="AN38" s="47"/>
      <c r="AO38" s="47"/>
      <c r="AP38" s="46"/>
      <c r="AQ38" s="47"/>
      <c r="AR38" s="47"/>
      <c r="AS38" s="101"/>
    </row>
    <row r="39" spans="1:45" s="63" customFormat="1" ht="12.95" customHeight="1" x14ac:dyDescent="0.25">
      <c r="A39" s="41"/>
      <c r="B39" s="42"/>
      <c r="C39" s="49" t="str">
        <f t="shared" ref="C39:AG39" si="12">IF(C37&gt;0,C37,IF(C38&gt;0,C38,""))</f>
        <v/>
      </c>
      <c r="D39" s="49" t="str">
        <f t="shared" si="12"/>
        <v/>
      </c>
      <c r="E39" s="49" t="str">
        <f t="shared" si="12"/>
        <v/>
      </c>
      <c r="F39" s="49" t="str">
        <f t="shared" si="12"/>
        <v/>
      </c>
      <c r="G39" s="49" t="str">
        <f t="shared" si="12"/>
        <v/>
      </c>
      <c r="H39" s="49" t="str">
        <f t="shared" si="12"/>
        <v/>
      </c>
      <c r="I39" s="49" t="str">
        <f t="shared" si="12"/>
        <v/>
      </c>
      <c r="J39" s="49" t="str">
        <f t="shared" si="12"/>
        <v/>
      </c>
      <c r="K39" s="49" t="str">
        <f t="shared" si="12"/>
        <v/>
      </c>
      <c r="L39" s="49" t="str">
        <f t="shared" si="12"/>
        <v/>
      </c>
      <c r="M39" s="49" t="str">
        <f t="shared" si="12"/>
        <v/>
      </c>
      <c r="N39" s="49" t="str">
        <f t="shared" si="12"/>
        <v/>
      </c>
      <c r="O39" s="49" t="str">
        <f t="shared" si="12"/>
        <v/>
      </c>
      <c r="P39" s="49" t="str">
        <f t="shared" si="12"/>
        <v/>
      </c>
      <c r="Q39" s="49" t="str">
        <f t="shared" si="12"/>
        <v/>
      </c>
      <c r="R39" s="49" t="str">
        <f t="shared" si="12"/>
        <v/>
      </c>
      <c r="S39" s="49" t="str">
        <f t="shared" si="12"/>
        <v/>
      </c>
      <c r="T39" s="49" t="str">
        <f t="shared" si="12"/>
        <v/>
      </c>
      <c r="U39" s="49" t="str">
        <f t="shared" si="12"/>
        <v/>
      </c>
      <c r="V39" s="49" t="str">
        <f t="shared" si="12"/>
        <v/>
      </c>
      <c r="W39" s="49" t="str">
        <f t="shared" si="12"/>
        <v/>
      </c>
      <c r="X39" s="49" t="str">
        <f t="shared" si="12"/>
        <v/>
      </c>
      <c r="Y39" s="49" t="str">
        <f t="shared" si="12"/>
        <v/>
      </c>
      <c r="Z39" s="49" t="str">
        <f t="shared" si="12"/>
        <v/>
      </c>
      <c r="AA39" s="49" t="str">
        <f t="shared" si="12"/>
        <v/>
      </c>
      <c r="AB39" s="49" t="str">
        <f t="shared" si="12"/>
        <v/>
      </c>
      <c r="AC39" s="49" t="str">
        <f t="shared" si="12"/>
        <v/>
      </c>
      <c r="AD39" s="49" t="str">
        <f t="shared" si="12"/>
        <v/>
      </c>
      <c r="AE39" s="49" t="str">
        <f t="shared" si="12"/>
        <v/>
      </c>
      <c r="AF39" s="49" t="str">
        <f t="shared" si="12"/>
        <v/>
      </c>
      <c r="AG39" s="49" t="str">
        <f t="shared" si="12"/>
        <v/>
      </c>
      <c r="AH39" s="44">
        <f>SUM(AH37:AH38)</f>
        <v>0</v>
      </c>
      <c r="AI39" s="45">
        <f>SUM(AI37:AI38)</f>
        <v>12</v>
      </c>
      <c r="AJ39" s="45">
        <f>SUM(AJ37:AJ38)</f>
        <v>0</v>
      </c>
      <c r="AK39" s="45">
        <f>SUM(AK37:AK38)</f>
        <v>0</v>
      </c>
      <c r="AL39" s="45">
        <f>SUM(AL37:AL38)</f>
        <v>0</v>
      </c>
      <c r="AM39" s="50">
        <f>Juin!AM39</f>
        <v>14.14</v>
      </c>
      <c r="AN39" s="51">
        <f>IF(A38="","",IF(A38&gt;NomMois,0,IF(A38&lt;$A$3,2.08,(NETWORKDAYS(A38,$A$2)/21.66667)*2.08)))</f>
        <v>2.08</v>
      </c>
      <c r="AO39" s="51">
        <f>IF( AN39="",0,+AN39+Février!AO39)</f>
        <v>20.799999999999997</v>
      </c>
      <c r="AP39" s="50">
        <f>IF(A38="","",IF(A38&gt;NomMois,0,IF(A38&lt;$A$3,1.5,(NETWORKDAYS(A38,$A$2)/21.66667)*1.5)))+Février!AP39</f>
        <v>4.5</v>
      </c>
      <c r="AQ39" s="45">
        <f>+AM39-AI39</f>
        <v>2.1400000000000006</v>
      </c>
      <c r="AR39" s="45">
        <f>+IF(AP39="","",AP39-AJ39)</f>
        <v>4.5</v>
      </c>
      <c r="AS39" s="102">
        <f t="shared" si="10"/>
        <v>22.939999999999998</v>
      </c>
    </row>
    <row r="40" spans="1:45" s="63" customFormat="1" ht="6.75" customHeight="1" x14ac:dyDescent="0.25">
      <c r="A40" s="60"/>
      <c r="B40" s="53"/>
      <c r="C40" s="60"/>
      <c r="D40" s="60"/>
      <c r="E40" s="60"/>
      <c r="F40" s="60"/>
      <c r="G40" s="60"/>
      <c r="H40" s="60"/>
      <c r="I40" s="60"/>
      <c r="J40" s="60"/>
      <c r="K40" s="60"/>
      <c r="L40" s="60"/>
      <c r="M40" s="60"/>
      <c r="N40" s="60"/>
      <c r="O40" s="60"/>
      <c r="P40" s="60"/>
      <c r="Q40" s="60"/>
      <c r="R40" s="60"/>
      <c r="S40" s="60"/>
      <c r="T40" s="60"/>
      <c r="U40" s="60"/>
      <c r="V40" s="60"/>
      <c r="W40" s="60"/>
      <c r="X40" s="60"/>
      <c r="Y40" s="60"/>
      <c r="Z40" s="60"/>
      <c r="AA40" s="60"/>
      <c r="AB40" s="60"/>
      <c r="AC40" s="60"/>
      <c r="AD40" s="60"/>
      <c r="AE40" s="60"/>
      <c r="AF40" s="60"/>
      <c r="AG40" s="60"/>
      <c r="AH40" s="61"/>
      <c r="AI40" s="61"/>
      <c r="AJ40" s="61"/>
      <c r="AK40" s="61"/>
      <c r="AL40" s="61"/>
      <c r="AM40" s="60"/>
      <c r="AN40" s="61"/>
      <c r="AO40" s="61"/>
      <c r="AP40" s="60"/>
      <c r="AQ40" s="61"/>
      <c r="AR40" s="61"/>
      <c r="AS40" s="65"/>
    </row>
    <row r="41" spans="1:45" s="63" customFormat="1" ht="12.95" customHeight="1" x14ac:dyDescent="0.25">
      <c r="A41" s="41"/>
      <c r="B41" s="42" t="s">
        <v>15</v>
      </c>
      <c r="C41" s="67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4">
        <f>COUNTA(Mars!$C41:$AG41)</f>
        <v>0</v>
      </c>
      <c r="AI41" s="45">
        <f>(COUNTIFS(Mars!$C41:$AG41,("cp")))/2+Février!AI41</f>
        <v>7.5</v>
      </c>
      <c r="AJ41" s="45">
        <f>COUNTIFS(Mars!$C41:$AG41,"RTT")/2+Février!AJ41</f>
        <v>0</v>
      </c>
      <c r="AK41" s="45">
        <f>COUNTIFS(Mars!$C41:$AG41,"m")/2+Février!AK41</f>
        <v>0</v>
      </c>
      <c r="AL41" s="45">
        <f>COUNTIFS(Mars!$C41:$AG41,"a")/2+Février!AL41</f>
        <v>0</v>
      </c>
      <c r="AM41" s="46"/>
      <c r="AN41" s="47"/>
      <c r="AO41" s="47"/>
      <c r="AP41" s="46"/>
      <c r="AQ41" s="47"/>
      <c r="AR41" s="47"/>
      <c r="AS41" s="47"/>
    </row>
    <row r="42" spans="1:45" s="63" customFormat="1" ht="12.95" customHeight="1" x14ac:dyDescent="0.25">
      <c r="A42" s="48">
        <v>41821</v>
      </c>
      <c r="B42" s="42" t="s">
        <v>16</v>
      </c>
      <c r="C42" s="67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3"/>
      <c r="AE42" s="43"/>
      <c r="AF42" s="43"/>
      <c r="AG42" s="43"/>
      <c r="AH42" s="44">
        <f>COUNTA(Mars!$C42:$AG42)</f>
        <v>0</v>
      </c>
      <c r="AI42" s="45">
        <f>(COUNTIFS(Mars!$C42:$AG42,("cp")))/2+Février!AI42</f>
        <v>7.5</v>
      </c>
      <c r="AJ42" s="45">
        <f>COUNTIFS(Mars!$C42:$AG42,"RTT")/2+Février!AJ42</f>
        <v>0</v>
      </c>
      <c r="AK42" s="45">
        <f>COUNTIFS(Mars!$C42:$AG42,"m")/2+Février!AK42</f>
        <v>0</v>
      </c>
      <c r="AL42" s="45">
        <f>COUNTIFS(Mars!$C42:$AG42,"a")/2+Février!AL42</f>
        <v>0</v>
      </c>
      <c r="AM42" s="46"/>
      <c r="AN42" s="47"/>
      <c r="AO42" s="47"/>
      <c r="AP42" s="46"/>
      <c r="AQ42" s="47"/>
      <c r="AR42" s="47"/>
      <c r="AS42" s="101"/>
    </row>
    <row r="43" spans="1:45" s="63" customFormat="1" ht="12.95" customHeight="1" x14ac:dyDescent="0.25">
      <c r="A43" s="41"/>
      <c r="B43" s="42"/>
      <c r="C43" s="49" t="str">
        <f t="shared" ref="C43:AG43" si="13">IF(C41&gt;0,C41,IF(C42&gt;0,C42,""))</f>
        <v/>
      </c>
      <c r="D43" s="49" t="str">
        <f t="shared" si="13"/>
        <v/>
      </c>
      <c r="E43" s="49" t="str">
        <f t="shared" si="13"/>
        <v/>
      </c>
      <c r="F43" s="49" t="str">
        <f t="shared" si="13"/>
        <v/>
      </c>
      <c r="G43" s="49" t="str">
        <f t="shared" si="13"/>
        <v/>
      </c>
      <c r="H43" s="49" t="str">
        <f t="shared" si="13"/>
        <v/>
      </c>
      <c r="I43" s="49" t="str">
        <f t="shared" si="13"/>
        <v/>
      </c>
      <c r="J43" s="49" t="str">
        <f t="shared" si="13"/>
        <v/>
      </c>
      <c r="K43" s="49" t="str">
        <f t="shared" si="13"/>
        <v/>
      </c>
      <c r="L43" s="49" t="str">
        <f t="shared" si="13"/>
        <v/>
      </c>
      <c r="M43" s="49" t="str">
        <f t="shared" si="13"/>
        <v/>
      </c>
      <c r="N43" s="49" t="str">
        <f t="shared" si="13"/>
        <v/>
      </c>
      <c r="O43" s="49" t="str">
        <f t="shared" si="13"/>
        <v/>
      </c>
      <c r="P43" s="49" t="str">
        <f t="shared" si="13"/>
        <v/>
      </c>
      <c r="Q43" s="49" t="str">
        <f t="shared" si="13"/>
        <v/>
      </c>
      <c r="R43" s="49" t="str">
        <f t="shared" si="13"/>
        <v/>
      </c>
      <c r="S43" s="49" t="str">
        <f t="shared" si="13"/>
        <v/>
      </c>
      <c r="T43" s="49" t="str">
        <f t="shared" si="13"/>
        <v/>
      </c>
      <c r="U43" s="49" t="str">
        <f t="shared" si="13"/>
        <v/>
      </c>
      <c r="V43" s="49" t="str">
        <f t="shared" si="13"/>
        <v/>
      </c>
      <c r="W43" s="49" t="str">
        <f t="shared" si="13"/>
        <v/>
      </c>
      <c r="X43" s="49" t="str">
        <f t="shared" si="13"/>
        <v/>
      </c>
      <c r="Y43" s="49" t="str">
        <f t="shared" si="13"/>
        <v/>
      </c>
      <c r="Z43" s="49" t="str">
        <f t="shared" si="13"/>
        <v/>
      </c>
      <c r="AA43" s="49" t="str">
        <f t="shared" si="13"/>
        <v/>
      </c>
      <c r="AB43" s="49" t="str">
        <f t="shared" si="13"/>
        <v/>
      </c>
      <c r="AC43" s="49" t="str">
        <f t="shared" si="13"/>
        <v/>
      </c>
      <c r="AD43" s="49" t="str">
        <f t="shared" si="13"/>
        <v/>
      </c>
      <c r="AE43" s="49" t="str">
        <f t="shared" si="13"/>
        <v/>
      </c>
      <c r="AF43" s="49" t="str">
        <f t="shared" si="13"/>
        <v/>
      </c>
      <c r="AG43" s="49" t="str">
        <f t="shared" si="13"/>
        <v/>
      </c>
      <c r="AH43" s="44">
        <f>SUM(AH41:AH42)</f>
        <v>0</v>
      </c>
      <c r="AI43" s="45">
        <f>SUM(AI41:AI42)</f>
        <v>15</v>
      </c>
      <c r="AJ43" s="45">
        <f>SUM(AJ41:AJ42)</f>
        <v>0</v>
      </c>
      <c r="AK43" s="45">
        <f>SUM(AK41:AK42)</f>
        <v>0</v>
      </c>
      <c r="AL43" s="45">
        <f>SUM(AL41:AL42)</f>
        <v>0</v>
      </c>
      <c r="AM43" s="50">
        <f>Juin!AM43</f>
        <v>20.38</v>
      </c>
      <c r="AN43" s="51">
        <f>IF(A42="","",IF(A42&gt;NomMois,0,IF(A42&lt;$A$3,2.08,(NETWORKDAYS(A42,$A$2)/21.66667)*2.08)))</f>
        <v>2.08</v>
      </c>
      <c r="AO43" s="51">
        <f>IF( AN43="",0,+AN43+Février!AO43)</f>
        <v>20.799999999999997</v>
      </c>
      <c r="AP43" s="50">
        <f>IF(A42="","",IF(A42&gt;NomMois,0,IF(A42&lt;$A$3,1.5,(NETWORKDAYS(A42,$A$2)/21.66667)*1.5)))+Février!AP43</f>
        <v>4.5</v>
      </c>
      <c r="AQ43" s="45">
        <f>+AM43-AI43</f>
        <v>5.379999999999999</v>
      </c>
      <c r="AR43" s="45">
        <f>+IF(AP43="","",AP43-AJ43)</f>
        <v>4.5</v>
      </c>
      <c r="AS43" s="102">
        <f t="shared" si="10"/>
        <v>26.179999999999996</v>
      </c>
    </row>
    <row r="44" spans="1:45" s="63" customFormat="1" ht="6.75" customHeight="1" x14ac:dyDescent="0.25">
      <c r="A44" s="60"/>
      <c r="B44" s="53"/>
      <c r="C44" s="60"/>
      <c r="D44" s="60"/>
      <c r="E44" s="60"/>
      <c r="F44" s="60"/>
      <c r="G44" s="60"/>
      <c r="H44" s="60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61"/>
      <c r="AI44" s="61"/>
      <c r="AJ44" s="61"/>
      <c r="AK44" s="61"/>
      <c r="AL44" s="61"/>
      <c r="AM44" s="60"/>
      <c r="AN44" s="61"/>
      <c r="AO44" s="61"/>
      <c r="AP44" s="60"/>
      <c r="AQ44" s="69"/>
      <c r="AR44" s="69"/>
      <c r="AS44" s="65"/>
    </row>
    <row r="45" spans="1:45" s="63" customFormat="1" ht="12.95" customHeight="1" x14ac:dyDescent="0.25">
      <c r="A45" s="41"/>
      <c r="B45" s="42" t="s">
        <v>15</v>
      </c>
      <c r="C45" s="67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4">
        <f>COUNTA(Mars!$C45:$AG45)</f>
        <v>0</v>
      </c>
      <c r="AI45" s="45">
        <f>(COUNTIFS(Mars!$C45:$AG45,("cp")))/2+Février!AI45</f>
        <v>5.5</v>
      </c>
      <c r="AJ45" s="45">
        <f>COUNTIFS(Mars!$C45:$AG45,"RTT")/2+Février!AJ45</f>
        <v>0</v>
      </c>
      <c r="AK45" s="45">
        <f>COUNTIFS(Mars!$C45:$AG45,"m")/2+Février!AK45</f>
        <v>0</v>
      </c>
      <c r="AL45" s="45">
        <f>COUNTIFS(Mars!$C45:$AG45,"a")/2+Février!AL45</f>
        <v>0</v>
      </c>
      <c r="AM45" s="46"/>
      <c r="AN45" s="47"/>
      <c r="AO45" s="47"/>
      <c r="AP45" s="46"/>
      <c r="AQ45" s="47"/>
      <c r="AR45" s="47"/>
      <c r="AS45" s="47"/>
    </row>
    <row r="46" spans="1:45" s="63" customFormat="1" ht="12.95" customHeight="1" x14ac:dyDescent="0.25">
      <c r="A46" s="48">
        <v>40575</v>
      </c>
      <c r="B46" s="42" t="s">
        <v>16</v>
      </c>
      <c r="C46" s="67"/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3"/>
      <c r="AC46" s="43"/>
      <c r="AD46" s="43"/>
      <c r="AE46" s="43"/>
      <c r="AF46" s="43"/>
      <c r="AG46" s="43"/>
      <c r="AH46" s="44">
        <f>COUNTA(Mars!$C46:$AG46)</f>
        <v>0</v>
      </c>
      <c r="AI46" s="45">
        <f>(COUNTIFS(Mars!$C46:$AG46,("cp")))/2+Février!AI46</f>
        <v>6</v>
      </c>
      <c r="AJ46" s="45">
        <f>COUNTIFS(Mars!$C46:$AG46,"RTT")/2+Février!AJ46</f>
        <v>0</v>
      </c>
      <c r="AK46" s="45">
        <f>COUNTIFS(Mars!$C46:$AG46,"m")/2+Février!AK46</f>
        <v>0</v>
      </c>
      <c r="AL46" s="45">
        <f>COUNTIFS(Mars!$C46:$AG46,"a")/2+Février!AL46</f>
        <v>0</v>
      </c>
      <c r="AM46" s="46"/>
      <c r="AN46" s="47"/>
      <c r="AO46" s="47"/>
      <c r="AP46" s="46"/>
      <c r="AQ46" s="47"/>
      <c r="AR46" s="47"/>
      <c r="AS46" s="101"/>
    </row>
    <row r="47" spans="1:45" s="63" customFormat="1" ht="12.95" customHeight="1" x14ac:dyDescent="0.25">
      <c r="A47" s="41"/>
      <c r="B47" s="42"/>
      <c r="C47" s="49" t="str">
        <f t="shared" ref="C47:AG47" si="14">IF(C45&gt;0,C45,IF(C46&gt;0,C46,""))</f>
        <v/>
      </c>
      <c r="D47" s="49" t="str">
        <f t="shared" si="14"/>
        <v/>
      </c>
      <c r="E47" s="49" t="str">
        <f t="shared" si="14"/>
        <v/>
      </c>
      <c r="F47" s="49" t="str">
        <f t="shared" si="14"/>
        <v/>
      </c>
      <c r="G47" s="49" t="str">
        <f t="shared" si="14"/>
        <v/>
      </c>
      <c r="H47" s="49" t="str">
        <f t="shared" si="14"/>
        <v/>
      </c>
      <c r="I47" s="49" t="str">
        <f t="shared" si="14"/>
        <v/>
      </c>
      <c r="J47" s="49" t="str">
        <f t="shared" si="14"/>
        <v/>
      </c>
      <c r="K47" s="49" t="str">
        <f t="shared" si="14"/>
        <v/>
      </c>
      <c r="L47" s="49" t="str">
        <f t="shared" si="14"/>
        <v/>
      </c>
      <c r="M47" s="49" t="str">
        <f t="shared" si="14"/>
        <v/>
      </c>
      <c r="N47" s="49" t="str">
        <f t="shared" si="14"/>
        <v/>
      </c>
      <c r="O47" s="49" t="str">
        <f t="shared" si="14"/>
        <v/>
      </c>
      <c r="P47" s="49" t="str">
        <f t="shared" si="14"/>
        <v/>
      </c>
      <c r="Q47" s="49" t="str">
        <f t="shared" si="14"/>
        <v/>
      </c>
      <c r="R47" s="49" t="str">
        <f t="shared" si="14"/>
        <v/>
      </c>
      <c r="S47" s="49" t="str">
        <f t="shared" si="14"/>
        <v/>
      </c>
      <c r="T47" s="49" t="str">
        <f t="shared" si="14"/>
        <v/>
      </c>
      <c r="U47" s="49" t="str">
        <f t="shared" si="14"/>
        <v/>
      </c>
      <c r="V47" s="49" t="str">
        <f t="shared" si="14"/>
        <v/>
      </c>
      <c r="W47" s="49" t="str">
        <f t="shared" si="14"/>
        <v/>
      </c>
      <c r="X47" s="49" t="str">
        <f t="shared" si="14"/>
        <v/>
      </c>
      <c r="Y47" s="49" t="str">
        <f t="shared" si="14"/>
        <v/>
      </c>
      <c r="Z47" s="49" t="str">
        <f t="shared" si="14"/>
        <v/>
      </c>
      <c r="AA47" s="49" t="str">
        <f t="shared" si="14"/>
        <v/>
      </c>
      <c r="AB47" s="49" t="str">
        <f t="shared" si="14"/>
        <v/>
      </c>
      <c r="AC47" s="49" t="str">
        <f t="shared" si="14"/>
        <v/>
      </c>
      <c r="AD47" s="49" t="str">
        <f t="shared" si="14"/>
        <v/>
      </c>
      <c r="AE47" s="49" t="str">
        <f t="shared" si="14"/>
        <v/>
      </c>
      <c r="AF47" s="49" t="str">
        <f t="shared" si="14"/>
        <v/>
      </c>
      <c r="AG47" s="49" t="str">
        <f t="shared" si="14"/>
        <v/>
      </c>
      <c r="AH47" s="44">
        <f>SUM(AH45:AH46)</f>
        <v>0</v>
      </c>
      <c r="AI47" s="45">
        <f>SUM(AI45:AI46)</f>
        <v>11.5</v>
      </c>
      <c r="AJ47" s="45">
        <f>SUM(AJ45:AJ46)</f>
        <v>0</v>
      </c>
      <c r="AK47" s="45">
        <f>SUM(AK45:AK46)</f>
        <v>0</v>
      </c>
      <c r="AL47" s="45">
        <f>SUM(AL45:AL46)</f>
        <v>0</v>
      </c>
      <c r="AM47" s="50">
        <f>Juin!AM47</f>
        <v>24.96</v>
      </c>
      <c r="AN47" s="51">
        <f>IF(A46="","",IF(A46&gt;NomMois,0,IF(A46&lt;$A$3,2.08,(NETWORKDAYS(A46,$A$2)/21.66667)*2.08)))</f>
        <v>2.08</v>
      </c>
      <c r="AO47" s="51">
        <f>IF( AN47="",0,+AN47+Février!AO47)</f>
        <v>20.799999999999997</v>
      </c>
      <c r="AP47" s="50">
        <f>IF(A46="","",IF(A46&gt;NomMois,0,IF(A46&lt;$A$3,1.5,(NETWORKDAYS(A46,$A$2)/21.66667)*1.5)))+Février!AP47</f>
        <v>4.5</v>
      </c>
      <c r="AQ47" s="45">
        <f>+AM47-AI47</f>
        <v>13.46</v>
      </c>
      <c r="AR47" s="45">
        <f>+IF(AP47="","",AP47-AJ47)</f>
        <v>4.5</v>
      </c>
      <c r="AS47" s="102">
        <f t="shared" si="10"/>
        <v>34.26</v>
      </c>
    </row>
    <row r="48" spans="1:45" s="63" customFormat="1" ht="6.75" customHeight="1" x14ac:dyDescent="0.25">
      <c r="A48" s="60"/>
      <c r="B48" s="53"/>
      <c r="C48" s="60"/>
      <c r="D48" s="60"/>
      <c r="E48" s="60"/>
      <c r="F48" s="60"/>
      <c r="G48" s="60"/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60"/>
      <c r="Z48" s="60"/>
      <c r="AA48" s="60"/>
      <c r="AB48" s="60"/>
      <c r="AC48" s="60"/>
      <c r="AD48" s="60"/>
      <c r="AE48" s="60"/>
      <c r="AF48" s="60"/>
      <c r="AG48" s="60"/>
      <c r="AH48" s="61"/>
      <c r="AI48" s="61"/>
      <c r="AJ48" s="61"/>
      <c r="AK48" s="61"/>
      <c r="AL48" s="61"/>
      <c r="AM48" s="60"/>
      <c r="AN48" s="61"/>
      <c r="AO48" s="61"/>
      <c r="AP48" s="60"/>
      <c r="AQ48" s="69"/>
      <c r="AR48" s="69"/>
      <c r="AS48" s="65"/>
    </row>
    <row r="49" spans="1:45" s="63" customFormat="1" ht="12.95" customHeight="1" x14ac:dyDescent="0.25">
      <c r="A49" s="41"/>
      <c r="B49" s="42" t="s">
        <v>15</v>
      </c>
      <c r="C49" s="67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  <c r="AA49" s="43"/>
      <c r="AB49" s="43"/>
      <c r="AC49" s="43"/>
      <c r="AD49" s="43"/>
      <c r="AE49" s="43"/>
      <c r="AF49" s="43"/>
      <c r="AG49" s="43"/>
      <c r="AH49" s="44">
        <f>COUNTA(Mars!$C49:$AG49)</f>
        <v>0</v>
      </c>
      <c r="AI49" s="45">
        <f>(COUNTIFS(Mars!$C49:$AG49,("cp")))/2+Février!AI49</f>
        <v>3</v>
      </c>
      <c r="AJ49" s="45">
        <f>COUNTIFS(Mars!$C49:$AG49,"RTT")/2+Février!AJ49</f>
        <v>0</v>
      </c>
      <c r="AK49" s="45">
        <f>COUNTIFS(Mars!$C49:$AG49,"m")/2+Février!AK49</f>
        <v>0</v>
      </c>
      <c r="AL49" s="45">
        <f>COUNTIFS(Mars!$C49:$AG49,"a")/2+Février!AL49</f>
        <v>0</v>
      </c>
      <c r="AM49" s="46"/>
      <c r="AN49" s="47"/>
      <c r="AO49" s="47"/>
      <c r="AP49" s="46"/>
      <c r="AQ49" s="47"/>
      <c r="AR49" s="47"/>
      <c r="AS49" s="47"/>
    </row>
    <row r="50" spans="1:45" s="63" customFormat="1" ht="12.95" customHeight="1" x14ac:dyDescent="0.25">
      <c r="A50" s="48">
        <v>42793</v>
      </c>
      <c r="B50" s="42" t="s">
        <v>16</v>
      </c>
      <c r="C50" s="67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  <c r="AA50" s="43"/>
      <c r="AB50" s="43"/>
      <c r="AC50" s="43"/>
      <c r="AD50" s="43"/>
      <c r="AE50" s="43"/>
      <c r="AF50" s="43"/>
      <c r="AG50" s="43"/>
      <c r="AH50" s="44">
        <f>COUNTA(Mars!$C50:$AG50)</f>
        <v>0</v>
      </c>
      <c r="AI50" s="45">
        <f>(COUNTIFS(Mars!$C50:$AG50,("cp")))/2+Février!AI50</f>
        <v>3</v>
      </c>
      <c r="AJ50" s="45">
        <f>COUNTIFS(Mars!$C50:$AG50,"RTT")/2+Février!AJ50</f>
        <v>0</v>
      </c>
      <c r="AK50" s="45">
        <f>COUNTIFS(Mars!$C50:$AG50,"m")/2+Février!AK50</f>
        <v>0</v>
      </c>
      <c r="AL50" s="45">
        <f>COUNTIFS(Mars!$C50:$AG50,"a")/2+Février!AL50</f>
        <v>0</v>
      </c>
      <c r="AM50" s="46"/>
      <c r="AN50" s="47"/>
      <c r="AO50" s="47"/>
      <c r="AP50" s="46"/>
      <c r="AQ50" s="47"/>
      <c r="AR50" s="47"/>
      <c r="AS50" s="101"/>
    </row>
    <row r="51" spans="1:45" s="63" customFormat="1" ht="12.95" customHeight="1" x14ac:dyDescent="0.25">
      <c r="A51" s="41"/>
      <c r="B51" s="42"/>
      <c r="C51" s="49" t="str">
        <f t="shared" ref="C51:AG51" si="15">IF(C49&gt;0,C49,IF(C50&gt;0,C50,""))</f>
        <v/>
      </c>
      <c r="D51" s="49" t="str">
        <f t="shared" si="15"/>
        <v/>
      </c>
      <c r="E51" s="49" t="str">
        <f t="shared" si="15"/>
        <v/>
      </c>
      <c r="F51" s="49" t="str">
        <f t="shared" si="15"/>
        <v/>
      </c>
      <c r="G51" s="49" t="str">
        <f t="shared" si="15"/>
        <v/>
      </c>
      <c r="H51" s="49" t="str">
        <f t="shared" si="15"/>
        <v/>
      </c>
      <c r="I51" s="49" t="str">
        <f t="shared" si="15"/>
        <v/>
      </c>
      <c r="J51" s="49" t="str">
        <f t="shared" si="15"/>
        <v/>
      </c>
      <c r="K51" s="49" t="str">
        <f t="shared" si="15"/>
        <v/>
      </c>
      <c r="L51" s="49" t="str">
        <f t="shared" si="15"/>
        <v/>
      </c>
      <c r="M51" s="49" t="str">
        <f t="shared" si="15"/>
        <v/>
      </c>
      <c r="N51" s="49" t="str">
        <f t="shared" si="15"/>
        <v/>
      </c>
      <c r="O51" s="49" t="str">
        <f t="shared" si="15"/>
        <v/>
      </c>
      <c r="P51" s="49" t="str">
        <f t="shared" si="15"/>
        <v/>
      </c>
      <c r="Q51" s="49" t="str">
        <f t="shared" si="15"/>
        <v/>
      </c>
      <c r="R51" s="49" t="str">
        <f t="shared" si="15"/>
        <v/>
      </c>
      <c r="S51" s="49" t="str">
        <f t="shared" si="15"/>
        <v/>
      </c>
      <c r="T51" s="49" t="str">
        <f t="shared" si="15"/>
        <v/>
      </c>
      <c r="U51" s="49" t="str">
        <f t="shared" si="15"/>
        <v/>
      </c>
      <c r="V51" s="49" t="str">
        <f t="shared" si="15"/>
        <v/>
      </c>
      <c r="W51" s="49" t="str">
        <f t="shared" si="15"/>
        <v/>
      </c>
      <c r="X51" s="49" t="str">
        <f t="shared" si="15"/>
        <v/>
      </c>
      <c r="Y51" s="49" t="str">
        <f t="shared" si="15"/>
        <v/>
      </c>
      <c r="Z51" s="49" t="str">
        <f t="shared" si="15"/>
        <v/>
      </c>
      <c r="AA51" s="49" t="str">
        <f t="shared" si="15"/>
        <v/>
      </c>
      <c r="AB51" s="49" t="str">
        <f t="shared" si="15"/>
        <v/>
      </c>
      <c r="AC51" s="49" t="str">
        <f t="shared" si="15"/>
        <v/>
      </c>
      <c r="AD51" s="49" t="str">
        <f t="shared" si="15"/>
        <v/>
      </c>
      <c r="AE51" s="49" t="str">
        <f t="shared" si="15"/>
        <v/>
      </c>
      <c r="AF51" s="49" t="str">
        <f t="shared" si="15"/>
        <v/>
      </c>
      <c r="AG51" s="49" t="str">
        <f t="shared" si="15"/>
        <v/>
      </c>
      <c r="AH51" s="44">
        <f>SUM(AH49:AH50)</f>
        <v>0</v>
      </c>
      <c r="AI51" s="45">
        <f>SUM(AI49:AI50)</f>
        <v>6</v>
      </c>
      <c r="AJ51" s="45">
        <f>SUM(AJ49:AJ50)</f>
        <v>0</v>
      </c>
      <c r="AK51" s="45">
        <f>SUM(AK49:AK50)</f>
        <v>0</v>
      </c>
      <c r="AL51" s="45">
        <f>SUM(AL49:AL50)</f>
        <v>0</v>
      </c>
      <c r="AM51" s="50">
        <f>Juin!AM51</f>
        <v>6.41</v>
      </c>
      <c r="AN51" s="51">
        <f>IF(A50="","",IF(A50&gt;NomMois,0,IF(A50&lt;$A$3,2.08,(NETWORKDAYS(A50,$A$2)/21.66667)*2.08)))</f>
        <v>2.08</v>
      </c>
      <c r="AO51" s="51">
        <f>IF( AN51="",0,+AN51+Février!AO51)</f>
        <v>20.799999999999997</v>
      </c>
      <c r="AP51" s="50">
        <f>IF(A50="","",IF(A50&gt;NomMois,0,IF(A50&lt;$A$3,1.5,(NETWORKDAYS(A50,$A$2)/21.66667)*1.5)))+Février!AP51</f>
        <v>4.5</v>
      </c>
      <c r="AQ51" s="45">
        <f>+AM51-AI51</f>
        <v>0.41000000000000014</v>
      </c>
      <c r="AR51" s="45">
        <f>+IF(AP51="","",AP51-AJ51)</f>
        <v>4.5</v>
      </c>
      <c r="AS51" s="102">
        <f t="shared" si="10"/>
        <v>21.209999999999997</v>
      </c>
    </row>
    <row r="52" spans="1:45" s="63" customFormat="1" ht="6.75" customHeight="1" x14ac:dyDescent="0.25">
      <c r="A52" s="60"/>
      <c r="B52" s="53"/>
      <c r="C52" s="60"/>
      <c r="D52" s="60"/>
      <c r="E52" s="60"/>
      <c r="F52" s="60"/>
      <c r="G52" s="60"/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0"/>
      <c r="W52" s="60"/>
      <c r="X52" s="60"/>
      <c r="Y52" s="60"/>
      <c r="Z52" s="60"/>
      <c r="AA52" s="60"/>
      <c r="AB52" s="60"/>
      <c r="AC52" s="60"/>
      <c r="AD52" s="60"/>
      <c r="AE52" s="60"/>
      <c r="AF52" s="60"/>
      <c r="AG52" s="60"/>
      <c r="AH52" s="61"/>
      <c r="AI52" s="61"/>
      <c r="AJ52" s="61"/>
      <c r="AK52" s="61"/>
      <c r="AL52" s="61"/>
      <c r="AM52" s="60"/>
      <c r="AN52" s="61"/>
      <c r="AO52" s="61"/>
      <c r="AP52" s="60"/>
      <c r="AQ52" s="69"/>
      <c r="AR52" s="69"/>
      <c r="AS52" s="65"/>
    </row>
    <row r="53" spans="1:45" s="63" customFormat="1" ht="12.95" customHeight="1" x14ac:dyDescent="0.25">
      <c r="A53" s="41"/>
      <c r="B53" s="42" t="s">
        <v>15</v>
      </c>
      <c r="C53" s="67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  <c r="AA53" s="43"/>
      <c r="AB53" s="43"/>
      <c r="AC53" s="43"/>
      <c r="AD53" s="43"/>
      <c r="AE53" s="43"/>
      <c r="AF53" s="43"/>
      <c r="AG53" s="43"/>
      <c r="AH53" s="44">
        <f>COUNTA(Mars!$C53:$AG53)</f>
        <v>0</v>
      </c>
      <c r="AI53" s="45">
        <f>(COUNTIFS(Mars!$C53:$AG53,("cp")))/2+Février!AI53</f>
        <v>9</v>
      </c>
      <c r="AJ53" s="45">
        <f>COUNTIFS(Mars!$C53:$AG53,"RTT")/2+Février!AJ53</f>
        <v>0</v>
      </c>
      <c r="AK53" s="45">
        <f>COUNTIFS(Mars!$C53:$AG53,"m")/2+Février!AK53</f>
        <v>0</v>
      </c>
      <c r="AL53" s="45">
        <f>COUNTIFS(Mars!$C53:$AG53,"a")/2+Février!AL53</f>
        <v>0</v>
      </c>
      <c r="AM53" s="46"/>
      <c r="AN53" s="47"/>
      <c r="AO53" s="47"/>
      <c r="AP53" s="46"/>
      <c r="AQ53" s="47"/>
      <c r="AR53" s="47"/>
      <c r="AS53" s="47"/>
    </row>
    <row r="54" spans="1:45" s="63" customFormat="1" ht="12.95" customHeight="1" x14ac:dyDescent="0.25">
      <c r="A54" s="48">
        <v>42660</v>
      </c>
      <c r="B54" s="42" t="s">
        <v>16</v>
      </c>
      <c r="C54" s="67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  <c r="AA54" s="43"/>
      <c r="AB54" s="43"/>
      <c r="AC54" s="43"/>
      <c r="AD54" s="43"/>
      <c r="AE54" s="43"/>
      <c r="AF54" s="43"/>
      <c r="AG54" s="43"/>
      <c r="AH54" s="44">
        <f>COUNTA(Mars!$C54:$AG54)</f>
        <v>0</v>
      </c>
      <c r="AI54" s="45">
        <f>(COUNTIFS(Mars!$C54:$AG54,("cp")))/2+Février!AI54</f>
        <v>9</v>
      </c>
      <c r="AJ54" s="45">
        <f>COUNTIFS(Mars!$C54:$AG54,"RTT")/2+Février!AJ54</f>
        <v>0</v>
      </c>
      <c r="AK54" s="45">
        <f>COUNTIFS(Mars!$C54:$AG54,"m")/2+Février!AK54</f>
        <v>0</v>
      </c>
      <c r="AL54" s="45">
        <f>COUNTIFS(Mars!$C54:$AG54,"a")/2+Février!AL54</f>
        <v>0</v>
      </c>
      <c r="AM54" s="46"/>
      <c r="AN54" s="47"/>
      <c r="AO54" s="47"/>
      <c r="AP54" s="46"/>
      <c r="AQ54" s="47"/>
      <c r="AR54" s="47"/>
      <c r="AS54" s="101"/>
    </row>
    <row r="55" spans="1:45" s="63" customFormat="1" ht="12.95" customHeight="1" x14ac:dyDescent="0.25">
      <c r="A55" s="41"/>
      <c r="B55" s="42"/>
      <c r="C55" s="49" t="str">
        <f t="shared" ref="C55:AG55" si="16">IF(C53&gt;0,C53,IF(C54&gt;0,C54,""))</f>
        <v/>
      </c>
      <c r="D55" s="49" t="str">
        <f t="shared" si="16"/>
        <v/>
      </c>
      <c r="E55" s="49" t="str">
        <f t="shared" si="16"/>
        <v/>
      </c>
      <c r="F55" s="49" t="str">
        <f t="shared" si="16"/>
        <v/>
      </c>
      <c r="G55" s="49" t="str">
        <f t="shared" si="16"/>
        <v/>
      </c>
      <c r="H55" s="49" t="str">
        <f t="shared" si="16"/>
        <v/>
      </c>
      <c r="I55" s="49" t="str">
        <f t="shared" si="16"/>
        <v/>
      </c>
      <c r="J55" s="49" t="str">
        <f t="shared" si="16"/>
        <v/>
      </c>
      <c r="K55" s="49" t="str">
        <f t="shared" si="16"/>
        <v/>
      </c>
      <c r="L55" s="49" t="str">
        <f t="shared" si="16"/>
        <v/>
      </c>
      <c r="M55" s="49" t="str">
        <f t="shared" si="16"/>
        <v/>
      </c>
      <c r="N55" s="49" t="str">
        <f t="shared" si="16"/>
        <v/>
      </c>
      <c r="O55" s="49" t="str">
        <f t="shared" si="16"/>
        <v/>
      </c>
      <c r="P55" s="49" t="str">
        <f t="shared" si="16"/>
        <v/>
      </c>
      <c r="Q55" s="49" t="str">
        <f t="shared" si="16"/>
        <v/>
      </c>
      <c r="R55" s="49" t="str">
        <f t="shared" si="16"/>
        <v/>
      </c>
      <c r="S55" s="49" t="str">
        <f t="shared" si="16"/>
        <v/>
      </c>
      <c r="T55" s="49" t="str">
        <f t="shared" si="16"/>
        <v/>
      </c>
      <c r="U55" s="49" t="str">
        <f t="shared" si="16"/>
        <v/>
      </c>
      <c r="V55" s="49" t="str">
        <f t="shared" si="16"/>
        <v/>
      </c>
      <c r="W55" s="49" t="str">
        <f t="shared" si="16"/>
        <v/>
      </c>
      <c r="X55" s="49" t="str">
        <f t="shared" si="16"/>
        <v/>
      </c>
      <c r="Y55" s="49" t="str">
        <f t="shared" si="16"/>
        <v/>
      </c>
      <c r="Z55" s="49" t="str">
        <f t="shared" si="16"/>
        <v/>
      </c>
      <c r="AA55" s="49" t="str">
        <f t="shared" si="16"/>
        <v/>
      </c>
      <c r="AB55" s="49" t="str">
        <f t="shared" si="16"/>
        <v/>
      </c>
      <c r="AC55" s="49" t="str">
        <f t="shared" si="16"/>
        <v/>
      </c>
      <c r="AD55" s="49" t="str">
        <f t="shared" si="16"/>
        <v/>
      </c>
      <c r="AE55" s="49" t="str">
        <f t="shared" si="16"/>
        <v/>
      </c>
      <c r="AF55" s="49" t="str">
        <f t="shared" si="16"/>
        <v/>
      </c>
      <c r="AG55" s="49" t="str">
        <f t="shared" si="16"/>
        <v/>
      </c>
      <c r="AH55" s="44">
        <f>SUM(AH53:AH54)</f>
        <v>0</v>
      </c>
      <c r="AI55" s="45">
        <f>SUM(AI53:AI54)</f>
        <v>18</v>
      </c>
      <c r="AJ55" s="45">
        <f>SUM(AJ53:AJ54)</f>
        <v>0</v>
      </c>
      <c r="AK55" s="45">
        <f>SUM(AK53:AK54)</f>
        <v>0</v>
      </c>
      <c r="AL55" s="45">
        <f>SUM(AL53:AL54)</f>
        <v>0</v>
      </c>
      <c r="AM55" s="50">
        <f>Juin!AM55</f>
        <v>15.68</v>
      </c>
      <c r="AN55" s="51">
        <f>IF(A54="","",IF(A54&gt;NomMois,0,IF(A54&lt;$A$3,2.08,(NETWORKDAYS(A54,$A$2)/21.66667)*2.08)))</f>
        <v>2.08</v>
      </c>
      <c r="AO55" s="51">
        <f>IF( AN55="",0,+AN55+Février!AO55)</f>
        <v>20.799999999999997</v>
      </c>
      <c r="AP55" s="50">
        <f>IF(A54="","",IF(A54&gt;NomMois,0,IF(A54&lt;$A$3,1.5,(NETWORKDAYS(A54,$A$2)/21.66667)*1.5)))+Février!AP55</f>
        <v>4.5</v>
      </c>
      <c r="AQ55" s="45">
        <f>+AM55-AI55</f>
        <v>-2.3200000000000003</v>
      </c>
      <c r="AR55" s="45">
        <f>+IF(AP55="","",AP55-AJ55)</f>
        <v>4.5</v>
      </c>
      <c r="AS55" s="102">
        <f t="shared" si="10"/>
        <v>18.479999999999997</v>
      </c>
    </row>
    <row r="56" spans="1:45" s="63" customFormat="1" ht="6.75" customHeight="1" x14ac:dyDescent="0.25">
      <c r="A56" s="60"/>
      <c r="B56" s="53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60"/>
      <c r="X56" s="60"/>
      <c r="Y56" s="60"/>
      <c r="Z56" s="60"/>
      <c r="AA56" s="60"/>
      <c r="AB56" s="60"/>
      <c r="AC56" s="60"/>
      <c r="AD56" s="60"/>
      <c r="AE56" s="60"/>
      <c r="AF56" s="60"/>
      <c r="AG56" s="60"/>
      <c r="AH56" s="60"/>
      <c r="AI56" s="61"/>
      <c r="AJ56" s="61"/>
      <c r="AK56" s="61"/>
      <c r="AL56" s="61"/>
      <c r="AM56" s="60"/>
      <c r="AN56" s="61"/>
      <c r="AO56" s="61"/>
      <c r="AP56" s="60"/>
      <c r="AQ56" s="69"/>
      <c r="AR56" s="69"/>
      <c r="AS56" s="65"/>
    </row>
    <row r="57" spans="1:45" s="63" customFormat="1" ht="12.95" customHeight="1" x14ac:dyDescent="0.25">
      <c r="A57" s="41"/>
      <c r="B57" s="42" t="s">
        <v>15</v>
      </c>
      <c r="C57" s="67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3"/>
      <c r="AB57" s="43"/>
      <c r="AC57" s="43"/>
      <c r="AD57" s="43"/>
      <c r="AE57" s="43"/>
      <c r="AF57" s="43"/>
      <c r="AG57" s="43"/>
      <c r="AH57" s="44">
        <f>COUNTA(Mars!$C57:$AG57)</f>
        <v>0</v>
      </c>
      <c r="AI57" s="45">
        <f>(COUNTIFS(Mars!$C57:$AG57,("cp")))/2+Février!AI57</f>
        <v>0</v>
      </c>
      <c r="AJ57" s="45">
        <f>COUNTIFS(Mars!$C57:$AG57,"RTT")/2+Février!AJ57</f>
        <v>0</v>
      </c>
      <c r="AK57" s="45">
        <f>COUNTIFS(Mars!$C57:$AG57,"m")/2+Février!AK57</f>
        <v>0</v>
      </c>
      <c r="AL57" s="45">
        <f>COUNTIFS(Mars!$C57:$AG57,"a")/2+Février!AL57</f>
        <v>0</v>
      </c>
      <c r="AM57" s="46"/>
      <c r="AN57" s="47"/>
      <c r="AO57" s="47"/>
      <c r="AP57" s="46"/>
      <c r="AQ57" s="47"/>
      <c r="AR57" s="47"/>
      <c r="AS57" s="47"/>
    </row>
    <row r="58" spans="1:45" s="63" customFormat="1" ht="12.95" customHeight="1" x14ac:dyDescent="0.25">
      <c r="A58" s="48">
        <v>42975</v>
      </c>
      <c r="B58" s="42" t="s">
        <v>16</v>
      </c>
      <c r="C58" s="67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3"/>
      <c r="AB58" s="43"/>
      <c r="AC58" s="43"/>
      <c r="AD58" s="43"/>
      <c r="AE58" s="43"/>
      <c r="AF58" s="43"/>
      <c r="AG58" s="43"/>
      <c r="AH58" s="44">
        <f>COUNTA(Mars!$C58:$AG58)</f>
        <v>0</v>
      </c>
      <c r="AI58" s="45">
        <f>(COUNTIFS(Mars!$C58:$AG58,("cp")))/2+Février!AI58</f>
        <v>0</v>
      </c>
      <c r="AJ58" s="45">
        <f>COUNTIFS(Mars!$C58:$AG58,"RTT")/2+Février!AJ58</f>
        <v>0</v>
      </c>
      <c r="AK58" s="45">
        <f>COUNTIFS(Mars!$C58:$AG58,"m")/2+Février!AK58</f>
        <v>0</v>
      </c>
      <c r="AL58" s="45">
        <f>COUNTIFS(Mars!$C58:$AG58,"a")/2+Février!AL58</f>
        <v>0</v>
      </c>
      <c r="AM58" s="46"/>
      <c r="AN58" s="47"/>
      <c r="AO58" s="47"/>
      <c r="AP58" s="46"/>
      <c r="AQ58" s="47"/>
      <c r="AR58" s="47"/>
      <c r="AS58" s="101"/>
    </row>
    <row r="59" spans="1:45" s="63" customFormat="1" ht="12.95" customHeight="1" x14ac:dyDescent="0.25">
      <c r="A59" s="41"/>
      <c r="B59" s="42"/>
      <c r="C59" s="49" t="str">
        <f t="shared" ref="C59:AG59" si="17">IF(C57&gt;0,C57,IF(C58&gt;0,C58,""))</f>
        <v/>
      </c>
      <c r="D59" s="49" t="str">
        <f t="shared" si="17"/>
        <v/>
      </c>
      <c r="E59" s="49" t="str">
        <f t="shared" si="17"/>
        <v/>
      </c>
      <c r="F59" s="49" t="str">
        <f t="shared" si="17"/>
        <v/>
      </c>
      <c r="G59" s="49" t="str">
        <f t="shared" si="17"/>
        <v/>
      </c>
      <c r="H59" s="49" t="str">
        <f t="shared" si="17"/>
        <v/>
      </c>
      <c r="I59" s="49" t="str">
        <f t="shared" si="17"/>
        <v/>
      </c>
      <c r="J59" s="49" t="str">
        <f t="shared" si="17"/>
        <v/>
      </c>
      <c r="K59" s="49" t="str">
        <f t="shared" si="17"/>
        <v/>
      </c>
      <c r="L59" s="49" t="str">
        <f t="shared" si="17"/>
        <v/>
      </c>
      <c r="M59" s="49" t="str">
        <f t="shared" si="17"/>
        <v/>
      </c>
      <c r="N59" s="49" t="str">
        <f t="shared" si="17"/>
        <v/>
      </c>
      <c r="O59" s="49" t="str">
        <f t="shared" si="17"/>
        <v/>
      </c>
      <c r="P59" s="49" t="str">
        <f t="shared" si="17"/>
        <v/>
      </c>
      <c r="Q59" s="49" t="str">
        <f t="shared" si="17"/>
        <v/>
      </c>
      <c r="R59" s="49" t="str">
        <f t="shared" si="17"/>
        <v/>
      </c>
      <c r="S59" s="49" t="str">
        <f t="shared" si="17"/>
        <v/>
      </c>
      <c r="T59" s="49" t="str">
        <f t="shared" si="17"/>
        <v/>
      </c>
      <c r="U59" s="49" t="str">
        <f t="shared" si="17"/>
        <v/>
      </c>
      <c r="V59" s="49" t="str">
        <f t="shared" si="17"/>
        <v/>
      </c>
      <c r="W59" s="49" t="str">
        <f t="shared" si="17"/>
        <v/>
      </c>
      <c r="X59" s="49" t="str">
        <f t="shared" si="17"/>
        <v/>
      </c>
      <c r="Y59" s="49" t="str">
        <f t="shared" si="17"/>
        <v/>
      </c>
      <c r="Z59" s="49" t="str">
        <f t="shared" si="17"/>
        <v/>
      </c>
      <c r="AA59" s="49" t="str">
        <f t="shared" si="17"/>
        <v/>
      </c>
      <c r="AB59" s="49" t="str">
        <f t="shared" si="17"/>
        <v/>
      </c>
      <c r="AC59" s="49" t="str">
        <f t="shared" si="17"/>
        <v/>
      </c>
      <c r="AD59" s="49" t="str">
        <f t="shared" si="17"/>
        <v/>
      </c>
      <c r="AE59" s="49" t="str">
        <f t="shared" si="17"/>
        <v/>
      </c>
      <c r="AF59" s="49" t="str">
        <f t="shared" si="17"/>
        <v/>
      </c>
      <c r="AG59" s="49" t="str">
        <f t="shared" si="17"/>
        <v/>
      </c>
      <c r="AH59" s="44">
        <f>SUM(AH57:AH58)</f>
        <v>0</v>
      </c>
      <c r="AI59" s="45">
        <f>SUM(AI57:AI58)</f>
        <v>0</v>
      </c>
      <c r="AJ59" s="45">
        <f>SUM(AJ57:AJ58)</f>
        <v>0</v>
      </c>
      <c r="AK59" s="45">
        <f>SUM(AK57:AK58)</f>
        <v>0</v>
      </c>
      <c r="AL59" s="45">
        <f>SUM(AL57:AL58)</f>
        <v>0</v>
      </c>
      <c r="AM59" s="50">
        <v>0</v>
      </c>
      <c r="AN59" s="51">
        <f>IF(A58="","",IF(A58&gt;NomMois,0,IF(A58&lt;$A$3,2.08,(NETWORKDAYS(A58,$A$2)/21.66667)*2.08)))</f>
        <v>2.08</v>
      </c>
      <c r="AO59" s="51">
        <f>IF( AN59="",0,+AN59+Février!AO59)</f>
        <v>14.943999940923087</v>
      </c>
      <c r="AP59" s="50">
        <f>IF(A58="","",IF(A58&gt;NomMois,0,IF(A58&lt;$A$3,1.5,(NETWORKDAYS(A58,$A$2)/21.66667)*1.5)))+Février!AP59</f>
        <v>4.5</v>
      </c>
      <c r="AQ59" s="45">
        <f>+AM59-AI59</f>
        <v>0</v>
      </c>
      <c r="AR59" s="45">
        <f>+IF(AP59="","",AP59-AJ59)</f>
        <v>4.5</v>
      </c>
      <c r="AS59" s="102">
        <f t="shared" si="10"/>
        <v>14.943999940923087</v>
      </c>
    </row>
    <row r="60" spans="1:45" s="63" customFormat="1" ht="6.75" customHeight="1" x14ac:dyDescent="0.25">
      <c r="A60" s="60"/>
      <c r="B60" s="42"/>
      <c r="C60" s="64"/>
      <c r="D60" s="64"/>
      <c r="E60" s="64"/>
      <c r="F60" s="64"/>
      <c r="G60" s="64"/>
      <c r="H60" s="64"/>
      <c r="I60" s="64"/>
      <c r="J60" s="64"/>
      <c r="K60" s="64"/>
      <c r="L60" s="64"/>
      <c r="M60" s="64"/>
      <c r="N60" s="64"/>
      <c r="O60" s="64"/>
      <c r="P60" s="64"/>
      <c r="Q60" s="64"/>
      <c r="R60" s="64"/>
      <c r="S60" s="64"/>
      <c r="T60" s="64"/>
      <c r="U60" s="64"/>
      <c r="V60" s="64"/>
      <c r="W60" s="64"/>
      <c r="X60" s="64"/>
      <c r="Y60" s="64"/>
      <c r="Z60" s="64"/>
      <c r="AA60" s="64"/>
      <c r="AB60" s="64"/>
      <c r="AC60" s="64"/>
      <c r="AD60" s="64"/>
      <c r="AE60" s="64"/>
      <c r="AF60" s="64"/>
      <c r="AG60" s="64"/>
      <c r="AH60" s="64"/>
      <c r="AI60" s="65"/>
      <c r="AJ60" s="65"/>
      <c r="AK60" s="65"/>
      <c r="AL60" s="65"/>
      <c r="AM60" s="64"/>
      <c r="AN60" s="65"/>
      <c r="AO60" s="65"/>
      <c r="AP60" s="64"/>
      <c r="AQ60" s="69"/>
      <c r="AR60" s="69"/>
      <c r="AS60" s="65"/>
    </row>
    <row r="61" spans="1:45" s="63" customFormat="1" ht="12.95" customHeight="1" x14ac:dyDescent="0.25">
      <c r="A61" s="41"/>
      <c r="B61" s="42" t="s">
        <v>15</v>
      </c>
      <c r="C61" s="67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  <c r="AA61" s="43"/>
      <c r="AB61" s="43"/>
      <c r="AC61" s="43"/>
      <c r="AD61" s="43"/>
      <c r="AE61" s="43"/>
      <c r="AF61" s="43"/>
      <c r="AG61" s="43"/>
      <c r="AH61" s="44">
        <f>COUNTA(Mars!$C61:$AG61)</f>
        <v>0</v>
      </c>
      <c r="AI61" s="45">
        <f>(COUNTIFS(Mars!$C61:$AG61,("cp")))/2+Février!AI61</f>
        <v>10</v>
      </c>
      <c r="AJ61" s="45">
        <f>COUNTIFS(Mars!$C61:$AG61,"RTT")/2+Février!AJ61</f>
        <v>0</v>
      </c>
      <c r="AK61" s="45">
        <f>COUNTIFS(Mars!$C61:$AG61,"m")/2+Février!AK61</f>
        <v>0</v>
      </c>
      <c r="AL61" s="45">
        <f>COUNTIFS(Mars!$C61:$AG61,"a")/2+Février!AL61</f>
        <v>0</v>
      </c>
      <c r="AM61" s="46"/>
      <c r="AN61" s="47"/>
      <c r="AO61" s="47"/>
      <c r="AP61" s="46"/>
      <c r="AQ61" s="47"/>
      <c r="AR61" s="47"/>
      <c r="AS61" s="47"/>
    </row>
    <row r="62" spans="1:45" s="63" customFormat="1" ht="12.95" customHeight="1" x14ac:dyDescent="0.25">
      <c r="A62" s="48">
        <v>42646</v>
      </c>
      <c r="B62" s="42" t="s">
        <v>16</v>
      </c>
      <c r="C62" s="67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  <c r="AA62" s="43"/>
      <c r="AB62" s="43"/>
      <c r="AC62" s="43"/>
      <c r="AD62" s="43"/>
      <c r="AE62" s="43"/>
      <c r="AF62" s="43"/>
      <c r="AG62" s="43"/>
      <c r="AH62" s="44">
        <f>COUNTA(Mars!$C62:$AG62)</f>
        <v>0</v>
      </c>
      <c r="AI62" s="45">
        <f>(COUNTIFS(Mars!$C62:$AG62,("cp")))/2+Février!AI62</f>
        <v>10</v>
      </c>
      <c r="AJ62" s="45">
        <f>COUNTIFS(Mars!$C62:$AG62,"RTT")/2+Février!AJ62</f>
        <v>0</v>
      </c>
      <c r="AK62" s="45">
        <f>COUNTIFS(Mars!$C62:$AG62,"m")/2+Février!AK62</f>
        <v>0</v>
      </c>
      <c r="AL62" s="45">
        <f>COUNTIFS(Mars!$C62:$AG62,"a")/2+Février!AL62</f>
        <v>0</v>
      </c>
      <c r="AM62" s="46"/>
      <c r="AN62" s="47"/>
      <c r="AO62" s="47"/>
      <c r="AP62" s="46"/>
      <c r="AQ62" s="47"/>
      <c r="AR62" s="47"/>
      <c r="AS62" s="101"/>
    </row>
    <row r="63" spans="1:45" s="63" customFormat="1" ht="12.95" customHeight="1" x14ac:dyDescent="0.25">
      <c r="A63" s="41"/>
      <c r="B63" s="42"/>
      <c r="C63" s="49" t="str">
        <f t="shared" ref="C63:AG63" si="18">IF(C61&gt;0,C61,IF(C62&gt;0,C62,""))</f>
        <v/>
      </c>
      <c r="D63" s="49" t="str">
        <f t="shared" si="18"/>
        <v/>
      </c>
      <c r="E63" s="49" t="str">
        <f t="shared" si="18"/>
        <v/>
      </c>
      <c r="F63" s="49" t="str">
        <f t="shared" si="18"/>
        <v/>
      </c>
      <c r="G63" s="49" t="str">
        <f t="shared" si="18"/>
        <v/>
      </c>
      <c r="H63" s="49" t="str">
        <f t="shared" si="18"/>
        <v/>
      </c>
      <c r="I63" s="49" t="str">
        <f t="shared" si="18"/>
        <v/>
      </c>
      <c r="J63" s="49" t="str">
        <f t="shared" si="18"/>
        <v/>
      </c>
      <c r="K63" s="49" t="str">
        <f t="shared" si="18"/>
        <v/>
      </c>
      <c r="L63" s="49" t="str">
        <f t="shared" si="18"/>
        <v/>
      </c>
      <c r="M63" s="49" t="str">
        <f t="shared" si="18"/>
        <v/>
      </c>
      <c r="N63" s="49" t="str">
        <f t="shared" si="18"/>
        <v/>
      </c>
      <c r="O63" s="49" t="str">
        <f t="shared" si="18"/>
        <v/>
      </c>
      <c r="P63" s="49" t="str">
        <f t="shared" si="18"/>
        <v/>
      </c>
      <c r="Q63" s="49" t="str">
        <f t="shared" si="18"/>
        <v/>
      </c>
      <c r="R63" s="49" t="str">
        <f t="shared" si="18"/>
        <v/>
      </c>
      <c r="S63" s="49" t="str">
        <f t="shared" si="18"/>
        <v/>
      </c>
      <c r="T63" s="49" t="str">
        <f t="shared" si="18"/>
        <v/>
      </c>
      <c r="U63" s="49" t="str">
        <f t="shared" si="18"/>
        <v/>
      </c>
      <c r="V63" s="49" t="str">
        <f t="shared" si="18"/>
        <v/>
      </c>
      <c r="W63" s="49" t="str">
        <f t="shared" si="18"/>
        <v/>
      </c>
      <c r="X63" s="49" t="str">
        <f t="shared" si="18"/>
        <v/>
      </c>
      <c r="Y63" s="49" t="str">
        <f t="shared" si="18"/>
        <v/>
      </c>
      <c r="Z63" s="49" t="str">
        <f t="shared" si="18"/>
        <v/>
      </c>
      <c r="AA63" s="49" t="str">
        <f t="shared" si="18"/>
        <v/>
      </c>
      <c r="AB63" s="49" t="str">
        <f t="shared" si="18"/>
        <v/>
      </c>
      <c r="AC63" s="49" t="str">
        <f t="shared" si="18"/>
        <v/>
      </c>
      <c r="AD63" s="49" t="str">
        <f t="shared" si="18"/>
        <v/>
      </c>
      <c r="AE63" s="49" t="str">
        <f t="shared" si="18"/>
        <v/>
      </c>
      <c r="AF63" s="49" t="str">
        <f t="shared" si="18"/>
        <v/>
      </c>
      <c r="AG63" s="49" t="str">
        <f t="shared" si="18"/>
        <v/>
      </c>
      <c r="AH63" s="44">
        <f>SUM(AH61:AH62)</f>
        <v>0</v>
      </c>
      <c r="AI63" s="45">
        <f>SUM(AI61:AI62)</f>
        <v>20</v>
      </c>
      <c r="AJ63" s="45">
        <f>SUM(AJ61:AJ62)</f>
        <v>0</v>
      </c>
      <c r="AK63" s="45">
        <f>SUM(AK61:AK62)</f>
        <v>0</v>
      </c>
      <c r="AL63" s="45">
        <f>SUM(AL61:AL62)</f>
        <v>0</v>
      </c>
      <c r="AM63" s="50">
        <f>Juin!AM63</f>
        <v>16.64</v>
      </c>
      <c r="AN63" s="51">
        <f>IF(A62="","",IF(A62&gt;NomMois,0,IF(A62&lt;$A$3,2.08,(NETWORKDAYS(A62,$A$2)/21.66667)*2.08)))</f>
        <v>2.08</v>
      </c>
      <c r="AO63" s="51">
        <f>IF( AN63="",0,+AN63+Février!AO63)</f>
        <v>20.799999999999997</v>
      </c>
      <c r="AP63" s="50">
        <f>IF(A62="","",IF(A62&gt;NomMois,0,IF(A62&lt;$A$3,1.5,(NETWORKDAYS(A62,$A$2)/21.66667)*1.5)))+Février!AP63</f>
        <v>4.5</v>
      </c>
      <c r="AQ63" s="45">
        <f>+AM63-AI63</f>
        <v>-3.3599999999999994</v>
      </c>
      <c r="AR63" s="45">
        <f>+IF(AP63="","",AP63-AJ63)</f>
        <v>4.5</v>
      </c>
      <c r="AS63" s="102">
        <f t="shared" si="10"/>
        <v>17.439999999999998</v>
      </c>
    </row>
    <row r="64" spans="1:45" s="63" customFormat="1" ht="6.75" customHeight="1" x14ac:dyDescent="0.25">
      <c r="A64" s="60"/>
      <c r="B64" s="53"/>
      <c r="C64" s="60"/>
      <c r="D64" s="60"/>
      <c r="E64" s="60"/>
      <c r="F64" s="60"/>
      <c r="G64" s="60"/>
      <c r="H64" s="60"/>
      <c r="I64" s="60"/>
      <c r="J64" s="60"/>
      <c r="K64" s="60"/>
      <c r="L64" s="60"/>
      <c r="M64" s="60"/>
      <c r="N64" s="60"/>
      <c r="O64" s="60"/>
      <c r="P64" s="60"/>
      <c r="Q64" s="60"/>
      <c r="R64" s="60"/>
      <c r="S64" s="60"/>
      <c r="T64" s="60"/>
      <c r="U64" s="60"/>
      <c r="V64" s="60"/>
      <c r="W64" s="60"/>
      <c r="X64" s="60"/>
      <c r="Y64" s="60"/>
      <c r="Z64" s="60"/>
      <c r="AA64" s="60"/>
      <c r="AB64" s="60"/>
      <c r="AC64" s="60"/>
      <c r="AD64" s="60"/>
      <c r="AE64" s="60"/>
      <c r="AF64" s="60"/>
      <c r="AG64" s="60"/>
      <c r="AH64" s="61">
        <v>0</v>
      </c>
      <c r="AI64" s="61">
        <v>0</v>
      </c>
      <c r="AJ64" s="61">
        <v>0</v>
      </c>
      <c r="AK64" s="61">
        <v>0</v>
      </c>
      <c r="AL64" s="61">
        <v>0</v>
      </c>
      <c r="AM64" s="60"/>
      <c r="AN64" s="61"/>
      <c r="AO64" s="61"/>
      <c r="AP64" s="60"/>
      <c r="AQ64" s="69"/>
      <c r="AR64" s="69"/>
      <c r="AS64" s="65"/>
    </row>
    <row r="65" spans="1:45" s="63" customFormat="1" ht="12.95" customHeight="1" x14ac:dyDescent="0.25">
      <c r="A65" s="41"/>
      <c r="B65" s="42" t="s">
        <v>15</v>
      </c>
      <c r="C65" s="67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  <c r="W65" s="43"/>
      <c r="X65" s="43"/>
      <c r="Y65" s="43"/>
      <c r="Z65" s="43"/>
      <c r="AA65" s="43"/>
      <c r="AB65" s="43"/>
      <c r="AC65" s="43"/>
      <c r="AD65" s="43"/>
      <c r="AE65" s="43"/>
      <c r="AF65" s="43"/>
      <c r="AG65" s="43"/>
      <c r="AH65" s="44">
        <f>COUNTA(Mars!$C65:$AG65)</f>
        <v>0</v>
      </c>
      <c r="AI65" s="45">
        <f>(COUNTIFS(Mars!$C65:$AG65,("cp")))/2+Février!AI65</f>
        <v>8</v>
      </c>
      <c r="AJ65" s="45">
        <f>COUNTIFS(Mars!$C65:$AG65,"RTT")/2+Février!AJ65</f>
        <v>0</v>
      </c>
      <c r="AK65" s="45">
        <f>COUNTIFS(Mars!$C65:$AG65,"m")/2+Février!AK65</f>
        <v>0</v>
      </c>
      <c r="AL65" s="45">
        <f>COUNTIFS(Mars!$C65:$AG65,"a")/2+Février!AL65</f>
        <v>0</v>
      </c>
      <c r="AM65" s="46"/>
      <c r="AN65" s="47"/>
      <c r="AO65" s="47"/>
      <c r="AP65" s="46"/>
      <c r="AQ65" s="47"/>
      <c r="AR65" s="47"/>
      <c r="AS65" s="47"/>
    </row>
    <row r="66" spans="1:45" s="63" customFormat="1" ht="12.95" customHeight="1" x14ac:dyDescent="0.25">
      <c r="A66" s="48">
        <v>42410</v>
      </c>
      <c r="B66" s="42" t="s">
        <v>16</v>
      </c>
      <c r="C66" s="67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3"/>
      <c r="T66" s="43"/>
      <c r="U66" s="43"/>
      <c r="V66" s="43"/>
      <c r="W66" s="43"/>
      <c r="X66" s="43"/>
      <c r="Y66" s="43"/>
      <c r="Z66" s="43"/>
      <c r="AA66" s="43"/>
      <c r="AB66" s="43"/>
      <c r="AC66" s="43"/>
      <c r="AD66" s="43"/>
      <c r="AE66" s="43"/>
      <c r="AF66" s="43"/>
      <c r="AG66" s="43"/>
      <c r="AH66" s="44">
        <f>COUNTA(Mars!$C66:$AG66)</f>
        <v>0</v>
      </c>
      <c r="AI66" s="45">
        <f>(COUNTIFS(Mars!$C66:$AG66,("cp")))/2+Février!AI66</f>
        <v>8</v>
      </c>
      <c r="AJ66" s="45">
        <f>COUNTIFS(Mars!$C66:$AG66,"RTT")/2+Février!AJ66</f>
        <v>0</v>
      </c>
      <c r="AK66" s="45">
        <f>COUNTIFS(Mars!$C66:$AG66,"m")/2+Février!AK66</f>
        <v>0</v>
      </c>
      <c r="AL66" s="45">
        <f>COUNTIFS(Mars!$C66:$AG66,"a")/2+Février!AL66</f>
        <v>0</v>
      </c>
      <c r="AM66" s="46"/>
      <c r="AN66" s="47"/>
      <c r="AO66" s="47"/>
      <c r="AP66" s="46"/>
      <c r="AQ66" s="47"/>
      <c r="AR66" s="47"/>
      <c r="AS66" s="101"/>
    </row>
    <row r="67" spans="1:45" s="63" customFormat="1" ht="12.95" customHeight="1" x14ac:dyDescent="0.25">
      <c r="A67" s="41"/>
      <c r="B67" s="42"/>
      <c r="C67" s="49" t="str">
        <f t="shared" ref="C67:AG67" si="19">IF(C65&gt;0,C65,IF(C66&gt;0,C66,""))</f>
        <v/>
      </c>
      <c r="D67" s="49" t="str">
        <f t="shared" si="19"/>
        <v/>
      </c>
      <c r="E67" s="49" t="str">
        <f t="shared" si="19"/>
        <v/>
      </c>
      <c r="F67" s="49" t="str">
        <f t="shared" si="19"/>
        <v/>
      </c>
      <c r="G67" s="49" t="str">
        <f t="shared" si="19"/>
        <v/>
      </c>
      <c r="H67" s="49" t="str">
        <f t="shared" si="19"/>
        <v/>
      </c>
      <c r="I67" s="49" t="str">
        <f t="shared" si="19"/>
        <v/>
      </c>
      <c r="J67" s="49" t="str">
        <f t="shared" si="19"/>
        <v/>
      </c>
      <c r="K67" s="49" t="str">
        <f t="shared" si="19"/>
        <v/>
      </c>
      <c r="L67" s="49" t="str">
        <f t="shared" si="19"/>
        <v/>
      </c>
      <c r="M67" s="49" t="str">
        <f t="shared" si="19"/>
        <v/>
      </c>
      <c r="N67" s="49" t="str">
        <f t="shared" si="19"/>
        <v/>
      </c>
      <c r="O67" s="49" t="str">
        <f t="shared" si="19"/>
        <v/>
      </c>
      <c r="P67" s="49" t="str">
        <f t="shared" si="19"/>
        <v/>
      </c>
      <c r="Q67" s="49" t="str">
        <f t="shared" si="19"/>
        <v/>
      </c>
      <c r="R67" s="49" t="str">
        <f t="shared" si="19"/>
        <v/>
      </c>
      <c r="S67" s="49" t="str">
        <f t="shared" si="19"/>
        <v/>
      </c>
      <c r="T67" s="49" t="str">
        <f t="shared" si="19"/>
        <v/>
      </c>
      <c r="U67" s="49" t="str">
        <f t="shared" si="19"/>
        <v/>
      </c>
      <c r="V67" s="49" t="str">
        <f t="shared" si="19"/>
        <v/>
      </c>
      <c r="W67" s="49" t="str">
        <f t="shared" si="19"/>
        <v/>
      </c>
      <c r="X67" s="49" t="str">
        <f t="shared" si="19"/>
        <v/>
      </c>
      <c r="Y67" s="49" t="str">
        <f t="shared" si="19"/>
        <v/>
      </c>
      <c r="Z67" s="49" t="str">
        <f t="shared" si="19"/>
        <v/>
      </c>
      <c r="AA67" s="49" t="str">
        <f t="shared" si="19"/>
        <v/>
      </c>
      <c r="AB67" s="49" t="str">
        <f t="shared" si="19"/>
        <v/>
      </c>
      <c r="AC67" s="49" t="str">
        <f t="shared" si="19"/>
        <v/>
      </c>
      <c r="AD67" s="49" t="str">
        <f t="shared" si="19"/>
        <v/>
      </c>
      <c r="AE67" s="49" t="str">
        <f t="shared" si="19"/>
        <v/>
      </c>
      <c r="AF67" s="49" t="str">
        <f t="shared" si="19"/>
        <v/>
      </c>
      <c r="AG67" s="49" t="str">
        <f t="shared" si="19"/>
        <v/>
      </c>
      <c r="AH67" s="44">
        <f>SUM(AH65:AH66)</f>
        <v>0</v>
      </c>
      <c r="AI67" s="45">
        <f>SUM(AI65:AI66)</f>
        <v>16</v>
      </c>
      <c r="AJ67" s="45">
        <f>SUM(AJ65:AJ66)</f>
        <v>0</v>
      </c>
      <c r="AK67" s="45">
        <f>SUM(AK65:AK66)</f>
        <v>0</v>
      </c>
      <c r="AL67" s="45">
        <f>SUM(AL65:AL66)</f>
        <v>0</v>
      </c>
      <c r="AM67" s="50">
        <f>Juin!AM67</f>
        <v>22.46</v>
      </c>
      <c r="AN67" s="51">
        <f>IF(A66="","",IF(A66&gt;NomMois,0,IF(A66&lt;$A$3,2.08,(NETWORKDAYS(A66,$A$2)/21.66667)*2.08)))</f>
        <v>2.08</v>
      </c>
      <c r="AO67" s="51">
        <f>IF( AN67="",0,+AN67+Février!AO67)</f>
        <v>20.799999999999997</v>
      </c>
      <c r="AP67" s="50">
        <f>IF(A66="","",IF(A66&gt;NomMois,0,IF(A66&lt;$A$3,1.5,(NETWORKDAYS(A66,$A$2)/21.66667)*1.5)))+Février!AP67</f>
        <v>4.5</v>
      </c>
      <c r="AQ67" s="45">
        <f>+AM67-AI67</f>
        <v>6.4600000000000009</v>
      </c>
      <c r="AR67" s="45">
        <f>+IF(AP67="","",AP67-AJ67)</f>
        <v>4.5</v>
      </c>
      <c r="AS67" s="102">
        <f t="shared" si="10"/>
        <v>27.259999999999998</v>
      </c>
    </row>
    <row r="68" spans="1:45" s="63" customFormat="1" ht="6.75" customHeight="1" x14ac:dyDescent="0.25">
      <c r="A68" s="64"/>
      <c r="B68" s="42"/>
      <c r="C68" s="64"/>
      <c r="D68" s="64"/>
      <c r="E68" s="64"/>
      <c r="F68" s="64"/>
      <c r="G68" s="64"/>
      <c r="H68" s="64"/>
      <c r="I68" s="64"/>
      <c r="J68" s="64"/>
      <c r="K68" s="64"/>
      <c r="L68" s="64"/>
      <c r="M68" s="64"/>
      <c r="N68" s="64"/>
      <c r="O68" s="64"/>
      <c r="P68" s="64"/>
      <c r="Q68" s="64"/>
      <c r="R68" s="64"/>
      <c r="S68" s="64"/>
      <c r="T68" s="64"/>
      <c r="U68" s="64"/>
      <c r="V68" s="64"/>
      <c r="W68" s="64"/>
      <c r="X68" s="64"/>
      <c r="Y68" s="64"/>
      <c r="Z68" s="64"/>
      <c r="AA68" s="64"/>
      <c r="AB68" s="64"/>
      <c r="AC68" s="64"/>
      <c r="AD68" s="64"/>
      <c r="AE68" s="64"/>
      <c r="AF68" s="64"/>
      <c r="AG68" s="64"/>
      <c r="AH68" s="65"/>
      <c r="AI68" s="65"/>
      <c r="AJ68" s="65"/>
      <c r="AK68" s="65"/>
      <c r="AL68" s="65"/>
      <c r="AM68" s="64"/>
      <c r="AN68" s="65"/>
      <c r="AO68" s="65"/>
      <c r="AP68" s="64"/>
      <c r="AQ68" s="69"/>
      <c r="AR68" s="69"/>
      <c r="AS68" s="65"/>
    </row>
    <row r="69" spans="1:45" s="63" customFormat="1" ht="12.95" customHeight="1" x14ac:dyDescent="0.25">
      <c r="A69" s="41"/>
      <c r="B69" s="42" t="s">
        <v>15</v>
      </c>
      <c r="C69" s="67"/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43"/>
      <c r="AA69" s="43"/>
      <c r="AB69" s="43"/>
      <c r="AC69" s="43"/>
      <c r="AD69" s="43"/>
      <c r="AE69" s="43"/>
      <c r="AF69" s="43"/>
      <c r="AG69" s="43"/>
      <c r="AH69" s="44">
        <f>COUNTA(Mars!$C69:$AG69)</f>
        <v>0</v>
      </c>
      <c r="AI69" s="45">
        <f>(COUNTIFS(Mars!$C69:$AG69,("cp")))/2+Février!AI69</f>
        <v>14</v>
      </c>
      <c r="AJ69" s="45">
        <f>COUNTIFS(Mars!$C69:$AG69,"RTT")/2+Février!AJ69</f>
        <v>0</v>
      </c>
      <c r="AK69" s="45">
        <f>COUNTIFS(Mars!$C69:$AG69,"m")/2+Février!AK69</f>
        <v>0</v>
      </c>
      <c r="AL69" s="45">
        <f>COUNTIFS(Mars!$C69:$AG69,"a")/2+Février!AL69</f>
        <v>2</v>
      </c>
      <c r="AM69" s="46"/>
      <c r="AN69" s="47"/>
      <c r="AO69" s="47"/>
      <c r="AP69" s="46"/>
      <c r="AQ69" s="47"/>
      <c r="AR69" s="47"/>
      <c r="AS69" s="47"/>
    </row>
    <row r="70" spans="1:45" s="63" customFormat="1" ht="12.95" customHeight="1" x14ac:dyDescent="0.25">
      <c r="A70" s="48">
        <v>41701</v>
      </c>
      <c r="B70" s="42" t="s">
        <v>16</v>
      </c>
      <c r="C70" s="67"/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  <c r="S70" s="43"/>
      <c r="T70" s="43"/>
      <c r="U70" s="43"/>
      <c r="V70" s="43"/>
      <c r="W70" s="43"/>
      <c r="X70" s="43"/>
      <c r="Y70" s="43"/>
      <c r="Z70" s="43"/>
      <c r="AA70" s="43"/>
      <c r="AB70" s="43"/>
      <c r="AC70" s="43"/>
      <c r="AD70" s="43"/>
      <c r="AE70" s="43"/>
      <c r="AF70" s="43"/>
      <c r="AG70" s="43"/>
      <c r="AH70" s="44">
        <f>COUNTA(Mars!$C70:$AG70)</f>
        <v>0</v>
      </c>
      <c r="AI70" s="45">
        <f>(COUNTIFS(Mars!$C70:$AG70,("cp")))/2+Février!AI70</f>
        <v>14</v>
      </c>
      <c r="AJ70" s="45">
        <f>COUNTIFS(Mars!$C70:$AG70,"RTT")/2+Février!AJ70</f>
        <v>0</v>
      </c>
      <c r="AK70" s="45">
        <f>COUNTIFS(Mars!$C70:$AG70,"m")/2+Février!AK70</f>
        <v>0</v>
      </c>
      <c r="AL70" s="45">
        <f>COUNTIFS(Mars!$C70:$AG70,"a")/2+Février!AL70</f>
        <v>2</v>
      </c>
      <c r="AM70" s="46"/>
      <c r="AN70" s="47"/>
      <c r="AO70" s="47"/>
      <c r="AP70" s="46"/>
      <c r="AQ70" s="47"/>
      <c r="AR70" s="47"/>
      <c r="AS70" s="101"/>
    </row>
    <row r="71" spans="1:45" s="63" customFormat="1" ht="12.95" customHeight="1" x14ac:dyDescent="0.25">
      <c r="A71" s="41"/>
      <c r="B71" s="42"/>
      <c r="C71" s="49" t="str">
        <f t="shared" ref="C71:AG71" si="20">IF(C69&gt;0,C69,IF(C70&gt;0,C70,""))</f>
        <v/>
      </c>
      <c r="D71" s="49" t="str">
        <f t="shared" si="20"/>
        <v/>
      </c>
      <c r="E71" s="49" t="str">
        <f t="shared" si="20"/>
        <v/>
      </c>
      <c r="F71" s="49" t="str">
        <f t="shared" si="20"/>
        <v/>
      </c>
      <c r="G71" s="49" t="str">
        <f t="shared" si="20"/>
        <v/>
      </c>
      <c r="H71" s="49" t="str">
        <f t="shared" si="20"/>
        <v/>
      </c>
      <c r="I71" s="49" t="str">
        <f t="shared" si="20"/>
        <v/>
      </c>
      <c r="J71" s="49" t="str">
        <f t="shared" si="20"/>
        <v/>
      </c>
      <c r="K71" s="49" t="str">
        <f t="shared" si="20"/>
        <v/>
      </c>
      <c r="L71" s="49" t="str">
        <f t="shared" si="20"/>
        <v/>
      </c>
      <c r="M71" s="49" t="str">
        <f t="shared" si="20"/>
        <v/>
      </c>
      <c r="N71" s="49" t="str">
        <f t="shared" si="20"/>
        <v/>
      </c>
      <c r="O71" s="49" t="str">
        <f t="shared" si="20"/>
        <v/>
      </c>
      <c r="P71" s="49" t="str">
        <f t="shared" si="20"/>
        <v/>
      </c>
      <c r="Q71" s="49" t="str">
        <f t="shared" si="20"/>
        <v/>
      </c>
      <c r="R71" s="49" t="str">
        <f t="shared" si="20"/>
        <v/>
      </c>
      <c r="S71" s="49" t="str">
        <f t="shared" si="20"/>
        <v/>
      </c>
      <c r="T71" s="49" t="str">
        <f t="shared" si="20"/>
        <v/>
      </c>
      <c r="U71" s="49" t="str">
        <f t="shared" si="20"/>
        <v/>
      </c>
      <c r="V71" s="49" t="str">
        <f t="shared" si="20"/>
        <v/>
      </c>
      <c r="W71" s="49" t="str">
        <f t="shared" si="20"/>
        <v/>
      </c>
      <c r="X71" s="49" t="str">
        <f t="shared" si="20"/>
        <v/>
      </c>
      <c r="Y71" s="49" t="str">
        <f t="shared" si="20"/>
        <v/>
      </c>
      <c r="Z71" s="49" t="str">
        <f t="shared" si="20"/>
        <v/>
      </c>
      <c r="AA71" s="49" t="str">
        <f t="shared" si="20"/>
        <v/>
      </c>
      <c r="AB71" s="49" t="str">
        <f t="shared" si="20"/>
        <v/>
      </c>
      <c r="AC71" s="49" t="str">
        <f t="shared" si="20"/>
        <v/>
      </c>
      <c r="AD71" s="49" t="str">
        <f t="shared" si="20"/>
        <v/>
      </c>
      <c r="AE71" s="49" t="str">
        <f t="shared" si="20"/>
        <v/>
      </c>
      <c r="AF71" s="49" t="str">
        <f t="shared" si="20"/>
        <v/>
      </c>
      <c r="AG71" s="49" t="str">
        <f t="shared" si="20"/>
        <v/>
      </c>
      <c r="AH71" s="44">
        <f>SUM(AH69:AH70)</f>
        <v>0</v>
      </c>
      <c r="AI71" s="45">
        <f>SUM(AI69:AI70)</f>
        <v>28</v>
      </c>
      <c r="AJ71" s="45">
        <f>SUM(AJ69:AJ70)</f>
        <v>0</v>
      </c>
      <c r="AK71" s="45">
        <f>SUM(AK69:AK70)</f>
        <v>0</v>
      </c>
      <c r="AL71" s="45">
        <f>SUM(AL69:AL70)</f>
        <v>4</v>
      </c>
      <c r="AM71" s="50">
        <f>Juin!AM71</f>
        <v>45.34</v>
      </c>
      <c r="AN71" s="51">
        <f>IF(A70="","",IF(A70&gt;NomMois,0,IF(A70&lt;$A$3,2.08,(NETWORKDAYS(A70,$A$2)/21.66667)*2.08)))</f>
        <v>2.08</v>
      </c>
      <c r="AO71" s="51">
        <f>IF( AN71="",0,+AN71+Février!AO71)</f>
        <v>20.799999999999997</v>
      </c>
      <c r="AP71" s="50">
        <f>IF(A70="","",IF(A70&gt;NomMois,0,IF(A70&lt;$A$3,1.5,(NETWORKDAYS(A70,$A$2)/21.66667)*1.5)))+Février!AP71</f>
        <v>4.5</v>
      </c>
      <c r="AQ71" s="45">
        <f>+AM71-AI71</f>
        <v>17.340000000000003</v>
      </c>
      <c r="AR71" s="45">
        <f>+IF(AP71="","",AP71-AJ71)</f>
        <v>4.5</v>
      </c>
      <c r="AS71" s="102">
        <f t="shared" si="10"/>
        <v>38.14</v>
      </c>
    </row>
    <row r="72" spans="1:45" s="63" customFormat="1" ht="6.75" customHeight="1" x14ac:dyDescent="0.25">
      <c r="A72" s="60"/>
      <c r="B72" s="53"/>
      <c r="C72" s="60"/>
      <c r="D72" s="60"/>
      <c r="E72" s="60"/>
      <c r="F72" s="60"/>
      <c r="G72" s="60"/>
      <c r="H72" s="60"/>
      <c r="I72" s="60"/>
      <c r="J72" s="60"/>
      <c r="K72" s="60"/>
      <c r="L72" s="60"/>
      <c r="M72" s="60"/>
      <c r="N72" s="60"/>
      <c r="O72" s="60"/>
      <c r="P72" s="60"/>
      <c r="Q72" s="60"/>
      <c r="R72" s="60"/>
      <c r="S72" s="60"/>
      <c r="T72" s="60"/>
      <c r="U72" s="60"/>
      <c r="V72" s="60"/>
      <c r="W72" s="60"/>
      <c r="X72" s="60"/>
      <c r="Y72" s="60"/>
      <c r="Z72" s="60"/>
      <c r="AA72" s="60"/>
      <c r="AB72" s="60"/>
      <c r="AC72" s="60"/>
      <c r="AD72" s="60"/>
      <c r="AE72" s="60"/>
      <c r="AF72" s="60"/>
      <c r="AG72" s="60"/>
      <c r="AH72" s="61"/>
      <c r="AI72" s="61"/>
      <c r="AJ72" s="61"/>
      <c r="AK72" s="61"/>
      <c r="AL72" s="61"/>
      <c r="AM72" s="60"/>
      <c r="AN72" s="61"/>
      <c r="AO72" s="61"/>
      <c r="AP72" s="60"/>
      <c r="AQ72" s="69"/>
      <c r="AR72" s="69"/>
      <c r="AS72" s="65"/>
    </row>
    <row r="73" spans="1:45" s="63" customFormat="1" ht="12.95" customHeight="1" x14ac:dyDescent="0.25">
      <c r="A73" s="41"/>
      <c r="B73" s="42" t="s">
        <v>15</v>
      </c>
      <c r="C73" s="67"/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43"/>
      <c r="AH73" s="44">
        <f>COUNTA(Mars!$C73:$AG73)</f>
        <v>0</v>
      </c>
      <c r="AI73" s="45">
        <f>(COUNTIFS(Mars!$C73:$AG73,("cp")))/2+Février!AI73</f>
        <v>0</v>
      </c>
      <c r="AJ73" s="45">
        <f>COUNTIFS(Mars!$C73:$AG73,"RTT")/2+Février!AJ73</f>
        <v>0</v>
      </c>
      <c r="AK73" s="45">
        <f>COUNTIFS(Mars!$C73:$AG73,"m")/2+Février!AK73</f>
        <v>0</v>
      </c>
      <c r="AL73" s="45">
        <f>COUNTIFS(Mars!$C73:$AG73,"a")/2+Février!AL73</f>
        <v>0</v>
      </c>
      <c r="AM73" s="46"/>
      <c r="AN73" s="47"/>
      <c r="AO73" s="47"/>
      <c r="AP73" s="46"/>
      <c r="AQ73" s="47"/>
      <c r="AR73" s="47"/>
      <c r="AS73" s="47"/>
    </row>
    <row r="74" spans="1:45" s="63" customFormat="1" ht="12.95" customHeight="1" x14ac:dyDescent="0.25">
      <c r="A74" s="48">
        <v>42979</v>
      </c>
      <c r="B74" s="42" t="s">
        <v>16</v>
      </c>
      <c r="C74" s="67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43"/>
      <c r="AH74" s="44">
        <f>COUNTA(Mars!$C74:$AG74)</f>
        <v>0</v>
      </c>
      <c r="AI74" s="45">
        <f>(COUNTIFS(Mars!$C74:$AG74,("cp")))/2+Février!AI74</f>
        <v>0</v>
      </c>
      <c r="AJ74" s="45">
        <f>COUNTIFS(Mars!$C74:$AG74,"RTT")/2+Février!AJ74</f>
        <v>0</v>
      </c>
      <c r="AK74" s="45">
        <f>COUNTIFS(Mars!$C74:$AG74,"m")/2+Février!AK74</f>
        <v>0</v>
      </c>
      <c r="AL74" s="45">
        <f>COUNTIFS(Mars!$C74:$AG74,"a")/2+Février!AL74</f>
        <v>0</v>
      </c>
      <c r="AM74" s="46"/>
      <c r="AN74" s="47"/>
      <c r="AO74" s="47"/>
      <c r="AP74" s="46"/>
      <c r="AQ74" s="47"/>
      <c r="AR74" s="47"/>
      <c r="AS74" s="101"/>
    </row>
    <row r="75" spans="1:45" s="63" customFormat="1" ht="12.95" customHeight="1" x14ac:dyDescent="0.25">
      <c r="A75" s="41"/>
      <c r="B75" s="42"/>
      <c r="C75" s="49" t="str">
        <f t="shared" ref="C75:AG75" si="21">IF(C73&gt;0,C73,IF(C74&gt;0,C74,""))</f>
        <v/>
      </c>
      <c r="D75" s="49" t="str">
        <f t="shared" si="21"/>
        <v/>
      </c>
      <c r="E75" s="49" t="str">
        <f t="shared" si="21"/>
        <v/>
      </c>
      <c r="F75" s="49" t="str">
        <f t="shared" si="21"/>
        <v/>
      </c>
      <c r="G75" s="49" t="str">
        <f t="shared" si="21"/>
        <v/>
      </c>
      <c r="H75" s="49" t="str">
        <f t="shared" si="21"/>
        <v/>
      </c>
      <c r="I75" s="49" t="str">
        <f t="shared" si="21"/>
        <v/>
      </c>
      <c r="J75" s="49" t="str">
        <f t="shared" si="21"/>
        <v/>
      </c>
      <c r="K75" s="49" t="str">
        <f t="shared" si="21"/>
        <v/>
      </c>
      <c r="L75" s="49" t="str">
        <f t="shared" si="21"/>
        <v/>
      </c>
      <c r="M75" s="49" t="str">
        <f t="shared" si="21"/>
        <v/>
      </c>
      <c r="N75" s="49" t="str">
        <f t="shared" si="21"/>
        <v/>
      </c>
      <c r="O75" s="49" t="str">
        <f t="shared" si="21"/>
        <v/>
      </c>
      <c r="P75" s="49" t="str">
        <f t="shared" si="21"/>
        <v/>
      </c>
      <c r="Q75" s="49" t="str">
        <f t="shared" si="21"/>
        <v/>
      </c>
      <c r="R75" s="49" t="str">
        <f t="shared" si="21"/>
        <v/>
      </c>
      <c r="S75" s="49" t="str">
        <f t="shared" si="21"/>
        <v/>
      </c>
      <c r="T75" s="49" t="str">
        <f t="shared" si="21"/>
        <v/>
      </c>
      <c r="U75" s="49" t="str">
        <f t="shared" si="21"/>
        <v/>
      </c>
      <c r="V75" s="49" t="str">
        <f t="shared" si="21"/>
        <v/>
      </c>
      <c r="W75" s="49" t="str">
        <f t="shared" si="21"/>
        <v/>
      </c>
      <c r="X75" s="49" t="str">
        <f t="shared" si="21"/>
        <v/>
      </c>
      <c r="Y75" s="49" t="str">
        <f t="shared" si="21"/>
        <v/>
      </c>
      <c r="Z75" s="49" t="str">
        <f t="shared" si="21"/>
        <v/>
      </c>
      <c r="AA75" s="49" t="str">
        <f t="shared" si="21"/>
        <v/>
      </c>
      <c r="AB75" s="49" t="str">
        <f t="shared" si="21"/>
        <v/>
      </c>
      <c r="AC75" s="49" t="str">
        <f t="shared" si="21"/>
        <v/>
      </c>
      <c r="AD75" s="49" t="str">
        <f t="shared" si="21"/>
        <v/>
      </c>
      <c r="AE75" s="49" t="str">
        <f t="shared" si="21"/>
        <v/>
      </c>
      <c r="AF75" s="49" t="str">
        <f t="shared" si="21"/>
        <v/>
      </c>
      <c r="AG75" s="49" t="str">
        <f t="shared" si="21"/>
        <v/>
      </c>
      <c r="AH75" s="44">
        <f>SUM(AH73:AH74)</f>
        <v>0</v>
      </c>
      <c r="AI75" s="45">
        <f>SUM(AI73:AI74)</f>
        <v>0</v>
      </c>
      <c r="AJ75" s="45">
        <f>SUM(AJ73:AJ74)</f>
        <v>0</v>
      </c>
      <c r="AK75" s="45">
        <f>SUM(AK73:AK74)</f>
        <v>0</v>
      </c>
      <c r="AL75" s="45">
        <f>SUM(AL73:AL74)</f>
        <v>0</v>
      </c>
      <c r="AM75" s="50">
        <f>Juin!AM75</f>
        <v>0</v>
      </c>
      <c r="AN75" s="51">
        <f>IF(A74="","",IF(A74&gt;NomMois,0,IF(A74&lt;$A$3,2.08,(NETWORKDAYS(A74,$A$2)/21.66667)*2.08)))</f>
        <v>2.08</v>
      </c>
      <c r="AO75" s="51">
        <f>IF( AN75="",0,+AN75+Février!AO75)</f>
        <v>14.495999689846203</v>
      </c>
      <c r="AP75" s="50">
        <f>IF(A74="","",IF(A74&gt;NomMois,0,IF(A74&lt;$A$3,1.5,(NETWORKDAYS(A74,$A$2)/21.66667)*1.5)))+Février!AP75</f>
        <v>4.5</v>
      </c>
      <c r="AQ75" s="45">
        <f>+AM75-AI75</f>
        <v>0</v>
      </c>
      <c r="AR75" s="45">
        <f>+IF(AP75="","",AP75-AJ75)</f>
        <v>4.5</v>
      </c>
      <c r="AS75" s="102">
        <f t="shared" si="10"/>
        <v>14.495999689846203</v>
      </c>
    </row>
    <row r="76" spans="1:45" s="63" customFormat="1" ht="6.75" customHeight="1" x14ac:dyDescent="0.25">
      <c r="A76" s="64"/>
      <c r="B76" s="42"/>
      <c r="C76" s="64"/>
      <c r="D76" s="64"/>
      <c r="E76" s="64"/>
      <c r="F76" s="64"/>
      <c r="G76" s="64"/>
      <c r="H76" s="64"/>
      <c r="I76" s="64"/>
      <c r="J76" s="64"/>
      <c r="K76" s="64"/>
      <c r="L76" s="64"/>
      <c r="M76" s="64"/>
      <c r="N76" s="64"/>
      <c r="O76" s="64"/>
      <c r="P76" s="64"/>
      <c r="Q76" s="64"/>
      <c r="R76" s="64"/>
      <c r="S76" s="64"/>
      <c r="T76" s="64"/>
      <c r="U76" s="64"/>
      <c r="V76" s="64"/>
      <c r="W76" s="64"/>
      <c r="X76" s="64"/>
      <c r="Y76" s="64"/>
      <c r="Z76" s="64"/>
      <c r="AA76" s="64"/>
      <c r="AB76" s="64"/>
      <c r="AC76" s="64"/>
      <c r="AD76" s="64"/>
      <c r="AE76" s="64"/>
      <c r="AF76" s="64"/>
      <c r="AG76" s="64"/>
      <c r="AH76" s="65"/>
      <c r="AI76" s="65"/>
      <c r="AJ76" s="65"/>
      <c r="AK76" s="65"/>
      <c r="AL76" s="65"/>
      <c r="AM76" s="64"/>
      <c r="AN76" s="65"/>
      <c r="AO76" s="65"/>
      <c r="AP76" s="64"/>
      <c r="AQ76" s="69"/>
      <c r="AR76" s="69"/>
      <c r="AS76" s="65"/>
    </row>
    <row r="77" spans="1:45" s="63" customFormat="1" ht="12.95" customHeight="1" x14ac:dyDescent="0.25">
      <c r="A77" s="41"/>
      <c r="B77" s="42" t="s">
        <v>15</v>
      </c>
      <c r="C77" s="67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43"/>
      <c r="AH77" s="44">
        <f>COUNTA(Mars!$C77:$AG77)</f>
        <v>0</v>
      </c>
      <c r="AI77" s="45">
        <f>(COUNTIFS(Mars!$C77:$AG77,("cp")))/2+Février!AI77</f>
        <v>0</v>
      </c>
      <c r="AJ77" s="45">
        <f>COUNTIFS(Mars!$C77:$AG77,"RTT")/2+Février!AJ77</f>
        <v>0</v>
      </c>
      <c r="AK77" s="45">
        <f>COUNTIFS(Mars!$C77:$AG77,"m")/2+Février!AK77</f>
        <v>0</v>
      </c>
      <c r="AL77" s="45">
        <f>COUNTIFS(Mars!$C77:$AG77,"a")/2+Février!AL77</f>
        <v>0</v>
      </c>
      <c r="AM77" s="46"/>
      <c r="AN77" s="47"/>
      <c r="AO77" s="47"/>
      <c r="AP77" s="46"/>
      <c r="AQ77" s="47"/>
      <c r="AR77" s="47"/>
      <c r="AS77" s="47"/>
    </row>
    <row r="78" spans="1:45" s="63" customFormat="1" ht="12.95" customHeight="1" x14ac:dyDescent="0.25">
      <c r="A78" s="48">
        <v>43059</v>
      </c>
      <c r="B78" s="42" t="s">
        <v>16</v>
      </c>
      <c r="C78" s="67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  <c r="AA78" s="43"/>
      <c r="AB78" s="43"/>
      <c r="AC78" s="43"/>
      <c r="AD78" s="43"/>
      <c r="AE78" s="43"/>
      <c r="AF78" s="43"/>
      <c r="AG78" s="43"/>
      <c r="AH78" s="44">
        <f>COUNTA(Mars!$C78:$AG78)</f>
        <v>0</v>
      </c>
      <c r="AI78" s="45">
        <f>(COUNTIFS(Mars!$C78:$AG78,("cp")))/2+Février!AI78</f>
        <v>0</v>
      </c>
      <c r="AJ78" s="45">
        <f>COUNTIFS(Mars!$C78:$AG78,"RTT")/2+Février!AJ78</f>
        <v>0</v>
      </c>
      <c r="AK78" s="45">
        <f>COUNTIFS(Mars!$C78:$AG78,"m")/2+Février!AK78</f>
        <v>0</v>
      </c>
      <c r="AL78" s="45">
        <f>COUNTIFS(Mars!$C78:$AG78,"a")/2+Février!AL78</f>
        <v>0</v>
      </c>
      <c r="AM78" s="46"/>
      <c r="AN78" s="47"/>
      <c r="AO78" s="47"/>
      <c r="AP78" s="46"/>
      <c r="AQ78" s="47"/>
      <c r="AR78" s="47"/>
      <c r="AS78" s="101"/>
    </row>
    <row r="79" spans="1:45" s="63" customFormat="1" ht="12.95" customHeight="1" x14ac:dyDescent="0.25">
      <c r="A79" s="41"/>
      <c r="B79" s="42"/>
      <c r="C79" s="49" t="str">
        <f t="shared" ref="C79:AG79" si="22">IF(C77&gt;0,C77,IF(C78&gt;0,C78,""))</f>
        <v/>
      </c>
      <c r="D79" s="49" t="str">
        <f t="shared" si="22"/>
        <v/>
      </c>
      <c r="E79" s="49" t="str">
        <f t="shared" si="22"/>
        <v/>
      </c>
      <c r="F79" s="49" t="str">
        <f t="shared" si="22"/>
        <v/>
      </c>
      <c r="G79" s="49" t="str">
        <f t="shared" si="22"/>
        <v/>
      </c>
      <c r="H79" s="49" t="str">
        <f t="shared" si="22"/>
        <v/>
      </c>
      <c r="I79" s="49" t="str">
        <f t="shared" si="22"/>
        <v/>
      </c>
      <c r="J79" s="49" t="str">
        <f t="shared" si="22"/>
        <v/>
      </c>
      <c r="K79" s="49" t="str">
        <f t="shared" si="22"/>
        <v/>
      </c>
      <c r="L79" s="49" t="str">
        <f t="shared" si="22"/>
        <v/>
      </c>
      <c r="M79" s="49" t="str">
        <f t="shared" si="22"/>
        <v/>
      </c>
      <c r="N79" s="49" t="str">
        <f t="shared" si="22"/>
        <v/>
      </c>
      <c r="O79" s="49" t="str">
        <f t="shared" si="22"/>
        <v/>
      </c>
      <c r="P79" s="49" t="str">
        <f t="shared" si="22"/>
        <v/>
      </c>
      <c r="Q79" s="49" t="str">
        <f t="shared" si="22"/>
        <v/>
      </c>
      <c r="R79" s="49" t="str">
        <f t="shared" si="22"/>
        <v/>
      </c>
      <c r="S79" s="49" t="str">
        <f t="shared" si="22"/>
        <v/>
      </c>
      <c r="T79" s="49" t="str">
        <f t="shared" si="22"/>
        <v/>
      </c>
      <c r="U79" s="49" t="str">
        <f t="shared" si="22"/>
        <v/>
      </c>
      <c r="V79" s="49" t="str">
        <f t="shared" si="22"/>
        <v/>
      </c>
      <c r="W79" s="49" t="str">
        <f t="shared" si="22"/>
        <v/>
      </c>
      <c r="X79" s="49" t="str">
        <f t="shared" si="22"/>
        <v/>
      </c>
      <c r="Y79" s="49" t="str">
        <f t="shared" si="22"/>
        <v/>
      </c>
      <c r="Z79" s="49" t="str">
        <f t="shared" si="22"/>
        <v/>
      </c>
      <c r="AA79" s="49" t="str">
        <f t="shared" si="22"/>
        <v/>
      </c>
      <c r="AB79" s="49" t="str">
        <f t="shared" si="22"/>
        <v/>
      </c>
      <c r="AC79" s="49" t="str">
        <f t="shared" si="22"/>
        <v/>
      </c>
      <c r="AD79" s="49" t="str">
        <f t="shared" si="22"/>
        <v/>
      </c>
      <c r="AE79" s="49" t="str">
        <f t="shared" si="22"/>
        <v/>
      </c>
      <c r="AF79" s="49" t="str">
        <f t="shared" si="22"/>
        <v/>
      </c>
      <c r="AG79" s="49" t="str">
        <f t="shared" si="22"/>
        <v/>
      </c>
      <c r="AH79" s="44">
        <f>SUM(AH77:AH78)</f>
        <v>0</v>
      </c>
      <c r="AI79" s="45">
        <f>SUM(AI77:AI78)</f>
        <v>0</v>
      </c>
      <c r="AJ79" s="45">
        <f>SUM(AJ77:AJ78)</f>
        <v>0</v>
      </c>
      <c r="AK79" s="45">
        <f>SUM(AK77:AK78)</f>
        <v>0</v>
      </c>
      <c r="AL79" s="45">
        <f>SUM(AL77:AL78)</f>
        <v>0</v>
      </c>
      <c r="AM79" s="50">
        <f>Juin!AM79</f>
        <v>0</v>
      </c>
      <c r="AN79" s="51">
        <f>IF(A78="","",IF(A78&gt;NomMois,0,IF(A78&lt;$A$3,2.08,(NETWORKDAYS(A78,$A$2)/21.66667)*2.08)))</f>
        <v>2.08</v>
      </c>
      <c r="AO79" s="51">
        <f>IF( AN79="",0,+AN79+Février!AO79)</f>
        <v>9.1839998670769436</v>
      </c>
      <c r="AP79" s="50">
        <f>IF(A78="","",IF(A78&gt;NomMois,0,IF(A78&lt;$A$3,1.5,(NETWORKDAYS(A78,$A$2)/21.66667)*1.5)))+Février!AP79</f>
        <v>4.5</v>
      </c>
      <c r="AQ79" s="45">
        <f>+AM79-AI79</f>
        <v>0</v>
      </c>
      <c r="AR79" s="45">
        <f>+IF(AP79="","",AP79-AJ79)</f>
        <v>4.5</v>
      </c>
      <c r="AS79" s="102">
        <f t="shared" si="10"/>
        <v>9.1839998670769436</v>
      </c>
    </row>
    <row r="80" spans="1:45" s="63" customFormat="1" ht="6.75" customHeight="1" x14ac:dyDescent="0.25">
      <c r="A80" s="64"/>
      <c r="B80" s="42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  <c r="X80" s="64"/>
      <c r="Y80" s="64"/>
      <c r="Z80" s="64"/>
      <c r="AA80" s="64"/>
      <c r="AB80" s="64"/>
      <c r="AC80" s="64"/>
      <c r="AD80" s="64"/>
      <c r="AE80" s="64"/>
      <c r="AF80" s="64"/>
      <c r="AG80" s="64"/>
      <c r="AH80" s="65"/>
      <c r="AI80" s="65"/>
      <c r="AJ80" s="65"/>
      <c r="AK80" s="65"/>
      <c r="AL80" s="65"/>
      <c r="AM80" s="64"/>
      <c r="AN80" s="65"/>
      <c r="AO80" s="65"/>
      <c r="AP80" s="64"/>
      <c r="AQ80" s="69"/>
      <c r="AR80" s="69"/>
      <c r="AS80" s="65"/>
    </row>
    <row r="81" spans="1:45" s="63" customFormat="1" ht="12.95" customHeight="1" x14ac:dyDescent="0.25">
      <c r="A81" s="41"/>
      <c r="B81" s="42" t="s">
        <v>15</v>
      </c>
      <c r="C81" s="67"/>
      <c r="D81" s="43"/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  <c r="AA81" s="43"/>
      <c r="AB81" s="43"/>
      <c r="AC81" s="43"/>
      <c r="AD81" s="43"/>
      <c r="AE81" s="43"/>
      <c r="AF81" s="43"/>
      <c r="AG81" s="43"/>
      <c r="AH81" s="44">
        <f>COUNTA(Mars!$C81:$AG81)</f>
        <v>0</v>
      </c>
      <c r="AI81" s="45">
        <f>(COUNTIFS(Mars!$C81:$AG81,("cp")))/2+Février!AI81</f>
        <v>4.5</v>
      </c>
      <c r="AJ81" s="45">
        <f>COUNTIFS(Mars!$C81:$AG81,"RTT")/2+Février!AJ81</f>
        <v>0</v>
      </c>
      <c r="AK81" s="45">
        <f>COUNTIFS(Mars!$C81:$AG81,"m")/2+Février!AK81</f>
        <v>0</v>
      </c>
      <c r="AL81" s="45">
        <f>COUNTIFS(Mars!$C81:$AG81,"a")/2+Février!AL81</f>
        <v>0</v>
      </c>
      <c r="AM81" s="46"/>
      <c r="AN81" s="47"/>
      <c r="AO81" s="47"/>
      <c r="AP81" s="46"/>
      <c r="AQ81" s="47"/>
      <c r="AR81" s="47"/>
      <c r="AS81" s="47"/>
    </row>
    <row r="82" spans="1:45" s="63" customFormat="1" ht="12.95" customHeight="1" x14ac:dyDescent="0.25">
      <c r="A82" s="48">
        <v>42506</v>
      </c>
      <c r="B82" s="42" t="s">
        <v>16</v>
      </c>
      <c r="C82" s="67"/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  <c r="S82" s="43"/>
      <c r="T82" s="43"/>
      <c r="U82" s="43"/>
      <c r="V82" s="43"/>
      <c r="W82" s="43"/>
      <c r="X82" s="43"/>
      <c r="Y82" s="43"/>
      <c r="Z82" s="43"/>
      <c r="AA82" s="43"/>
      <c r="AB82" s="43"/>
      <c r="AC82" s="43"/>
      <c r="AD82" s="43"/>
      <c r="AE82" s="43"/>
      <c r="AF82" s="43"/>
      <c r="AG82" s="43"/>
      <c r="AH82" s="44">
        <f>COUNTA(Mars!$C82:$AG82)</f>
        <v>0</v>
      </c>
      <c r="AI82" s="45">
        <f>(COUNTIFS(Mars!$C82:$AG82,("cp")))/2+Février!AI82</f>
        <v>4.5</v>
      </c>
      <c r="AJ82" s="45">
        <f>COUNTIFS(Mars!$C82:$AG82,"RTT")/2+Février!AJ82</f>
        <v>0</v>
      </c>
      <c r="AK82" s="45">
        <f>COUNTIFS(Mars!$C82:$AG82,"m")/2+Février!AK82</f>
        <v>0</v>
      </c>
      <c r="AL82" s="45">
        <f>COUNTIFS(Mars!$C82:$AG82,"a")/2+Février!AL82</f>
        <v>0</v>
      </c>
      <c r="AM82" s="46"/>
      <c r="AN82" s="47"/>
      <c r="AO82" s="47"/>
      <c r="AP82" s="46"/>
      <c r="AQ82" s="47"/>
      <c r="AR82" s="47"/>
      <c r="AS82" s="101"/>
    </row>
    <row r="83" spans="1:45" s="63" customFormat="1" ht="12.95" customHeight="1" x14ac:dyDescent="0.25">
      <c r="A83" s="41"/>
      <c r="B83" s="42"/>
      <c r="C83" s="49" t="str">
        <f t="shared" ref="C83:AG83" si="23">IF(C81&gt;0,C81,IF(C82&gt;0,C82,""))</f>
        <v/>
      </c>
      <c r="D83" s="49" t="str">
        <f t="shared" si="23"/>
        <v/>
      </c>
      <c r="E83" s="49" t="str">
        <f t="shared" si="23"/>
        <v/>
      </c>
      <c r="F83" s="49" t="str">
        <f t="shared" si="23"/>
        <v/>
      </c>
      <c r="G83" s="49" t="str">
        <f t="shared" si="23"/>
        <v/>
      </c>
      <c r="H83" s="49" t="str">
        <f t="shared" si="23"/>
        <v/>
      </c>
      <c r="I83" s="49" t="str">
        <f t="shared" si="23"/>
        <v/>
      </c>
      <c r="J83" s="49" t="str">
        <f t="shared" si="23"/>
        <v/>
      </c>
      <c r="K83" s="49" t="str">
        <f t="shared" si="23"/>
        <v/>
      </c>
      <c r="L83" s="49" t="str">
        <f t="shared" si="23"/>
        <v/>
      </c>
      <c r="M83" s="49" t="str">
        <f t="shared" si="23"/>
        <v/>
      </c>
      <c r="N83" s="49" t="str">
        <f t="shared" si="23"/>
        <v/>
      </c>
      <c r="O83" s="49" t="str">
        <f t="shared" si="23"/>
        <v/>
      </c>
      <c r="P83" s="49" t="str">
        <f t="shared" si="23"/>
        <v/>
      </c>
      <c r="Q83" s="49" t="str">
        <f t="shared" si="23"/>
        <v/>
      </c>
      <c r="R83" s="49" t="str">
        <f t="shared" si="23"/>
        <v/>
      </c>
      <c r="S83" s="49" t="str">
        <f t="shared" si="23"/>
        <v/>
      </c>
      <c r="T83" s="49" t="str">
        <f t="shared" si="23"/>
        <v/>
      </c>
      <c r="U83" s="49" t="str">
        <f t="shared" si="23"/>
        <v/>
      </c>
      <c r="V83" s="49" t="str">
        <f t="shared" si="23"/>
        <v/>
      </c>
      <c r="W83" s="49" t="str">
        <f t="shared" si="23"/>
        <v/>
      </c>
      <c r="X83" s="49" t="str">
        <f t="shared" si="23"/>
        <v/>
      </c>
      <c r="Y83" s="49" t="str">
        <f t="shared" si="23"/>
        <v/>
      </c>
      <c r="Z83" s="49" t="str">
        <f t="shared" si="23"/>
        <v/>
      </c>
      <c r="AA83" s="49" t="str">
        <f t="shared" si="23"/>
        <v/>
      </c>
      <c r="AB83" s="49" t="str">
        <f t="shared" si="23"/>
        <v/>
      </c>
      <c r="AC83" s="49" t="str">
        <f t="shared" si="23"/>
        <v/>
      </c>
      <c r="AD83" s="49" t="str">
        <f t="shared" si="23"/>
        <v/>
      </c>
      <c r="AE83" s="49" t="str">
        <f t="shared" si="23"/>
        <v/>
      </c>
      <c r="AF83" s="49" t="str">
        <f t="shared" si="23"/>
        <v/>
      </c>
      <c r="AG83" s="49" t="str">
        <f t="shared" si="23"/>
        <v/>
      </c>
      <c r="AH83" s="44">
        <f>SUM(AH81:AH82)</f>
        <v>0</v>
      </c>
      <c r="AI83" s="45">
        <f>SUM(AI81:AI82)</f>
        <v>9</v>
      </c>
      <c r="AJ83" s="45">
        <f>SUM(AJ81:AJ82)</f>
        <v>0</v>
      </c>
      <c r="AK83" s="45">
        <f>SUM(AK81:AK82)</f>
        <v>0</v>
      </c>
      <c r="AL83" s="45">
        <f>SUM(AL81:AL82)</f>
        <v>0</v>
      </c>
      <c r="AM83" s="50">
        <f>Juin!AM83</f>
        <v>-9.98</v>
      </c>
      <c r="AN83" s="51">
        <f>IF(A82="","",IF(A82&gt;NomMois,0,IF(A82&lt;$A$3,2.08,(NETWORKDAYS(A82,$A$2)/21.66667)*2.08)))</f>
        <v>2.08</v>
      </c>
      <c r="AO83" s="51">
        <f>IF( AN83="",0,+AN83+Février!AO83)</f>
        <v>20.799999999999997</v>
      </c>
      <c r="AP83" s="50"/>
      <c r="AQ83" s="45">
        <f>+AM83-AI83</f>
        <v>-18.98</v>
      </c>
      <c r="AR83" s="45" t="str">
        <f>+IF(AP83="","",AP83-AJ83)</f>
        <v/>
      </c>
      <c r="AS83" s="102">
        <f t="shared" si="10"/>
        <v>1.8199999999999967</v>
      </c>
    </row>
    <row r="84" spans="1:45" s="63" customFormat="1" ht="6.75" customHeight="1" x14ac:dyDescent="0.25">
      <c r="A84" s="64"/>
      <c r="B84" s="42"/>
      <c r="C84" s="64"/>
      <c r="D84" s="64"/>
      <c r="E84" s="64"/>
      <c r="F84" s="64"/>
      <c r="G84" s="64"/>
      <c r="H84" s="64"/>
      <c r="I84" s="64"/>
      <c r="J84" s="64"/>
      <c r="K84" s="64"/>
      <c r="L84" s="64"/>
      <c r="M84" s="64"/>
      <c r="N84" s="64"/>
      <c r="O84" s="64"/>
      <c r="P84" s="64"/>
      <c r="Q84" s="64"/>
      <c r="R84" s="64"/>
      <c r="S84" s="64"/>
      <c r="T84" s="64"/>
      <c r="U84" s="64"/>
      <c r="V84" s="64"/>
      <c r="W84" s="64"/>
      <c r="X84" s="64"/>
      <c r="Y84" s="64"/>
      <c r="Z84" s="64"/>
      <c r="AA84" s="64"/>
      <c r="AB84" s="64"/>
      <c r="AC84" s="64"/>
      <c r="AD84" s="64"/>
      <c r="AE84" s="64"/>
      <c r="AF84" s="64"/>
      <c r="AG84" s="64"/>
      <c r="AH84" s="65"/>
      <c r="AI84" s="65"/>
      <c r="AJ84" s="65"/>
      <c r="AK84" s="65"/>
      <c r="AL84" s="65"/>
      <c r="AM84" s="64"/>
      <c r="AN84" s="65"/>
      <c r="AO84" s="65"/>
      <c r="AP84" s="64"/>
      <c r="AQ84" s="69"/>
      <c r="AR84" s="69"/>
      <c r="AS84" s="65"/>
    </row>
    <row r="85" spans="1:45" s="63" customFormat="1" ht="12.95" customHeight="1" x14ac:dyDescent="0.25">
      <c r="A85" s="41"/>
      <c r="B85" s="42" t="s">
        <v>15</v>
      </c>
      <c r="C85" s="67"/>
      <c r="D85" s="43"/>
      <c r="E85" s="43"/>
      <c r="F85" s="43"/>
      <c r="G85" s="43"/>
      <c r="H85" s="43"/>
      <c r="I85" s="43"/>
      <c r="J85" s="43"/>
      <c r="K85" s="43"/>
      <c r="L85" s="43"/>
      <c r="M85" s="43"/>
      <c r="N85" s="43"/>
      <c r="O85" s="43"/>
      <c r="P85" s="43"/>
      <c r="Q85" s="43"/>
      <c r="R85" s="43"/>
      <c r="S85" s="43"/>
      <c r="T85" s="43"/>
      <c r="U85" s="43"/>
      <c r="V85" s="43"/>
      <c r="W85" s="43"/>
      <c r="X85" s="43"/>
      <c r="Y85" s="43"/>
      <c r="Z85" s="43"/>
      <c r="AA85" s="43"/>
      <c r="AB85" s="43"/>
      <c r="AC85" s="43"/>
      <c r="AD85" s="43"/>
      <c r="AE85" s="43"/>
      <c r="AF85" s="43"/>
      <c r="AG85" s="43"/>
      <c r="AH85" s="44">
        <f>COUNTA(Mars!$C85:$AG85)</f>
        <v>0</v>
      </c>
      <c r="AI85" s="45">
        <f>(COUNTIFS(Mars!$C85:$AG85,("cp")))/2+Février!AI85</f>
        <v>13</v>
      </c>
      <c r="AJ85" s="45">
        <f>COUNTIFS(Mars!$C85:$AG85,"RTT")/2+Février!AJ85</f>
        <v>0</v>
      </c>
      <c r="AK85" s="45">
        <f>COUNTIFS(Mars!$C85:$AG85,"m")/2+Février!AK85</f>
        <v>0</v>
      </c>
      <c r="AL85" s="45">
        <f>COUNTIFS(Mars!$C85:$AG85,"a")/2+Février!AL85</f>
        <v>0</v>
      </c>
      <c r="AM85" s="46"/>
      <c r="AN85" s="47"/>
      <c r="AO85" s="47"/>
      <c r="AP85" s="46"/>
      <c r="AQ85" s="47"/>
      <c r="AR85" s="47"/>
      <c r="AS85" s="47"/>
    </row>
    <row r="86" spans="1:45" s="63" customFormat="1" ht="12.95" customHeight="1" x14ac:dyDescent="0.25">
      <c r="A86" s="48">
        <v>42303</v>
      </c>
      <c r="B86" s="42" t="s">
        <v>16</v>
      </c>
      <c r="C86" s="67"/>
      <c r="D86" s="43"/>
      <c r="E86" s="43"/>
      <c r="F86" s="43"/>
      <c r="G86" s="43"/>
      <c r="H86" s="43"/>
      <c r="I86" s="43"/>
      <c r="J86" s="43"/>
      <c r="K86" s="43"/>
      <c r="L86" s="43"/>
      <c r="M86" s="43"/>
      <c r="N86" s="43"/>
      <c r="O86" s="43"/>
      <c r="P86" s="43"/>
      <c r="Q86" s="43"/>
      <c r="R86" s="43"/>
      <c r="S86" s="43"/>
      <c r="T86" s="43"/>
      <c r="U86" s="43"/>
      <c r="V86" s="43"/>
      <c r="W86" s="43"/>
      <c r="X86" s="43"/>
      <c r="Y86" s="43"/>
      <c r="Z86" s="43"/>
      <c r="AA86" s="43"/>
      <c r="AB86" s="43"/>
      <c r="AC86" s="43"/>
      <c r="AD86" s="43"/>
      <c r="AE86" s="43"/>
      <c r="AF86" s="43"/>
      <c r="AG86" s="43"/>
      <c r="AH86" s="44">
        <f>COUNTA(Mars!$C86:$AG86)</f>
        <v>0</v>
      </c>
      <c r="AI86" s="45">
        <f>(COUNTIFS(Mars!$C86:$AG86,("cp")))/2+Février!AI86</f>
        <v>13</v>
      </c>
      <c r="AJ86" s="45">
        <f>COUNTIFS(Mars!$C86:$AG86,"RTT")/2+Février!AJ86</f>
        <v>0</v>
      </c>
      <c r="AK86" s="45">
        <f>COUNTIFS(Mars!$C86:$AG86,"m")/2+Février!AK86</f>
        <v>0</v>
      </c>
      <c r="AL86" s="45">
        <f>COUNTIFS(Mars!$C86:$AG86,"a")/2+Février!AL86</f>
        <v>0</v>
      </c>
      <c r="AM86" s="46"/>
      <c r="AN86" s="47"/>
      <c r="AO86" s="47"/>
      <c r="AP86" s="46"/>
      <c r="AQ86" s="47"/>
      <c r="AR86" s="47"/>
      <c r="AS86" s="101"/>
    </row>
    <row r="87" spans="1:45" s="63" customFormat="1" ht="12.95" customHeight="1" x14ac:dyDescent="0.25">
      <c r="A87" s="41"/>
      <c r="B87" s="42"/>
      <c r="C87" s="49" t="str">
        <f t="shared" ref="C87:AG87" si="24">IF(C85&gt;0,C85,IF(C86&gt;0,C86,""))</f>
        <v/>
      </c>
      <c r="D87" s="49" t="str">
        <f t="shared" si="24"/>
        <v/>
      </c>
      <c r="E87" s="49" t="str">
        <f t="shared" si="24"/>
        <v/>
      </c>
      <c r="F87" s="49" t="str">
        <f t="shared" si="24"/>
        <v/>
      </c>
      <c r="G87" s="49" t="str">
        <f t="shared" si="24"/>
        <v/>
      </c>
      <c r="H87" s="49" t="str">
        <f t="shared" si="24"/>
        <v/>
      </c>
      <c r="I87" s="49" t="str">
        <f t="shared" si="24"/>
        <v/>
      </c>
      <c r="J87" s="49" t="str">
        <f t="shared" si="24"/>
        <v/>
      </c>
      <c r="K87" s="49" t="str">
        <f t="shared" si="24"/>
        <v/>
      </c>
      <c r="L87" s="49" t="str">
        <f t="shared" si="24"/>
        <v/>
      </c>
      <c r="M87" s="49" t="str">
        <f t="shared" si="24"/>
        <v/>
      </c>
      <c r="N87" s="49" t="str">
        <f t="shared" si="24"/>
        <v/>
      </c>
      <c r="O87" s="49" t="str">
        <f t="shared" si="24"/>
        <v/>
      </c>
      <c r="P87" s="49" t="str">
        <f t="shared" si="24"/>
        <v/>
      </c>
      <c r="Q87" s="49" t="str">
        <f t="shared" si="24"/>
        <v/>
      </c>
      <c r="R87" s="49" t="str">
        <f t="shared" si="24"/>
        <v/>
      </c>
      <c r="S87" s="49" t="str">
        <f t="shared" si="24"/>
        <v/>
      </c>
      <c r="T87" s="49" t="str">
        <f t="shared" si="24"/>
        <v/>
      </c>
      <c r="U87" s="49" t="str">
        <f t="shared" si="24"/>
        <v/>
      </c>
      <c r="V87" s="49" t="str">
        <f t="shared" si="24"/>
        <v/>
      </c>
      <c r="W87" s="49" t="str">
        <f t="shared" si="24"/>
        <v/>
      </c>
      <c r="X87" s="49" t="str">
        <f t="shared" si="24"/>
        <v/>
      </c>
      <c r="Y87" s="49" t="str">
        <f t="shared" si="24"/>
        <v/>
      </c>
      <c r="Z87" s="49" t="str">
        <f t="shared" si="24"/>
        <v/>
      </c>
      <c r="AA87" s="49" t="str">
        <f t="shared" si="24"/>
        <v/>
      </c>
      <c r="AB87" s="49" t="str">
        <f t="shared" si="24"/>
        <v/>
      </c>
      <c r="AC87" s="49" t="str">
        <f t="shared" si="24"/>
        <v/>
      </c>
      <c r="AD87" s="49" t="str">
        <f t="shared" si="24"/>
        <v/>
      </c>
      <c r="AE87" s="49" t="str">
        <f t="shared" si="24"/>
        <v/>
      </c>
      <c r="AF87" s="49" t="str">
        <f t="shared" si="24"/>
        <v/>
      </c>
      <c r="AG87" s="49" t="str">
        <f t="shared" si="24"/>
        <v/>
      </c>
      <c r="AH87" s="44">
        <f>SUM(AH85:AH86)</f>
        <v>0</v>
      </c>
      <c r="AI87" s="45">
        <f>SUM(AI85:AI86)</f>
        <v>26</v>
      </c>
      <c r="AJ87" s="45">
        <f>SUM(AJ85:AJ86)</f>
        <v>0</v>
      </c>
      <c r="AK87" s="45">
        <f>SUM(AK85:AK86)</f>
        <v>0</v>
      </c>
      <c r="AL87" s="45">
        <f>SUM(AL85:AL86)</f>
        <v>0</v>
      </c>
      <c r="AM87" s="50">
        <f>Juin!AM87</f>
        <v>12.02</v>
      </c>
      <c r="AN87" s="51">
        <f>IF(A86="","",IF(A86&gt;NomMois,0,IF(A86&lt;$A$3,2.5,(NETWORKDAYS(A86,$A$2)/21.66667)*2.5)))</f>
        <v>2.5</v>
      </c>
      <c r="AO87" s="51">
        <f>IF( AN87="",0,+AN87+Février!AO87)</f>
        <v>25</v>
      </c>
      <c r="AP87" s="50"/>
      <c r="AQ87" s="45">
        <f>+AM87-AI87</f>
        <v>-13.98</v>
      </c>
      <c r="AR87" s="45" t="str">
        <f>+IF(AP87="","",AP87-AJ87)</f>
        <v/>
      </c>
      <c r="AS87" s="102">
        <f t="shared" si="10"/>
        <v>11.02</v>
      </c>
    </row>
    <row r="88" spans="1:45" s="63" customFormat="1" ht="6.75" customHeight="1" x14ac:dyDescent="0.25">
      <c r="A88" s="64"/>
      <c r="B88" s="42"/>
      <c r="C88" s="64"/>
      <c r="D88" s="64"/>
      <c r="E88" s="64"/>
      <c r="F88" s="64"/>
      <c r="G88" s="64"/>
      <c r="H88" s="64"/>
      <c r="I88" s="64"/>
      <c r="J88" s="64"/>
      <c r="K88" s="64"/>
      <c r="L88" s="64"/>
      <c r="M88" s="64"/>
      <c r="N88" s="64"/>
      <c r="O88" s="64"/>
      <c r="P88" s="64"/>
      <c r="Q88" s="64"/>
      <c r="R88" s="64"/>
      <c r="S88" s="64"/>
      <c r="T88" s="64"/>
      <c r="U88" s="64"/>
      <c r="V88" s="64"/>
      <c r="W88" s="64"/>
      <c r="X88" s="64"/>
      <c r="Y88" s="64"/>
      <c r="Z88" s="64"/>
      <c r="AA88" s="64"/>
      <c r="AB88" s="64"/>
      <c r="AC88" s="64"/>
      <c r="AD88" s="64"/>
      <c r="AE88" s="64"/>
      <c r="AF88" s="64"/>
      <c r="AG88" s="64"/>
      <c r="AH88" s="65"/>
      <c r="AI88" s="65"/>
      <c r="AJ88" s="65"/>
      <c r="AK88" s="65"/>
      <c r="AL88" s="65"/>
      <c r="AM88" s="64"/>
      <c r="AN88" s="65"/>
      <c r="AO88" s="65"/>
      <c r="AP88" s="64"/>
      <c r="AQ88" s="69"/>
      <c r="AR88" s="69"/>
      <c r="AS88" s="65"/>
    </row>
    <row r="89" spans="1:45" s="63" customFormat="1" ht="12.95" customHeight="1" x14ac:dyDescent="0.25">
      <c r="A89" s="41"/>
      <c r="B89" s="42" t="s">
        <v>15</v>
      </c>
      <c r="C89" s="67"/>
      <c r="D89" s="43"/>
      <c r="E89" s="43"/>
      <c r="F89" s="43"/>
      <c r="G89" s="43"/>
      <c r="H89" s="43"/>
      <c r="I89" s="43"/>
      <c r="J89" s="43"/>
      <c r="K89" s="43"/>
      <c r="L89" s="43"/>
      <c r="M89" s="43"/>
      <c r="N89" s="43"/>
      <c r="O89" s="43"/>
      <c r="P89" s="43"/>
      <c r="Q89" s="43"/>
      <c r="R89" s="43"/>
      <c r="S89" s="43"/>
      <c r="T89" s="43"/>
      <c r="U89" s="43"/>
      <c r="V89" s="43"/>
      <c r="W89" s="43"/>
      <c r="X89" s="43"/>
      <c r="Y89" s="43"/>
      <c r="Z89" s="43"/>
      <c r="AA89" s="43"/>
      <c r="AB89" s="43"/>
      <c r="AC89" s="43"/>
      <c r="AD89" s="43"/>
      <c r="AE89" s="43"/>
      <c r="AF89" s="43"/>
      <c r="AG89" s="43"/>
      <c r="AH89" s="44">
        <f>COUNTA(Mars!$C89:$AG89)</f>
        <v>0</v>
      </c>
      <c r="AI89" s="45">
        <f>(COUNTIFS(Mars!$C89:$AG89,("cp")))/2+Février!AI89</f>
        <v>19.5</v>
      </c>
      <c r="AJ89" s="45">
        <f>COUNTIFS(Mars!$C89:$AG89,"RTT")/2+Février!AJ89</f>
        <v>0</v>
      </c>
      <c r="AK89" s="45">
        <f>COUNTIFS(Mars!$C89:$AG89,"m")/2+Février!AK89</f>
        <v>0</v>
      </c>
      <c r="AL89" s="45">
        <f>COUNTIFS(Mars!$C89:$AG89,"a")/2+Février!AL89</f>
        <v>0</v>
      </c>
      <c r="AM89" s="46"/>
      <c r="AN89" s="47"/>
      <c r="AO89" s="47"/>
      <c r="AP89" s="46"/>
      <c r="AQ89" s="47"/>
      <c r="AR89" s="47"/>
      <c r="AS89" s="47"/>
    </row>
    <row r="90" spans="1:45" s="63" customFormat="1" ht="12.95" customHeight="1" x14ac:dyDescent="0.25">
      <c r="A90" s="48">
        <v>42303</v>
      </c>
      <c r="B90" s="42" t="s">
        <v>16</v>
      </c>
      <c r="C90" s="67"/>
      <c r="D90" s="43"/>
      <c r="E90" s="43"/>
      <c r="F90" s="43"/>
      <c r="G90" s="43"/>
      <c r="H90" s="43"/>
      <c r="I90" s="43"/>
      <c r="J90" s="43"/>
      <c r="K90" s="43"/>
      <c r="L90" s="43"/>
      <c r="M90" s="43"/>
      <c r="N90" s="43"/>
      <c r="O90" s="43"/>
      <c r="P90" s="43"/>
      <c r="Q90" s="43"/>
      <c r="R90" s="43"/>
      <c r="S90" s="43"/>
      <c r="T90" s="43"/>
      <c r="U90" s="43"/>
      <c r="V90" s="43"/>
      <c r="W90" s="43"/>
      <c r="X90" s="43"/>
      <c r="Y90" s="43"/>
      <c r="Z90" s="43"/>
      <c r="AA90" s="43"/>
      <c r="AB90" s="43"/>
      <c r="AC90" s="43"/>
      <c r="AD90" s="43"/>
      <c r="AE90" s="43"/>
      <c r="AF90" s="43"/>
      <c r="AG90" s="43"/>
      <c r="AH90" s="44">
        <f>COUNTA(Mars!$C90:$AG90)</f>
        <v>0</v>
      </c>
      <c r="AI90" s="45">
        <f>(COUNTIFS(Mars!$C90:$AG90,("cp")))/2+Février!AI90</f>
        <v>19.5</v>
      </c>
      <c r="AJ90" s="45">
        <f>COUNTIFS(Mars!$C90:$AG90,"RTT")/2+Février!AJ90</f>
        <v>0</v>
      </c>
      <c r="AK90" s="45">
        <f>COUNTIFS(Mars!$C90:$AG90,"m")/2+Février!AK90</f>
        <v>0</v>
      </c>
      <c r="AL90" s="45">
        <f>COUNTIFS(Mars!$C90:$AG90,"a")/2+Février!AL90</f>
        <v>0</v>
      </c>
      <c r="AM90" s="46"/>
      <c r="AN90" s="47"/>
      <c r="AO90" s="47"/>
      <c r="AP90" s="46"/>
      <c r="AQ90" s="47"/>
      <c r="AR90" s="47"/>
      <c r="AS90" s="101"/>
    </row>
    <row r="91" spans="1:45" s="63" customFormat="1" ht="12.95" customHeight="1" x14ac:dyDescent="0.25">
      <c r="A91" s="41"/>
      <c r="B91" s="42"/>
      <c r="C91" s="49" t="str">
        <f t="shared" ref="C91:AG91" si="25">IF(C89&gt;0,C89,IF(C90&gt;0,C90,""))</f>
        <v/>
      </c>
      <c r="D91" s="49" t="str">
        <f t="shared" si="25"/>
        <v/>
      </c>
      <c r="E91" s="49" t="str">
        <f t="shared" si="25"/>
        <v/>
      </c>
      <c r="F91" s="49" t="str">
        <f t="shared" si="25"/>
        <v/>
      </c>
      <c r="G91" s="49" t="str">
        <f t="shared" si="25"/>
        <v/>
      </c>
      <c r="H91" s="49" t="str">
        <f t="shared" si="25"/>
        <v/>
      </c>
      <c r="I91" s="49" t="str">
        <f t="shared" si="25"/>
        <v/>
      </c>
      <c r="J91" s="49" t="str">
        <f t="shared" si="25"/>
        <v/>
      </c>
      <c r="K91" s="49" t="str">
        <f t="shared" si="25"/>
        <v/>
      </c>
      <c r="L91" s="49" t="str">
        <f t="shared" si="25"/>
        <v/>
      </c>
      <c r="M91" s="49" t="str">
        <f t="shared" si="25"/>
        <v/>
      </c>
      <c r="N91" s="49" t="str">
        <f t="shared" si="25"/>
        <v/>
      </c>
      <c r="O91" s="49" t="str">
        <f t="shared" si="25"/>
        <v/>
      </c>
      <c r="P91" s="49" t="str">
        <f t="shared" si="25"/>
        <v/>
      </c>
      <c r="Q91" s="49" t="str">
        <f t="shared" si="25"/>
        <v/>
      </c>
      <c r="R91" s="49" t="str">
        <f t="shared" si="25"/>
        <v/>
      </c>
      <c r="S91" s="49" t="str">
        <f t="shared" si="25"/>
        <v/>
      </c>
      <c r="T91" s="49" t="str">
        <f t="shared" si="25"/>
        <v/>
      </c>
      <c r="U91" s="49" t="str">
        <f t="shared" si="25"/>
        <v/>
      </c>
      <c r="V91" s="49" t="str">
        <f t="shared" si="25"/>
        <v/>
      </c>
      <c r="W91" s="49" t="str">
        <f t="shared" si="25"/>
        <v/>
      </c>
      <c r="X91" s="49" t="str">
        <f t="shared" si="25"/>
        <v/>
      </c>
      <c r="Y91" s="49" t="str">
        <f t="shared" si="25"/>
        <v/>
      </c>
      <c r="Z91" s="49" t="str">
        <f t="shared" si="25"/>
        <v/>
      </c>
      <c r="AA91" s="49" t="str">
        <f t="shared" si="25"/>
        <v/>
      </c>
      <c r="AB91" s="49" t="str">
        <f t="shared" si="25"/>
        <v/>
      </c>
      <c r="AC91" s="49" t="str">
        <f t="shared" si="25"/>
        <v/>
      </c>
      <c r="AD91" s="49" t="str">
        <f t="shared" si="25"/>
        <v/>
      </c>
      <c r="AE91" s="49" t="str">
        <f t="shared" si="25"/>
        <v/>
      </c>
      <c r="AF91" s="49" t="str">
        <f t="shared" si="25"/>
        <v/>
      </c>
      <c r="AG91" s="49" t="str">
        <f t="shared" si="25"/>
        <v/>
      </c>
      <c r="AH91" s="44">
        <f>SUM(AH89:AH90)</f>
        <v>0</v>
      </c>
      <c r="AI91" s="45">
        <f>SUM(AI89:AI90)</f>
        <v>39</v>
      </c>
      <c r="AJ91" s="45">
        <f>SUM(AJ89:AJ90)</f>
        <v>0</v>
      </c>
      <c r="AK91" s="45">
        <f>SUM(AK89:AK90)</f>
        <v>0</v>
      </c>
      <c r="AL91" s="45">
        <f>SUM(AL89:AL90)</f>
        <v>0</v>
      </c>
      <c r="AM91" s="50">
        <f>Juin!AM91</f>
        <v>-0.82</v>
      </c>
      <c r="AN91" s="51">
        <f>IF(A90="","",IF(A90&gt;NomMois,0,IF(A90&lt;$A$3,2.5,(NETWORKDAYS(A90,$A$2)/21.66667)*2.5)))</f>
        <v>2.5</v>
      </c>
      <c r="AO91" s="51">
        <f>IF( AN91="",0,+AN91+Février!AO91)</f>
        <v>25</v>
      </c>
      <c r="AP91" s="50"/>
      <c r="AQ91" s="45">
        <f>+AM91-AI91</f>
        <v>-39.82</v>
      </c>
      <c r="AR91" s="45" t="str">
        <f>+IF(AP91="","",AP91-AJ91)</f>
        <v/>
      </c>
      <c r="AS91" s="102">
        <f t="shared" si="10"/>
        <v>-14.82</v>
      </c>
    </row>
    <row r="92" spans="1:45" s="63" customFormat="1" ht="6.75" customHeight="1" x14ac:dyDescent="0.25">
      <c r="A92" s="64"/>
      <c r="B92" s="42"/>
      <c r="C92" s="64"/>
      <c r="D92" s="64"/>
      <c r="E92" s="64"/>
      <c r="F92" s="64"/>
      <c r="G92" s="64"/>
      <c r="H92" s="64"/>
      <c r="I92" s="64"/>
      <c r="J92" s="64"/>
      <c r="K92" s="64"/>
      <c r="L92" s="64"/>
      <c r="M92" s="64"/>
      <c r="N92" s="64"/>
      <c r="O92" s="64"/>
      <c r="P92" s="64"/>
      <c r="Q92" s="64"/>
      <c r="R92" s="64"/>
      <c r="S92" s="64"/>
      <c r="T92" s="64"/>
      <c r="U92" s="64"/>
      <c r="V92" s="64"/>
      <c r="W92" s="64"/>
      <c r="X92" s="64"/>
      <c r="Y92" s="64"/>
      <c r="Z92" s="64"/>
      <c r="AA92" s="64"/>
      <c r="AB92" s="64"/>
      <c r="AC92" s="64"/>
      <c r="AD92" s="64"/>
      <c r="AE92" s="64"/>
      <c r="AF92" s="64"/>
      <c r="AG92" s="64"/>
      <c r="AH92" s="65"/>
      <c r="AI92" s="65"/>
      <c r="AJ92" s="65"/>
      <c r="AK92" s="65"/>
      <c r="AL92" s="65"/>
      <c r="AM92" s="64"/>
      <c r="AN92" s="65"/>
      <c r="AO92" s="65"/>
      <c r="AP92" s="64"/>
      <c r="AQ92" s="69"/>
      <c r="AR92" s="69"/>
      <c r="AS92" s="65"/>
    </row>
    <row r="93" spans="1:45" ht="12.95" customHeight="1" x14ac:dyDescent="0.25">
      <c r="A93" s="41"/>
      <c r="B93" s="42" t="s">
        <v>15</v>
      </c>
      <c r="C93" s="67"/>
      <c r="D93" s="43"/>
      <c r="E93" s="43"/>
      <c r="F93" s="43"/>
      <c r="G93" s="43"/>
      <c r="H93" s="43"/>
      <c r="I93" s="43"/>
      <c r="J93" s="43"/>
      <c r="K93" s="43"/>
      <c r="L93" s="43"/>
      <c r="M93" s="43"/>
      <c r="N93" s="43"/>
      <c r="O93" s="43"/>
      <c r="P93" s="43"/>
      <c r="Q93" s="43"/>
      <c r="R93" s="43"/>
      <c r="S93" s="43"/>
      <c r="T93" s="43"/>
      <c r="U93" s="43"/>
      <c r="V93" s="43"/>
      <c r="W93" s="43"/>
      <c r="X93" s="43"/>
      <c r="Y93" s="43"/>
      <c r="Z93" s="43"/>
      <c r="AA93" s="43"/>
      <c r="AB93" s="43"/>
      <c r="AC93" s="43"/>
      <c r="AD93" s="43"/>
      <c r="AE93" s="43"/>
      <c r="AF93" s="43"/>
      <c r="AG93" s="43"/>
      <c r="AH93" s="44">
        <f>COUNTA(Mars!$C93:$AG93)</f>
        <v>0</v>
      </c>
      <c r="AI93" s="45">
        <f>(COUNTIFS(Mars!$C93:$AG93,("cp")))/2+Février!AI93</f>
        <v>0</v>
      </c>
      <c r="AJ93" s="45">
        <f>COUNTIFS(Mars!$C93:$AG93,"RTT")/2+Février!AJ93</f>
        <v>0</v>
      </c>
      <c r="AK93" s="45">
        <f>COUNTIFS(Mars!$C93:$AG93,"m")/2+Février!AK93</f>
        <v>5</v>
      </c>
      <c r="AL93" s="45">
        <f>COUNTIFS(Mars!$C93:$AG93,"a")/2+Février!AL93</f>
        <v>0</v>
      </c>
      <c r="AM93" s="46"/>
      <c r="AN93" s="47"/>
      <c r="AO93" s="47"/>
      <c r="AP93" s="46"/>
      <c r="AQ93" s="47"/>
      <c r="AR93" s="47"/>
      <c r="AS93" s="47"/>
    </row>
    <row r="94" spans="1:45" s="79" customFormat="1" ht="12.95" customHeight="1" x14ac:dyDescent="0.25">
      <c r="A94" s="48">
        <v>42921</v>
      </c>
      <c r="B94" s="42" t="s">
        <v>16</v>
      </c>
      <c r="C94" s="67"/>
      <c r="D94" s="43"/>
      <c r="E94" s="43"/>
      <c r="F94" s="43"/>
      <c r="G94" s="43"/>
      <c r="H94" s="43"/>
      <c r="I94" s="43"/>
      <c r="J94" s="43"/>
      <c r="K94" s="43"/>
      <c r="L94" s="43"/>
      <c r="M94" s="43"/>
      <c r="N94" s="43"/>
      <c r="O94" s="43"/>
      <c r="P94" s="43"/>
      <c r="Q94" s="43"/>
      <c r="R94" s="43"/>
      <c r="S94" s="43"/>
      <c r="T94" s="43"/>
      <c r="U94" s="43"/>
      <c r="V94" s="43"/>
      <c r="W94" s="43"/>
      <c r="X94" s="43"/>
      <c r="Y94" s="43"/>
      <c r="Z94" s="43"/>
      <c r="AA94" s="43"/>
      <c r="AB94" s="43"/>
      <c r="AC94" s="43"/>
      <c r="AD94" s="43"/>
      <c r="AE94" s="43"/>
      <c r="AF94" s="43"/>
      <c r="AG94" s="43"/>
      <c r="AH94" s="44">
        <f>COUNTA(Mars!$C94:$AG94)</f>
        <v>0</v>
      </c>
      <c r="AI94" s="45">
        <f>(COUNTIFS(Mars!$C94:$AG94,("cp")))/2+Février!AI94</f>
        <v>0</v>
      </c>
      <c r="AJ94" s="45">
        <f>COUNTIFS(Mars!$C94:$AG94,"RTT")/2+Février!AJ94</f>
        <v>0</v>
      </c>
      <c r="AK94" s="45">
        <f>COUNTIFS(Mars!$C94:$AG94,"m")/2+Février!AK94</f>
        <v>5</v>
      </c>
      <c r="AL94" s="45">
        <f>COUNTIFS(Mars!$C94:$AG94,"a")/2+Février!AL94</f>
        <v>0</v>
      </c>
      <c r="AM94" s="46"/>
      <c r="AN94" s="47"/>
      <c r="AO94" s="47"/>
      <c r="AP94" s="46"/>
      <c r="AQ94" s="47"/>
      <c r="AR94" s="47"/>
      <c r="AS94" s="101"/>
    </row>
    <row r="95" spans="1:45" s="79" customFormat="1" ht="12.95" customHeight="1" x14ac:dyDescent="0.25">
      <c r="A95" s="41"/>
      <c r="B95" s="42"/>
      <c r="C95" s="49" t="str">
        <f t="shared" ref="C95:AG95" si="26">IF(C93&gt;0,C93,IF(C94&gt;0,C94,""))</f>
        <v/>
      </c>
      <c r="D95" s="49" t="str">
        <f t="shared" si="26"/>
        <v/>
      </c>
      <c r="E95" s="49" t="str">
        <f t="shared" si="26"/>
        <v/>
      </c>
      <c r="F95" s="49" t="str">
        <f t="shared" si="26"/>
        <v/>
      </c>
      <c r="G95" s="49" t="str">
        <f t="shared" si="26"/>
        <v/>
      </c>
      <c r="H95" s="49" t="str">
        <f t="shared" si="26"/>
        <v/>
      </c>
      <c r="I95" s="49" t="str">
        <f t="shared" si="26"/>
        <v/>
      </c>
      <c r="J95" s="49" t="str">
        <f t="shared" si="26"/>
        <v/>
      </c>
      <c r="K95" s="49" t="str">
        <f t="shared" si="26"/>
        <v/>
      </c>
      <c r="L95" s="49" t="str">
        <f t="shared" si="26"/>
        <v/>
      </c>
      <c r="M95" s="49" t="str">
        <f t="shared" si="26"/>
        <v/>
      </c>
      <c r="N95" s="49" t="str">
        <f t="shared" si="26"/>
        <v/>
      </c>
      <c r="O95" s="49" t="str">
        <f t="shared" si="26"/>
        <v/>
      </c>
      <c r="P95" s="49" t="str">
        <f t="shared" si="26"/>
        <v/>
      </c>
      <c r="Q95" s="49" t="str">
        <f t="shared" si="26"/>
        <v/>
      </c>
      <c r="R95" s="49" t="str">
        <f t="shared" si="26"/>
        <v/>
      </c>
      <c r="S95" s="49" t="str">
        <f t="shared" si="26"/>
        <v/>
      </c>
      <c r="T95" s="49" t="str">
        <f t="shared" si="26"/>
        <v/>
      </c>
      <c r="U95" s="49" t="str">
        <f t="shared" si="26"/>
        <v/>
      </c>
      <c r="V95" s="49" t="str">
        <f t="shared" si="26"/>
        <v/>
      </c>
      <c r="W95" s="49" t="str">
        <f t="shared" si="26"/>
        <v/>
      </c>
      <c r="X95" s="49" t="str">
        <f t="shared" si="26"/>
        <v/>
      </c>
      <c r="Y95" s="49" t="str">
        <f t="shared" si="26"/>
        <v/>
      </c>
      <c r="Z95" s="49" t="str">
        <f t="shared" si="26"/>
        <v/>
      </c>
      <c r="AA95" s="49" t="str">
        <f t="shared" si="26"/>
        <v/>
      </c>
      <c r="AB95" s="49" t="str">
        <f t="shared" si="26"/>
        <v/>
      </c>
      <c r="AC95" s="49" t="str">
        <f t="shared" si="26"/>
        <v/>
      </c>
      <c r="AD95" s="49" t="str">
        <f t="shared" si="26"/>
        <v/>
      </c>
      <c r="AE95" s="49" t="str">
        <f t="shared" si="26"/>
        <v/>
      </c>
      <c r="AF95" s="49" t="str">
        <f t="shared" si="26"/>
        <v/>
      </c>
      <c r="AG95" s="49" t="str">
        <f t="shared" si="26"/>
        <v/>
      </c>
      <c r="AH95" s="44">
        <f>SUM(AH93:AH94)</f>
        <v>0</v>
      </c>
      <c r="AI95" s="45">
        <f>SUM(AI93:AI94)</f>
        <v>0</v>
      </c>
      <c r="AJ95" s="45">
        <f>SUM(AJ93:AJ94)</f>
        <v>0</v>
      </c>
      <c r="AK95" s="45">
        <f>SUM(AK93:AK94)</f>
        <v>10</v>
      </c>
      <c r="AL95" s="45">
        <f>SUM(AL93:AL94)</f>
        <v>0</v>
      </c>
      <c r="AM95" s="50">
        <f>Juin!AM95</f>
        <v>0</v>
      </c>
      <c r="AN95" s="51">
        <f>IF(A94="","",IF(A94&gt;NomMois,0,IF(A94&lt;$A$3,2.08,(NETWORKDAYS(A94,$A$2)/21.66667)*2.08)))</f>
        <v>2.08</v>
      </c>
      <c r="AO95" s="51">
        <f>IF( AN95="",0,+AN95+Février!AO95)</f>
        <v>18.46399971938466</v>
      </c>
      <c r="AP95" s="50"/>
      <c r="AQ95" s="45">
        <f>+AM95-AI95</f>
        <v>0</v>
      </c>
      <c r="AR95" s="45" t="str">
        <f>+IF(AP95="","",AP95-AJ95)</f>
        <v/>
      </c>
      <c r="AS95" s="102">
        <f t="shared" ref="AS95:AS123" si="27">+AO95+AQ95</f>
        <v>18.46399971938466</v>
      </c>
    </row>
    <row r="96" spans="1:45" s="63" customFormat="1" ht="6.75" customHeight="1" x14ac:dyDescent="0.25">
      <c r="A96" s="64"/>
      <c r="B96" s="42"/>
      <c r="C96" s="64"/>
      <c r="D96" s="64"/>
      <c r="E96" s="64"/>
      <c r="F96" s="64"/>
      <c r="G96" s="64"/>
      <c r="H96" s="64"/>
      <c r="I96" s="64"/>
      <c r="J96" s="64"/>
      <c r="K96" s="64"/>
      <c r="L96" s="64"/>
      <c r="M96" s="64"/>
      <c r="N96" s="64"/>
      <c r="O96" s="64"/>
      <c r="P96" s="64"/>
      <c r="Q96" s="64"/>
      <c r="R96" s="64"/>
      <c r="S96" s="64"/>
      <c r="T96" s="64"/>
      <c r="U96" s="64"/>
      <c r="V96" s="64"/>
      <c r="W96" s="64"/>
      <c r="X96" s="64"/>
      <c r="Y96" s="64"/>
      <c r="Z96" s="64"/>
      <c r="AA96" s="64"/>
      <c r="AB96" s="64"/>
      <c r="AC96" s="64"/>
      <c r="AD96" s="64"/>
      <c r="AE96" s="64"/>
      <c r="AF96" s="64"/>
      <c r="AG96" s="64"/>
      <c r="AH96" s="65"/>
      <c r="AI96" s="65"/>
      <c r="AJ96" s="65"/>
      <c r="AK96" s="65"/>
      <c r="AL96" s="65"/>
      <c r="AM96" s="64"/>
      <c r="AN96" s="65"/>
      <c r="AO96" s="65"/>
      <c r="AP96" s="64"/>
      <c r="AQ96" s="69"/>
      <c r="AR96" s="69"/>
      <c r="AS96" s="65"/>
    </row>
    <row r="97" spans="1:45" s="79" customFormat="1" ht="12.95" customHeight="1" x14ac:dyDescent="0.25">
      <c r="A97" s="70"/>
      <c r="B97" s="42" t="s">
        <v>15</v>
      </c>
      <c r="C97" s="71"/>
      <c r="D97" s="71"/>
      <c r="E97" s="71"/>
      <c r="F97" s="71"/>
      <c r="G97" s="71"/>
      <c r="H97" s="71"/>
      <c r="I97" s="71"/>
      <c r="J97" s="71"/>
      <c r="K97" s="71"/>
      <c r="L97" s="71"/>
      <c r="M97" s="71"/>
      <c r="N97" s="71"/>
      <c r="O97" s="71"/>
      <c r="P97" s="71"/>
      <c r="Q97" s="71"/>
      <c r="R97" s="71"/>
      <c r="S97" s="71"/>
      <c r="T97" s="71"/>
      <c r="U97" s="71"/>
      <c r="V97" s="71"/>
      <c r="W97" s="71"/>
      <c r="X97" s="71"/>
      <c r="Y97" s="71"/>
      <c r="Z97" s="71"/>
      <c r="AA97" s="71"/>
      <c r="AB97" s="71"/>
      <c r="AC97" s="71"/>
      <c r="AD97" s="71"/>
      <c r="AE97" s="71"/>
      <c r="AF97" s="71"/>
      <c r="AG97" s="71"/>
      <c r="AH97" s="72">
        <f>COUNTA(Mars!$C97:$AG97)</f>
        <v>0</v>
      </c>
      <c r="AI97" s="45">
        <f>(COUNTIFS(Mars!$C97:$AG97,("cp")))/2+Février!AI97</f>
        <v>14.5</v>
      </c>
      <c r="AJ97" s="45">
        <f>COUNTIFS(Mars!$C97:$AG97,"RTT")/2+Février!AJ97</f>
        <v>0</v>
      </c>
      <c r="AK97" s="45">
        <f>COUNTIFS(Mars!$C97:$AG97,"m")/2+Février!AK97</f>
        <v>0</v>
      </c>
      <c r="AL97" s="45">
        <f>COUNTIFS(Mars!$C97:$AG97,"a")/2+Février!AL97</f>
        <v>0</v>
      </c>
      <c r="AM97" s="46"/>
      <c r="AN97" s="47"/>
      <c r="AO97" s="47"/>
      <c r="AP97" s="46"/>
      <c r="AQ97" s="47"/>
      <c r="AR97" s="47"/>
      <c r="AS97" s="47"/>
    </row>
    <row r="98" spans="1:45" s="79" customFormat="1" ht="12.95" customHeight="1" x14ac:dyDescent="0.25">
      <c r="A98" s="73">
        <v>42736</v>
      </c>
      <c r="B98" s="42" t="s">
        <v>16</v>
      </c>
      <c r="C98" s="71"/>
      <c r="D98" s="71"/>
      <c r="E98" s="71"/>
      <c r="F98" s="71"/>
      <c r="G98" s="71"/>
      <c r="H98" s="71"/>
      <c r="I98" s="71"/>
      <c r="J98" s="71"/>
      <c r="K98" s="71"/>
      <c r="L98" s="71"/>
      <c r="M98" s="71"/>
      <c r="N98" s="71"/>
      <c r="O98" s="71"/>
      <c r="P98" s="71"/>
      <c r="Q98" s="71"/>
      <c r="R98" s="71"/>
      <c r="S98" s="71"/>
      <c r="T98" s="71"/>
      <c r="U98" s="71"/>
      <c r="V98" s="71"/>
      <c r="W98" s="71"/>
      <c r="X98" s="71"/>
      <c r="Y98" s="71"/>
      <c r="Z98" s="71"/>
      <c r="AA98" s="71"/>
      <c r="AB98" s="71"/>
      <c r="AC98" s="71"/>
      <c r="AD98" s="71"/>
      <c r="AE98" s="71"/>
      <c r="AF98" s="71"/>
      <c r="AG98" s="71"/>
      <c r="AH98" s="72">
        <f>COUNTA(Mars!$C98:$AG98)</f>
        <v>0</v>
      </c>
      <c r="AI98" s="45">
        <f>(COUNTIFS(Mars!$C98:$AG98,("cp")))/2+Février!AI98</f>
        <v>14.5</v>
      </c>
      <c r="AJ98" s="45">
        <f>COUNTIFS(Mars!$C98:$AG98,"RTT")/2+Février!AJ98</f>
        <v>0</v>
      </c>
      <c r="AK98" s="45">
        <f>COUNTIFS(Mars!$C98:$AG98,"m")/2+Février!AK98</f>
        <v>0</v>
      </c>
      <c r="AL98" s="45">
        <f>COUNTIFS(Mars!$C98:$AG98,"a")/2+Février!AL98</f>
        <v>0</v>
      </c>
      <c r="AM98" s="46"/>
      <c r="AN98" s="47"/>
      <c r="AO98" s="47"/>
      <c r="AP98" s="46"/>
      <c r="AQ98" s="47"/>
      <c r="AR98" s="47"/>
      <c r="AS98" s="101"/>
    </row>
    <row r="99" spans="1:45" s="79" customFormat="1" ht="12.95" customHeight="1" x14ac:dyDescent="0.25">
      <c r="A99" s="70"/>
      <c r="B99" s="42"/>
      <c r="C99" s="71" t="str">
        <f t="shared" ref="C99:AG99" si="28">IF(C97&gt;0,C97,IF(C98&gt;0,C98,""))</f>
        <v/>
      </c>
      <c r="D99" s="71" t="str">
        <f t="shared" si="28"/>
        <v/>
      </c>
      <c r="E99" s="71" t="str">
        <f t="shared" si="28"/>
        <v/>
      </c>
      <c r="F99" s="71" t="str">
        <f t="shared" si="28"/>
        <v/>
      </c>
      <c r="G99" s="71" t="str">
        <f t="shared" si="28"/>
        <v/>
      </c>
      <c r="H99" s="71" t="str">
        <f t="shared" si="28"/>
        <v/>
      </c>
      <c r="I99" s="71" t="str">
        <f t="shared" si="28"/>
        <v/>
      </c>
      <c r="J99" s="71" t="str">
        <f t="shared" si="28"/>
        <v/>
      </c>
      <c r="K99" s="71" t="str">
        <f t="shared" si="28"/>
        <v/>
      </c>
      <c r="L99" s="71" t="str">
        <f t="shared" si="28"/>
        <v/>
      </c>
      <c r="M99" s="71" t="str">
        <f t="shared" si="28"/>
        <v/>
      </c>
      <c r="N99" s="71" t="str">
        <f t="shared" si="28"/>
        <v/>
      </c>
      <c r="O99" s="71" t="str">
        <f t="shared" si="28"/>
        <v/>
      </c>
      <c r="P99" s="71" t="str">
        <f t="shared" si="28"/>
        <v/>
      </c>
      <c r="Q99" s="71" t="str">
        <f t="shared" si="28"/>
        <v/>
      </c>
      <c r="R99" s="71" t="str">
        <f t="shared" si="28"/>
        <v/>
      </c>
      <c r="S99" s="71" t="str">
        <f t="shared" si="28"/>
        <v/>
      </c>
      <c r="T99" s="71" t="str">
        <f t="shared" si="28"/>
        <v/>
      </c>
      <c r="U99" s="71" t="str">
        <f t="shared" si="28"/>
        <v/>
      </c>
      <c r="V99" s="71" t="str">
        <f t="shared" si="28"/>
        <v/>
      </c>
      <c r="W99" s="71" t="str">
        <f t="shared" si="28"/>
        <v/>
      </c>
      <c r="X99" s="71" t="str">
        <f t="shared" si="28"/>
        <v/>
      </c>
      <c r="Y99" s="71" t="str">
        <f t="shared" si="28"/>
        <v/>
      </c>
      <c r="Z99" s="71" t="str">
        <f t="shared" si="28"/>
        <v/>
      </c>
      <c r="AA99" s="71" t="str">
        <f t="shared" si="28"/>
        <v/>
      </c>
      <c r="AB99" s="71" t="str">
        <f t="shared" si="28"/>
        <v/>
      </c>
      <c r="AC99" s="71" t="str">
        <f t="shared" si="28"/>
        <v/>
      </c>
      <c r="AD99" s="71" t="str">
        <f t="shared" si="28"/>
        <v/>
      </c>
      <c r="AE99" s="71" t="str">
        <f t="shared" si="28"/>
        <v/>
      </c>
      <c r="AF99" s="71" t="str">
        <f t="shared" si="28"/>
        <v/>
      </c>
      <c r="AG99" s="71" t="str">
        <f t="shared" si="28"/>
        <v/>
      </c>
      <c r="AH99" s="72">
        <f>SUM(AH97:AH98)</f>
        <v>0</v>
      </c>
      <c r="AI99" s="45">
        <f>SUM(AI97:AI98)</f>
        <v>29</v>
      </c>
      <c r="AJ99" s="45">
        <f>SUM(AJ97:AJ98)</f>
        <v>0</v>
      </c>
      <c r="AK99" s="45">
        <f>SUM(AK97:AK98)</f>
        <v>0</v>
      </c>
      <c r="AL99" s="45">
        <f>SUM(AL97:AL98)</f>
        <v>0</v>
      </c>
      <c r="AM99" s="50">
        <f>Juin!AM99</f>
        <v>5.41</v>
      </c>
      <c r="AN99" s="51">
        <f>IF(A98="","",IF(A98&gt;NomMois,0,IF(A98&lt;$A$3,2.08,(NETWORKDAYS(A98,$A$2)/21.66667)*2.08)))</f>
        <v>2.08</v>
      </c>
      <c r="AO99" s="51">
        <f>IF( AN99="",0,+AN99+Février!AO99)</f>
        <v>20.799999999999997</v>
      </c>
      <c r="AP99" s="50"/>
      <c r="AQ99" s="45">
        <f>+AM99-AI99</f>
        <v>-23.59</v>
      </c>
      <c r="AR99" s="45" t="str">
        <f>+IF(AP99="","",AP99-AJ99)</f>
        <v/>
      </c>
      <c r="AS99" s="102">
        <f t="shared" si="27"/>
        <v>-2.7900000000000027</v>
      </c>
    </row>
    <row r="100" spans="1:45" s="63" customFormat="1" ht="6.75" customHeight="1" x14ac:dyDescent="0.25">
      <c r="A100" s="64"/>
      <c r="B100" s="42"/>
      <c r="C100" s="64"/>
      <c r="D100" s="64"/>
      <c r="E100" s="64"/>
      <c r="F100" s="64"/>
      <c r="G100" s="64"/>
      <c r="H100" s="64"/>
      <c r="I100" s="64"/>
      <c r="J100" s="64"/>
      <c r="K100" s="64"/>
      <c r="L100" s="64"/>
      <c r="M100" s="64"/>
      <c r="N100" s="64"/>
      <c r="O100" s="64"/>
      <c r="P100" s="64"/>
      <c r="Q100" s="64"/>
      <c r="R100" s="64"/>
      <c r="S100" s="64"/>
      <c r="T100" s="64"/>
      <c r="U100" s="64"/>
      <c r="V100" s="64"/>
      <c r="W100" s="64"/>
      <c r="X100" s="64"/>
      <c r="Y100" s="64"/>
      <c r="Z100" s="64"/>
      <c r="AA100" s="64"/>
      <c r="AB100" s="64"/>
      <c r="AC100" s="64"/>
      <c r="AD100" s="64"/>
      <c r="AE100" s="64"/>
      <c r="AF100" s="64"/>
      <c r="AG100" s="64"/>
      <c r="AH100" s="65"/>
      <c r="AI100" s="65"/>
      <c r="AJ100" s="65"/>
      <c r="AK100" s="65"/>
      <c r="AL100" s="65"/>
      <c r="AM100" s="64"/>
      <c r="AN100" s="65"/>
      <c r="AO100" s="65"/>
      <c r="AP100" s="64"/>
      <c r="AQ100" s="69"/>
      <c r="AR100" s="69"/>
      <c r="AS100" s="65"/>
    </row>
    <row r="101" spans="1:45" s="79" customFormat="1" ht="12.95" customHeight="1" x14ac:dyDescent="0.25">
      <c r="A101" s="70"/>
      <c r="B101" s="42" t="s">
        <v>15</v>
      </c>
      <c r="C101" s="71"/>
      <c r="D101" s="71"/>
      <c r="E101" s="71"/>
      <c r="F101" s="71"/>
      <c r="G101" s="71"/>
      <c r="H101" s="71"/>
      <c r="I101" s="71"/>
      <c r="J101" s="71"/>
      <c r="K101" s="71"/>
      <c r="L101" s="71"/>
      <c r="M101" s="71"/>
      <c r="N101" s="71"/>
      <c r="O101" s="71"/>
      <c r="P101" s="71"/>
      <c r="Q101" s="71"/>
      <c r="R101" s="71"/>
      <c r="S101" s="71"/>
      <c r="T101" s="71"/>
      <c r="U101" s="71"/>
      <c r="V101" s="71"/>
      <c r="W101" s="71"/>
      <c r="X101" s="71"/>
      <c r="Y101" s="71"/>
      <c r="Z101" s="71"/>
      <c r="AA101" s="71"/>
      <c r="AB101" s="71"/>
      <c r="AC101" s="71"/>
      <c r="AD101" s="71"/>
      <c r="AE101" s="71"/>
      <c r="AF101" s="71"/>
      <c r="AG101" s="71"/>
      <c r="AH101" s="72">
        <f>COUNTA(Mars!$C101:$AG101)</f>
        <v>0</v>
      </c>
      <c r="AI101" s="45">
        <f>(COUNTIFS(Mars!$C101:$AG101,("cp")))/2+Février!AI101</f>
        <v>5</v>
      </c>
      <c r="AJ101" s="45">
        <f>COUNTIFS(Mars!$C101:$AG101,"RTT")/2+Février!AJ101</f>
        <v>0</v>
      </c>
      <c r="AK101" s="45">
        <f>COUNTIFS(Mars!$C101:$AG101,"m")/2+Février!AK101</f>
        <v>0</v>
      </c>
      <c r="AL101" s="45">
        <f>COUNTIFS(Mars!$C101:$AG101,"a")/2+Février!AL101</f>
        <v>0</v>
      </c>
      <c r="AM101" s="46"/>
      <c r="AN101" s="47"/>
      <c r="AO101" s="47"/>
      <c r="AP101" s="46"/>
      <c r="AQ101" s="47"/>
      <c r="AR101" s="47"/>
      <c r="AS101" s="47"/>
    </row>
    <row r="102" spans="1:45" s="79" customFormat="1" ht="12.95" customHeight="1" x14ac:dyDescent="0.25">
      <c r="A102" s="73">
        <v>42814</v>
      </c>
      <c r="B102" s="42" t="s">
        <v>16</v>
      </c>
      <c r="C102" s="71"/>
      <c r="D102" s="71"/>
      <c r="E102" s="71"/>
      <c r="F102" s="71"/>
      <c r="G102" s="71"/>
      <c r="H102" s="71"/>
      <c r="I102" s="71"/>
      <c r="J102" s="71"/>
      <c r="K102" s="71"/>
      <c r="L102" s="71"/>
      <c r="M102" s="71"/>
      <c r="N102" s="71"/>
      <c r="O102" s="71"/>
      <c r="P102" s="71"/>
      <c r="Q102" s="71"/>
      <c r="R102" s="71"/>
      <c r="S102" s="71"/>
      <c r="T102" s="71"/>
      <c r="U102" s="71"/>
      <c r="V102" s="71"/>
      <c r="W102" s="71"/>
      <c r="X102" s="71"/>
      <c r="Y102" s="71"/>
      <c r="Z102" s="71"/>
      <c r="AA102" s="71"/>
      <c r="AB102" s="71"/>
      <c r="AC102" s="71"/>
      <c r="AD102" s="71"/>
      <c r="AE102" s="71"/>
      <c r="AF102" s="71"/>
      <c r="AG102" s="71"/>
      <c r="AH102" s="72">
        <f>COUNTA(Mars!$C102:$AG102)</f>
        <v>0</v>
      </c>
      <c r="AI102" s="45">
        <f>(COUNTIFS(Mars!$C102:$AG102,("cp")))/2+Février!AI102</f>
        <v>5</v>
      </c>
      <c r="AJ102" s="45">
        <f>COUNTIFS(Mars!$C102:$AG102,"RTT")/2+Février!AJ102</f>
        <v>0</v>
      </c>
      <c r="AK102" s="45">
        <f>COUNTIFS(Mars!$C102:$AG102,"m")/2+Février!AK102</f>
        <v>0</v>
      </c>
      <c r="AL102" s="45">
        <f>COUNTIFS(Mars!$C102:$AG102,"a")/2+Février!AL102</f>
        <v>0</v>
      </c>
      <c r="AM102" s="46"/>
      <c r="AN102" s="47"/>
      <c r="AO102" s="47"/>
      <c r="AP102" s="46"/>
      <c r="AQ102" s="47"/>
      <c r="AR102" s="47"/>
      <c r="AS102" s="101"/>
    </row>
    <row r="103" spans="1:45" s="79" customFormat="1" ht="12.95" customHeight="1" x14ac:dyDescent="0.25">
      <c r="A103" s="70"/>
      <c r="B103" s="42"/>
      <c r="C103" s="71" t="str">
        <f t="shared" ref="C103:AG103" si="29">IF(C101&gt;0,C101,IF(C102&gt;0,C102,""))</f>
        <v/>
      </c>
      <c r="D103" s="71" t="str">
        <f t="shared" si="29"/>
        <v/>
      </c>
      <c r="E103" s="71" t="str">
        <f t="shared" si="29"/>
        <v/>
      </c>
      <c r="F103" s="71" t="str">
        <f t="shared" si="29"/>
        <v/>
      </c>
      <c r="G103" s="71" t="str">
        <f t="shared" si="29"/>
        <v/>
      </c>
      <c r="H103" s="71" t="str">
        <f t="shared" si="29"/>
        <v/>
      </c>
      <c r="I103" s="71" t="str">
        <f t="shared" si="29"/>
        <v/>
      </c>
      <c r="J103" s="71" t="str">
        <f t="shared" si="29"/>
        <v/>
      </c>
      <c r="K103" s="71" t="str">
        <f t="shared" si="29"/>
        <v/>
      </c>
      <c r="L103" s="71" t="str">
        <f t="shared" si="29"/>
        <v/>
      </c>
      <c r="M103" s="71" t="str">
        <f t="shared" si="29"/>
        <v/>
      </c>
      <c r="N103" s="71" t="str">
        <f t="shared" si="29"/>
        <v/>
      </c>
      <c r="O103" s="71" t="str">
        <f t="shared" si="29"/>
        <v/>
      </c>
      <c r="P103" s="71" t="str">
        <f t="shared" si="29"/>
        <v/>
      </c>
      <c r="Q103" s="71" t="str">
        <f t="shared" si="29"/>
        <v/>
      </c>
      <c r="R103" s="71" t="str">
        <f t="shared" si="29"/>
        <v/>
      </c>
      <c r="S103" s="71" t="str">
        <f t="shared" si="29"/>
        <v/>
      </c>
      <c r="T103" s="71" t="str">
        <f t="shared" si="29"/>
        <v/>
      </c>
      <c r="U103" s="71" t="str">
        <f t="shared" si="29"/>
        <v/>
      </c>
      <c r="V103" s="71" t="str">
        <f t="shared" si="29"/>
        <v/>
      </c>
      <c r="W103" s="71" t="str">
        <f t="shared" si="29"/>
        <v/>
      </c>
      <c r="X103" s="71" t="str">
        <f t="shared" si="29"/>
        <v/>
      </c>
      <c r="Y103" s="71" t="str">
        <f t="shared" si="29"/>
        <v/>
      </c>
      <c r="Z103" s="71" t="str">
        <f t="shared" si="29"/>
        <v/>
      </c>
      <c r="AA103" s="71" t="str">
        <f t="shared" si="29"/>
        <v/>
      </c>
      <c r="AB103" s="71" t="str">
        <f t="shared" si="29"/>
        <v/>
      </c>
      <c r="AC103" s="71" t="str">
        <f t="shared" si="29"/>
        <v/>
      </c>
      <c r="AD103" s="71" t="str">
        <f t="shared" si="29"/>
        <v/>
      </c>
      <c r="AE103" s="71" t="str">
        <f t="shared" si="29"/>
        <v/>
      </c>
      <c r="AF103" s="71" t="str">
        <f t="shared" si="29"/>
        <v/>
      </c>
      <c r="AG103" s="71" t="str">
        <f t="shared" si="29"/>
        <v/>
      </c>
      <c r="AH103" s="72">
        <f>SUM(AH101:AH102)</f>
        <v>0</v>
      </c>
      <c r="AI103" s="45">
        <f>SUM(AI101:AI102)</f>
        <v>10</v>
      </c>
      <c r="AJ103" s="45">
        <f>SUM(AJ101:AJ102)</f>
        <v>0</v>
      </c>
      <c r="AK103" s="45">
        <f>SUM(AK101:AK102)</f>
        <v>0</v>
      </c>
      <c r="AL103" s="45">
        <f>SUM(AL101:AL102)</f>
        <v>0</v>
      </c>
      <c r="AM103" s="50">
        <f>Juin!AM103</f>
        <v>2.65</v>
      </c>
      <c r="AN103" s="51">
        <f>IF(A102="","",IF(A102&gt;NomMois,0,IF(A102&lt;$A$3,2.08,(NETWORKDAYS(A102,$A$2)/21.66667)*2.08)))</f>
        <v>2.08</v>
      </c>
      <c r="AO103" s="51">
        <f>IF( AN103="",0,+AN103+Février!AO103)</f>
        <v>20.799999999999997</v>
      </c>
      <c r="AP103" s="50"/>
      <c r="AQ103" s="45">
        <f>+AM103-AI103</f>
        <v>-7.35</v>
      </c>
      <c r="AR103" s="45" t="str">
        <f>+IF(AP103="","",AP103-AJ103)</f>
        <v/>
      </c>
      <c r="AS103" s="102">
        <f t="shared" si="27"/>
        <v>13.449999999999998</v>
      </c>
    </row>
    <row r="104" spans="1:45" s="79" customFormat="1" ht="8.25" customHeight="1" x14ac:dyDescent="0.25">
      <c r="A104" s="64"/>
      <c r="B104" s="42"/>
      <c r="C104" s="64"/>
      <c r="D104" s="64"/>
      <c r="E104" s="64"/>
      <c r="F104" s="64"/>
      <c r="G104" s="64"/>
      <c r="H104" s="64"/>
      <c r="I104" s="64"/>
      <c r="J104" s="64"/>
      <c r="K104" s="64"/>
      <c r="L104" s="64"/>
      <c r="M104" s="64"/>
      <c r="N104" s="64"/>
      <c r="O104" s="64"/>
      <c r="P104" s="64"/>
      <c r="Q104" s="64"/>
      <c r="R104" s="64"/>
      <c r="S104" s="64"/>
      <c r="T104" s="64"/>
      <c r="U104" s="64"/>
      <c r="V104" s="64"/>
      <c r="W104" s="64"/>
      <c r="X104" s="64"/>
      <c r="Y104" s="64"/>
      <c r="Z104" s="64"/>
      <c r="AA104" s="64"/>
      <c r="AB104" s="64"/>
      <c r="AC104" s="64"/>
      <c r="AD104" s="64"/>
      <c r="AE104" s="64"/>
      <c r="AF104" s="64"/>
      <c r="AG104" s="64"/>
      <c r="AH104" s="65"/>
      <c r="AI104" s="65"/>
      <c r="AJ104" s="65"/>
      <c r="AK104" s="65"/>
      <c r="AL104" s="65"/>
      <c r="AM104" s="64"/>
      <c r="AN104" s="65"/>
      <c r="AO104" s="65"/>
      <c r="AP104" s="64"/>
      <c r="AQ104" s="69"/>
      <c r="AR104" s="69"/>
      <c r="AS104" s="65"/>
    </row>
    <row r="105" spans="1:45" s="79" customFormat="1" ht="12.95" customHeight="1" x14ac:dyDescent="0.25">
      <c r="A105" s="41"/>
      <c r="B105" s="42" t="s">
        <v>15</v>
      </c>
      <c r="C105" s="67"/>
      <c r="D105" s="43"/>
      <c r="E105" s="43"/>
      <c r="F105" s="43"/>
      <c r="G105" s="43"/>
      <c r="H105" s="43"/>
      <c r="I105" s="43"/>
      <c r="J105" s="43"/>
      <c r="K105" s="43"/>
      <c r="L105" s="43"/>
      <c r="M105" s="43"/>
      <c r="N105" s="43"/>
      <c r="O105" s="43"/>
      <c r="P105" s="43"/>
      <c r="Q105" s="43"/>
      <c r="R105" s="43"/>
      <c r="S105" s="43"/>
      <c r="T105" s="43"/>
      <c r="U105" s="43"/>
      <c r="V105" s="43"/>
      <c r="W105" s="43"/>
      <c r="X105" s="43"/>
      <c r="Y105" s="43"/>
      <c r="Z105" s="43"/>
      <c r="AA105" s="43"/>
      <c r="AB105" s="43"/>
      <c r="AC105" s="43"/>
      <c r="AD105" s="43"/>
      <c r="AE105" s="43"/>
      <c r="AF105" s="43"/>
      <c r="AG105" s="43"/>
      <c r="AH105" s="44">
        <f>COUNTA(Mars!$C105:$AG105)</f>
        <v>0</v>
      </c>
      <c r="AI105" s="45">
        <f>(COUNTIFS(Mars!$C105:$AG105,("cp")))/2+Février!AI105</f>
        <v>0</v>
      </c>
      <c r="AJ105" s="45">
        <f>COUNTIFS(Mars!$C105:$AG105,"RTT")/2+Février!AJ105</f>
        <v>0</v>
      </c>
      <c r="AK105" s="45">
        <f>COUNTIFS(Mars!$C105:$AG105,"m")/2+Février!AK105</f>
        <v>0</v>
      </c>
      <c r="AL105" s="45">
        <f>COUNTIFS(Mars!$C105:$AG105,"a")/2+Février!AL105</f>
        <v>0</v>
      </c>
      <c r="AM105" s="46"/>
      <c r="AN105" s="47"/>
      <c r="AO105" s="47"/>
      <c r="AP105" s="46"/>
      <c r="AQ105" s="47"/>
      <c r="AR105" s="47"/>
      <c r="AS105" s="47"/>
    </row>
    <row r="106" spans="1:45" s="79" customFormat="1" ht="12.95" customHeight="1" x14ac:dyDescent="0.25">
      <c r="A106" s="48">
        <v>43037</v>
      </c>
      <c r="B106" s="42" t="s">
        <v>16</v>
      </c>
      <c r="C106" s="67"/>
      <c r="D106" s="43"/>
      <c r="E106" s="43"/>
      <c r="F106" s="43"/>
      <c r="G106" s="43"/>
      <c r="H106" s="43"/>
      <c r="I106" s="43"/>
      <c r="J106" s="43"/>
      <c r="K106" s="43"/>
      <c r="L106" s="43"/>
      <c r="M106" s="43"/>
      <c r="N106" s="43"/>
      <c r="O106" s="43"/>
      <c r="P106" s="43"/>
      <c r="Q106" s="43"/>
      <c r="R106" s="43"/>
      <c r="S106" s="43"/>
      <c r="T106" s="43"/>
      <c r="U106" s="43"/>
      <c r="V106" s="43"/>
      <c r="W106" s="43"/>
      <c r="X106" s="43"/>
      <c r="Y106" s="43"/>
      <c r="Z106" s="43"/>
      <c r="AA106" s="43"/>
      <c r="AB106" s="43"/>
      <c r="AC106" s="43"/>
      <c r="AD106" s="43"/>
      <c r="AE106" s="43"/>
      <c r="AF106" s="43"/>
      <c r="AG106" s="43"/>
      <c r="AH106" s="44">
        <f>COUNTA(Mars!$C106:$AG106)</f>
        <v>0</v>
      </c>
      <c r="AI106" s="45">
        <f>(COUNTIFS(Mars!$C106:$AG106,("cp")))/2+Février!AI106</f>
        <v>0</v>
      </c>
      <c r="AJ106" s="45">
        <f>COUNTIFS(Mars!$C106:$AG106,"RTT")/2+Février!AJ106</f>
        <v>0</v>
      </c>
      <c r="AK106" s="45">
        <f>COUNTIFS(Mars!$C106:$AG106,"m")/2+Février!AK106</f>
        <v>0</v>
      </c>
      <c r="AL106" s="45">
        <f>COUNTIFS(Mars!$C106:$AG106,"a")/2+Février!AL106</f>
        <v>0</v>
      </c>
      <c r="AM106" s="46"/>
      <c r="AN106" s="47"/>
      <c r="AO106" s="47"/>
      <c r="AP106" s="46"/>
      <c r="AQ106" s="47"/>
      <c r="AR106" s="47"/>
      <c r="AS106" s="101"/>
    </row>
    <row r="107" spans="1:45" s="79" customFormat="1" ht="12.95" customHeight="1" x14ac:dyDescent="0.25">
      <c r="A107" s="41"/>
      <c r="B107" s="42"/>
      <c r="C107" s="49" t="str">
        <f t="shared" ref="C107:AG107" si="30">IF(C105&gt;0,C105,IF(C106&gt;0,C106,""))</f>
        <v/>
      </c>
      <c r="D107" s="49" t="str">
        <f t="shared" si="30"/>
        <v/>
      </c>
      <c r="E107" s="49" t="str">
        <f t="shared" si="30"/>
        <v/>
      </c>
      <c r="F107" s="49" t="str">
        <f t="shared" si="30"/>
        <v/>
      </c>
      <c r="G107" s="49" t="str">
        <f t="shared" si="30"/>
        <v/>
      </c>
      <c r="H107" s="49" t="str">
        <f t="shared" si="30"/>
        <v/>
      </c>
      <c r="I107" s="49" t="str">
        <f t="shared" si="30"/>
        <v/>
      </c>
      <c r="J107" s="49" t="str">
        <f t="shared" si="30"/>
        <v/>
      </c>
      <c r="K107" s="49" t="str">
        <f t="shared" si="30"/>
        <v/>
      </c>
      <c r="L107" s="49" t="str">
        <f t="shared" si="30"/>
        <v/>
      </c>
      <c r="M107" s="49" t="str">
        <f t="shared" si="30"/>
        <v/>
      </c>
      <c r="N107" s="49" t="str">
        <f t="shared" si="30"/>
        <v/>
      </c>
      <c r="O107" s="49" t="str">
        <f t="shared" si="30"/>
        <v/>
      </c>
      <c r="P107" s="49" t="str">
        <f t="shared" si="30"/>
        <v/>
      </c>
      <c r="Q107" s="49" t="str">
        <f t="shared" si="30"/>
        <v/>
      </c>
      <c r="R107" s="49" t="str">
        <f t="shared" si="30"/>
        <v/>
      </c>
      <c r="S107" s="49" t="str">
        <f t="shared" si="30"/>
        <v/>
      </c>
      <c r="T107" s="49" t="str">
        <f t="shared" si="30"/>
        <v/>
      </c>
      <c r="U107" s="49" t="str">
        <f t="shared" si="30"/>
        <v/>
      </c>
      <c r="V107" s="49" t="str">
        <f t="shared" si="30"/>
        <v/>
      </c>
      <c r="W107" s="49" t="str">
        <f t="shared" si="30"/>
        <v/>
      </c>
      <c r="X107" s="49" t="str">
        <f t="shared" si="30"/>
        <v/>
      </c>
      <c r="Y107" s="49" t="str">
        <f t="shared" si="30"/>
        <v/>
      </c>
      <c r="Z107" s="49" t="str">
        <f t="shared" si="30"/>
        <v/>
      </c>
      <c r="AA107" s="49" t="str">
        <f t="shared" si="30"/>
        <v/>
      </c>
      <c r="AB107" s="49" t="str">
        <f t="shared" si="30"/>
        <v/>
      </c>
      <c r="AC107" s="49" t="str">
        <f t="shared" si="30"/>
        <v/>
      </c>
      <c r="AD107" s="49" t="str">
        <f t="shared" si="30"/>
        <v/>
      </c>
      <c r="AE107" s="49" t="str">
        <f t="shared" si="30"/>
        <v/>
      </c>
      <c r="AF107" s="49" t="str">
        <f t="shared" si="30"/>
        <v/>
      </c>
      <c r="AG107" s="49" t="str">
        <f t="shared" si="30"/>
        <v/>
      </c>
      <c r="AH107" s="44">
        <f>SUM(AH105:AH106)</f>
        <v>0</v>
      </c>
      <c r="AI107" s="45">
        <f>SUM(AI105:AI106)</f>
        <v>0</v>
      </c>
      <c r="AJ107" s="45">
        <f>SUM(AJ105:AJ106)</f>
        <v>0</v>
      </c>
      <c r="AK107" s="45">
        <f>SUM(AK105:AK106)</f>
        <v>0</v>
      </c>
      <c r="AL107" s="45">
        <f>SUM(AL105:AL106)</f>
        <v>0</v>
      </c>
      <c r="AM107" s="50">
        <v>0</v>
      </c>
      <c r="AN107" s="51">
        <f>IF(A106="","",IF(A106&gt;NomMois,0,IF(A106&lt;$A$3,2.08,(NETWORKDAYS(A106,$A$2)/21.66667)*2.08)))</f>
        <v>2.08</v>
      </c>
      <c r="AO107" s="51">
        <f>IF( AN107="",0,+AN107+Février!AO107)</f>
        <v>10.591999970461544</v>
      </c>
      <c r="AP107" s="50"/>
      <c r="AQ107" s="45">
        <f>+AM107-AI107</f>
        <v>0</v>
      </c>
      <c r="AR107" s="45" t="str">
        <f>+IF(AP107="","",AP107-AJ107)</f>
        <v/>
      </c>
      <c r="AS107" s="102">
        <f t="shared" si="27"/>
        <v>10.591999970461544</v>
      </c>
    </row>
    <row r="108" spans="1:45" s="79" customFormat="1" ht="6.75" customHeight="1" x14ac:dyDescent="0.25">
      <c r="A108" s="64"/>
      <c r="B108" s="42"/>
      <c r="C108" s="64"/>
      <c r="D108" s="64"/>
      <c r="E108" s="64"/>
      <c r="F108" s="64"/>
      <c r="G108" s="64"/>
      <c r="H108" s="64"/>
      <c r="I108" s="64"/>
      <c r="J108" s="64"/>
      <c r="K108" s="64"/>
      <c r="L108" s="64"/>
      <c r="M108" s="64"/>
      <c r="N108" s="64"/>
      <c r="O108" s="64"/>
      <c r="P108" s="64"/>
      <c r="Q108" s="64"/>
      <c r="R108" s="64"/>
      <c r="S108" s="64"/>
      <c r="T108" s="64"/>
      <c r="U108" s="64"/>
      <c r="V108" s="64"/>
      <c r="W108" s="64"/>
      <c r="X108" s="64"/>
      <c r="Y108" s="64"/>
      <c r="Z108" s="64"/>
      <c r="AA108" s="64"/>
      <c r="AB108" s="64"/>
      <c r="AC108" s="64"/>
      <c r="AD108" s="64"/>
      <c r="AE108" s="64"/>
      <c r="AF108" s="64"/>
      <c r="AG108" s="64"/>
      <c r="AH108" s="65"/>
      <c r="AI108" s="65"/>
      <c r="AJ108" s="65"/>
      <c r="AK108" s="65"/>
      <c r="AL108" s="65"/>
      <c r="AM108" s="64"/>
      <c r="AN108" s="65"/>
      <c r="AO108" s="65"/>
      <c r="AP108" s="64"/>
      <c r="AQ108" s="69"/>
      <c r="AR108" s="69"/>
      <c r="AS108" s="65"/>
    </row>
    <row r="109" spans="1:45" s="79" customFormat="1" ht="12.95" customHeight="1" x14ac:dyDescent="0.25">
      <c r="A109" s="41"/>
      <c r="B109" s="42" t="s">
        <v>15</v>
      </c>
      <c r="C109" s="67"/>
      <c r="D109" s="43"/>
      <c r="E109" s="43"/>
      <c r="F109" s="43"/>
      <c r="G109" s="43"/>
      <c r="H109" s="43"/>
      <c r="I109" s="43"/>
      <c r="J109" s="43"/>
      <c r="K109" s="43"/>
      <c r="L109" s="43"/>
      <c r="M109" s="43"/>
      <c r="N109" s="43"/>
      <c r="O109" s="43"/>
      <c r="P109" s="43"/>
      <c r="Q109" s="43"/>
      <c r="R109" s="43"/>
      <c r="S109" s="43"/>
      <c r="T109" s="43"/>
      <c r="U109" s="43"/>
      <c r="V109" s="43"/>
      <c r="W109" s="43"/>
      <c r="X109" s="43"/>
      <c r="Y109" s="43"/>
      <c r="Z109" s="43"/>
      <c r="AA109" s="43"/>
      <c r="AB109" s="43"/>
      <c r="AC109" s="43"/>
      <c r="AD109" s="43"/>
      <c r="AE109" s="43"/>
      <c r="AF109" s="43"/>
      <c r="AG109" s="43"/>
      <c r="AH109" s="44">
        <f>COUNTA(Mars!$C109:$AG109)</f>
        <v>0</v>
      </c>
      <c r="AI109" s="45">
        <f>(COUNTIFS(Mars!$C109:$AG109,("cp")))/2+Février!AI109</f>
        <v>0</v>
      </c>
      <c r="AJ109" s="45">
        <f>COUNTIFS(Mars!$C109:$AG109,"RTT")/2+Février!AJ109</f>
        <v>0</v>
      </c>
      <c r="AK109" s="45">
        <f>COUNTIFS(Mars!$C109:$AG109,"m")/2+Février!AK109</f>
        <v>0</v>
      </c>
      <c r="AL109" s="45">
        <f>COUNTIFS(Mars!$C109:$AG109,"a")/2+Février!AL109</f>
        <v>0</v>
      </c>
      <c r="AM109" s="46"/>
      <c r="AN109" s="47"/>
      <c r="AO109" s="47"/>
      <c r="AP109" s="46"/>
      <c r="AQ109" s="47"/>
      <c r="AR109" s="47"/>
      <c r="AS109" s="47"/>
    </row>
    <row r="110" spans="1:45" s="79" customFormat="1" ht="12.95" customHeight="1" x14ac:dyDescent="0.25">
      <c r="A110" s="48">
        <v>42991</v>
      </c>
      <c r="B110" s="42" t="s">
        <v>16</v>
      </c>
      <c r="C110" s="67"/>
      <c r="D110" s="43"/>
      <c r="E110" s="43"/>
      <c r="F110" s="43"/>
      <c r="G110" s="43"/>
      <c r="H110" s="43"/>
      <c r="I110" s="43"/>
      <c r="J110" s="43"/>
      <c r="K110" s="43"/>
      <c r="L110" s="43"/>
      <c r="M110" s="43"/>
      <c r="N110" s="43"/>
      <c r="O110" s="43"/>
      <c r="P110" s="43"/>
      <c r="Q110" s="43"/>
      <c r="R110" s="43"/>
      <c r="S110" s="43"/>
      <c r="T110" s="43"/>
      <c r="U110" s="43"/>
      <c r="V110" s="43"/>
      <c r="W110" s="43"/>
      <c r="X110" s="43"/>
      <c r="Y110" s="43"/>
      <c r="Z110" s="43"/>
      <c r="AA110" s="43"/>
      <c r="AB110" s="43"/>
      <c r="AC110" s="43"/>
      <c r="AD110" s="43"/>
      <c r="AE110" s="43"/>
      <c r="AF110" s="43"/>
      <c r="AG110" s="43"/>
      <c r="AH110" s="44">
        <f>COUNTA(Mars!$C110:$AG110)</f>
        <v>0</v>
      </c>
      <c r="AI110" s="45">
        <f>(COUNTIFS(Mars!$C110:$AG110,("cp")))/2+Février!AI110</f>
        <v>0</v>
      </c>
      <c r="AJ110" s="45">
        <f>COUNTIFS(Mars!$C110:$AG110,"RTT")/2+Février!AJ110</f>
        <v>0</v>
      </c>
      <c r="AK110" s="45">
        <f>COUNTIFS(Mars!$C110:$AG110,"m")/2+Février!AK110</f>
        <v>0</v>
      </c>
      <c r="AL110" s="45">
        <f>COUNTIFS(Mars!$C110:$AG110,"a")/2+Février!AL110</f>
        <v>0</v>
      </c>
      <c r="AM110" s="46"/>
      <c r="AN110" s="47"/>
      <c r="AO110" s="47"/>
      <c r="AP110" s="46"/>
      <c r="AQ110" s="47"/>
      <c r="AR110" s="47"/>
      <c r="AS110" s="101"/>
    </row>
    <row r="111" spans="1:45" s="79" customFormat="1" ht="12.95" customHeight="1" x14ac:dyDescent="0.25">
      <c r="A111" s="41"/>
      <c r="B111" s="42"/>
      <c r="C111" s="49" t="str">
        <f t="shared" ref="C111:AG111" si="31">IF(C109&gt;0,C109,IF(C110&gt;0,C110,""))</f>
        <v/>
      </c>
      <c r="D111" s="49" t="str">
        <f t="shared" si="31"/>
        <v/>
      </c>
      <c r="E111" s="49" t="str">
        <f t="shared" si="31"/>
        <v/>
      </c>
      <c r="F111" s="49" t="str">
        <f t="shared" si="31"/>
        <v/>
      </c>
      <c r="G111" s="49" t="str">
        <f t="shared" si="31"/>
        <v/>
      </c>
      <c r="H111" s="49" t="str">
        <f t="shared" si="31"/>
        <v/>
      </c>
      <c r="I111" s="49" t="str">
        <f t="shared" si="31"/>
        <v/>
      </c>
      <c r="J111" s="49" t="str">
        <f t="shared" si="31"/>
        <v/>
      </c>
      <c r="K111" s="49" t="str">
        <f t="shared" si="31"/>
        <v/>
      </c>
      <c r="L111" s="49" t="str">
        <f t="shared" si="31"/>
        <v/>
      </c>
      <c r="M111" s="49" t="str">
        <f t="shared" si="31"/>
        <v/>
      </c>
      <c r="N111" s="49" t="str">
        <f t="shared" si="31"/>
        <v/>
      </c>
      <c r="O111" s="49" t="str">
        <f t="shared" si="31"/>
        <v/>
      </c>
      <c r="P111" s="49" t="str">
        <f t="shared" si="31"/>
        <v/>
      </c>
      <c r="Q111" s="49" t="str">
        <f t="shared" si="31"/>
        <v/>
      </c>
      <c r="R111" s="49" t="str">
        <f t="shared" si="31"/>
        <v/>
      </c>
      <c r="S111" s="49" t="str">
        <f t="shared" si="31"/>
        <v/>
      </c>
      <c r="T111" s="49" t="str">
        <f t="shared" si="31"/>
        <v/>
      </c>
      <c r="U111" s="49" t="str">
        <f t="shared" si="31"/>
        <v/>
      </c>
      <c r="V111" s="49" t="str">
        <f t="shared" si="31"/>
        <v/>
      </c>
      <c r="W111" s="49" t="str">
        <f t="shared" si="31"/>
        <v/>
      </c>
      <c r="X111" s="49" t="str">
        <f t="shared" si="31"/>
        <v/>
      </c>
      <c r="Y111" s="49" t="str">
        <f t="shared" si="31"/>
        <v/>
      </c>
      <c r="Z111" s="49" t="str">
        <f t="shared" si="31"/>
        <v/>
      </c>
      <c r="AA111" s="49" t="str">
        <f t="shared" si="31"/>
        <v/>
      </c>
      <c r="AB111" s="49" t="str">
        <f t="shared" si="31"/>
        <v/>
      </c>
      <c r="AC111" s="49" t="str">
        <f t="shared" si="31"/>
        <v/>
      </c>
      <c r="AD111" s="49" t="str">
        <f t="shared" si="31"/>
        <v/>
      </c>
      <c r="AE111" s="49" t="str">
        <f t="shared" si="31"/>
        <v/>
      </c>
      <c r="AF111" s="49" t="str">
        <f t="shared" si="31"/>
        <v/>
      </c>
      <c r="AG111" s="49" t="str">
        <f t="shared" si="31"/>
        <v/>
      </c>
      <c r="AH111" s="44">
        <f>SUM(AH109:AH110)</f>
        <v>0</v>
      </c>
      <c r="AI111" s="45">
        <f>SUM(AI109:AI110)</f>
        <v>0</v>
      </c>
      <c r="AJ111" s="45">
        <f>SUM(AJ109:AJ110)</f>
        <v>0</v>
      </c>
      <c r="AK111" s="45">
        <f>SUM(AK109:AK110)</f>
        <v>0</v>
      </c>
      <c r="AL111" s="45">
        <f>SUM(AL109:AL110)</f>
        <v>0</v>
      </c>
      <c r="AM111" s="50">
        <v>0</v>
      </c>
      <c r="AN111" s="51">
        <f>IF(A110="","",IF(A110&gt;NomMois,0,IF(A110&lt;$A$3,2.08,(NETWORKDAYS(A110,$A$2)/21.66667)*2.08)))</f>
        <v>2.08</v>
      </c>
      <c r="AO111" s="51">
        <f>IF( AN111="",0,+AN111+Février!AO111)</f>
        <v>13.72799980800003</v>
      </c>
      <c r="AP111" s="50"/>
      <c r="AQ111" s="45">
        <f>+AM111-AI111</f>
        <v>0</v>
      </c>
      <c r="AR111" s="45" t="str">
        <f>+IF(AP111="","",AP111-AJ111)</f>
        <v/>
      </c>
      <c r="AS111" s="102">
        <f t="shared" si="27"/>
        <v>13.72799980800003</v>
      </c>
    </row>
    <row r="112" spans="1:45" s="79" customFormat="1" ht="6.75" customHeight="1" x14ac:dyDescent="0.25">
      <c r="A112" s="64"/>
      <c r="B112" s="42"/>
      <c r="C112" s="64"/>
      <c r="D112" s="64"/>
      <c r="E112" s="64"/>
      <c r="F112" s="64"/>
      <c r="G112" s="64"/>
      <c r="H112" s="64"/>
      <c r="I112" s="64"/>
      <c r="J112" s="64"/>
      <c r="K112" s="64"/>
      <c r="L112" s="64"/>
      <c r="M112" s="64"/>
      <c r="N112" s="64"/>
      <c r="O112" s="64"/>
      <c r="P112" s="64"/>
      <c r="Q112" s="64"/>
      <c r="R112" s="64"/>
      <c r="S112" s="64"/>
      <c r="T112" s="64"/>
      <c r="U112" s="64"/>
      <c r="V112" s="64"/>
      <c r="W112" s="64"/>
      <c r="X112" s="64"/>
      <c r="Y112" s="64"/>
      <c r="Z112" s="64"/>
      <c r="AA112" s="64"/>
      <c r="AB112" s="64"/>
      <c r="AC112" s="64"/>
      <c r="AD112" s="64"/>
      <c r="AE112" s="64"/>
      <c r="AF112" s="64"/>
      <c r="AG112" s="64"/>
      <c r="AH112" s="65"/>
      <c r="AI112" s="65"/>
      <c r="AJ112" s="65"/>
      <c r="AK112" s="65"/>
      <c r="AL112" s="65"/>
      <c r="AM112" s="64"/>
      <c r="AN112" s="65"/>
      <c r="AO112" s="65"/>
      <c r="AP112" s="64"/>
      <c r="AQ112" s="69"/>
      <c r="AR112" s="69"/>
      <c r="AS112" s="65"/>
    </row>
    <row r="113" spans="1:45" s="79" customFormat="1" ht="12.95" customHeight="1" x14ac:dyDescent="0.25">
      <c r="A113" s="41"/>
      <c r="B113" s="42" t="s">
        <v>15</v>
      </c>
      <c r="C113" s="67"/>
      <c r="D113" s="43"/>
      <c r="E113" s="43"/>
      <c r="F113" s="43"/>
      <c r="G113" s="43"/>
      <c r="H113" s="43"/>
      <c r="I113" s="43"/>
      <c r="J113" s="43"/>
      <c r="K113" s="43"/>
      <c r="L113" s="43"/>
      <c r="M113" s="43"/>
      <c r="N113" s="43"/>
      <c r="O113" s="43"/>
      <c r="P113" s="43"/>
      <c r="Q113" s="43"/>
      <c r="R113" s="43"/>
      <c r="S113" s="43"/>
      <c r="T113" s="43"/>
      <c r="U113" s="43"/>
      <c r="V113" s="43"/>
      <c r="W113" s="43"/>
      <c r="X113" s="43"/>
      <c r="Y113" s="43"/>
      <c r="Z113" s="43"/>
      <c r="AA113" s="43"/>
      <c r="AB113" s="43"/>
      <c r="AC113" s="43"/>
      <c r="AD113" s="43"/>
      <c r="AE113" s="43"/>
      <c r="AF113" s="43"/>
      <c r="AG113" s="43"/>
      <c r="AH113" s="44">
        <f>COUNTA(Mars!$C113:$AG113)</f>
        <v>0</v>
      </c>
      <c r="AI113" s="45">
        <f>(COUNTIFS(Mars!$C113:$AG113,("cp")))/2+Février!AI113</f>
        <v>0</v>
      </c>
      <c r="AJ113" s="45">
        <f>COUNTIFS(Mars!$C113:$AG113,"RTT")/2+Février!AJ113</f>
        <v>0</v>
      </c>
      <c r="AK113" s="45">
        <f>COUNTIFS(Mars!$C113:$AG113,"m")/2+Février!AK113</f>
        <v>0</v>
      </c>
      <c r="AL113" s="45">
        <f>COUNTIFS(Mars!$C113:$AG113,"a")/2+Février!AL113</f>
        <v>0</v>
      </c>
      <c r="AM113" s="46"/>
      <c r="AN113" s="47"/>
      <c r="AO113" s="47"/>
      <c r="AP113" s="46"/>
      <c r="AQ113" s="47"/>
      <c r="AR113" s="47"/>
      <c r="AS113" s="47"/>
    </row>
    <row r="114" spans="1:45" s="79" customFormat="1" ht="12.95" customHeight="1" x14ac:dyDescent="0.25">
      <c r="A114" s="48">
        <v>43052</v>
      </c>
      <c r="B114" s="42" t="s">
        <v>16</v>
      </c>
      <c r="C114" s="67"/>
      <c r="D114" s="43"/>
      <c r="E114" s="43"/>
      <c r="F114" s="43"/>
      <c r="G114" s="43"/>
      <c r="H114" s="43"/>
      <c r="I114" s="43"/>
      <c r="J114" s="43"/>
      <c r="K114" s="43"/>
      <c r="L114" s="43"/>
      <c r="M114" s="43"/>
      <c r="N114" s="43"/>
      <c r="O114" s="43"/>
      <c r="P114" s="43"/>
      <c r="Q114" s="43"/>
      <c r="R114" s="43"/>
      <c r="S114" s="43"/>
      <c r="T114" s="43"/>
      <c r="U114" s="43"/>
      <c r="V114" s="43"/>
      <c r="W114" s="43"/>
      <c r="X114" s="43"/>
      <c r="Y114" s="43"/>
      <c r="Z114" s="43"/>
      <c r="AA114" s="43"/>
      <c r="AB114" s="43"/>
      <c r="AC114" s="43"/>
      <c r="AD114" s="43"/>
      <c r="AE114" s="43"/>
      <c r="AF114" s="43"/>
      <c r="AG114" s="43"/>
      <c r="AH114" s="44">
        <f>COUNTA(Mars!$C114:$AG114)</f>
        <v>0</v>
      </c>
      <c r="AI114" s="45">
        <f>(COUNTIFS(Mars!$C114:$AG114,("cp")))/2+Février!AI114</f>
        <v>0</v>
      </c>
      <c r="AJ114" s="45">
        <f>COUNTIFS(Mars!$C114:$AG114,"RTT")/2+Février!AJ114</f>
        <v>0</v>
      </c>
      <c r="AK114" s="45">
        <f>COUNTIFS(Mars!$C114:$AG114,"m")/2+Février!AK114</f>
        <v>0</v>
      </c>
      <c r="AL114" s="45">
        <f>COUNTIFS(Mars!$C114:$AG114,"a")/2+Février!AL114</f>
        <v>0</v>
      </c>
      <c r="AM114" s="46"/>
      <c r="AN114" s="47"/>
      <c r="AO114" s="47"/>
      <c r="AP114" s="46"/>
      <c r="AQ114" s="47"/>
      <c r="AR114" s="47"/>
      <c r="AS114" s="101"/>
    </row>
    <row r="115" spans="1:45" s="79" customFormat="1" ht="12.95" customHeight="1" x14ac:dyDescent="0.25">
      <c r="A115" s="41"/>
      <c r="B115" s="42"/>
      <c r="C115" s="49" t="str">
        <f t="shared" ref="C115:AG115" si="32">IF(C113&gt;0,C113,IF(C114&gt;0,C114,""))</f>
        <v/>
      </c>
      <c r="D115" s="49" t="str">
        <f t="shared" si="32"/>
        <v/>
      </c>
      <c r="E115" s="49" t="str">
        <f t="shared" si="32"/>
        <v/>
      </c>
      <c r="F115" s="49" t="str">
        <f t="shared" si="32"/>
        <v/>
      </c>
      <c r="G115" s="49" t="str">
        <f t="shared" si="32"/>
        <v/>
      </c>
      <c r="H115" s="49" t="str">
        <f t="shared" si="32"/>
        <v/>
      </c>
      <c r="I115" s="49" t="str">
        <f t="shared" si="32"/>
        <v/>
      </c>
      <c r="J115" s="49" t="str">
        <f t="shared" si="32"/>
        <v/>
      </c>
      <c r="K115" s="49" t="str">
        <f t="shared" si="32"/>
        <v/>
      </c>
      <c r="L115" s="49" t="str">
        <f t="shared" si="32"/>
        <v/>
      </c>
      <c r="M115" s="49" t="str">
        <f t="shared" si="32"/>
        <v/>
      </c>
      <c r="N115" s="49" t="str">
        <f t="shared" si="32"/>
        <v/>
      </c>
      <c r="O115" s="49" t="str">
        <f t="shared" si="32"/>
        <v/>
      </c>
      <c r="P115" s="49" t="str">
        <f t="shared" si="32"/>
        <v/>
      </c>
      <c r="Q115" s="49" t="str">
        <f t="shared" si="32"/>
        <v/>
      </c>
      <c r="R115" s="49" t="str">
        <f t="shared" si="32"/>
        <v/>
      </c>
      <c r="S115" s="49" t="str">
        <f t="shared" si="32"/>
        <v/>
      </c>
      <c r="T115" s="49" t="str">
        <f t="shared" si="32"/>
        <v/>
      </c>
      <c r="U115" s="49" t="str">
        <f t="shared" si="32"/>
        <v/>
      </c>
      <c r="V115" s="49" t="str">
        <f t="shared" si="32"/>
        <v/>
      </c>
      <c r="W115" s="49" t="str">
        <f t="shared" si="32"/>
        <v/>
      </c>
      <c r="X115" s="49" t="str">
        <f t="shared" si="32"/>
        <v/>
      </c>
      <c r="Y115" s="49" t="str">
        <f t="shared" si="32"/>
        <v/>
      </c>
      <c r="Z115" s="49" t="str">
        <f t="shared" si="32"/>
        <v/>
      </c>
      <c r="AA115" s="49" t="str">
        <f t="shared" si="32"/>
        <v/>
      </c>
      <c r="AB115" s="49" t="str">
        <f t="shared" si="32"/>
        <v/>
      </c>
      <c r="AC115" s="49" t="str">
        <f t="shared" si="32"/>
        <v/>
      </c>
      <c r="AD115" s="49" t="str">
        <f t="shared" si="32"/>
        <v/>
      </c>
      <c r="AE115" s="49" t="str">
        <f t="shared" si="32"/>
        <v/>
      </c>
      <c r="AF115" s="49" t="str">
        <f t="shared" si="32"/>
        <v/>
      </c>
      <c r="AG115" s="49" t="str">
        <f t="shared" si="32"/>
        <v/>
      </c>
      <c r="AH115" s="44">
        <f>SUM(AH113:AH114)</f>
        <v>0</v>
      </c>
      <c r="AI115" s="45">
        <f>SUM(AI113:AI114)</f>
        <v>0</v>
      </c>
      <c r="AJ115" s="45">
        <f>SUM(AJ113:AJ114)</f>
        <v>0</v>
      </c>
      <c r="AK115" s="45">
        <f>SUM(AK113:AK114)</f>
        <v>0</v>
      </c>
      <c r="AL115" s="45">
        <f>SUM(AL113:AL114)</f>
        <v>0</v>
      </c>
      <c r="AM115" s="50">
        <v>0</v>
      </c>
      <c r="AN115" s="51">
        <f>IF(A114="","",IF(A114&gt;NomMois,0,IF(A114&lt;$A$3,2.08,(NETWORKDAYS(A114,$A$2)/21.66667)*2.08)))</f>
        <v>2.08</v>
      </c>
      <c r="AO115" s="51">
        <f>IF( AN115="",0,+AN115+Février!AO115)</f>
        <v>9.6639997932308006</v>
      </c>
      <c r="AP115" s="50"/>
      <c r="AQ115" s="45">
        <f>+AM115-AI115</f>
        <v>0</v>
      </c>
      <c r="AR115" s="45" t="str">
        <f>+IF(AP115="","",AP115-AJ115)</f>
        <v/>
      </c>
      <c r="AS115" s="102">
        <f t="shared" si="27"/>
        <v>9.6639997932308006</v>
      </c>
    </row>
    <row r="116" spans="1:45" s="79" customFormat="1" ht="6.75" customHeight="1" x14ac:dyDescent="0.25">
      <c r="A116" s="64"/>
      <c r="B116" s="42"/>
      <c r="C116" s="64"/>
      <c r="D116" s="64"/>
      <c r="E116" s="64"/>
      <c r="F116" s="64"/>
      <c r="G116" s="64"/>
      <c r="H116" s="64"/>
      <c r="I116" s="64"/>
      <c r="J116" s="64"/>
      <c r="K116" s="64"/>
      <c r="L116" s="64"/>
      <c r="M116" s="64"/>
      <c r="N116" s="64"/>
      <c r="O116" s="64"/>
      <c r="P116" s="64"/>
      <c r="Q116" s="64"/>
      <c r="R116" s="64"/>
      <c r="S116" s="64"/>
      <c r="T116" s="64"/>
      <c r="U116" s="64"/>
      <c r="V116" s="64"/>
      <c r="W116" s="64"/>
      <c r="X116" s="64"/>
      <c r="Y116" s="64"/>
      <c r="Z116" s="64"/>
      <c r="AA116" s="64"/>
      <c r="AB116" s="64"/>
      <c r="AC116" s="64"/>
      <c r="AD116" s="64"/>
      <c r="AE116" s="64"/>
      <c r="AF116" s="64"/>
      <c r="AG116" s="64"/>
      <c r="AH116" s="65"/>
      <c r="AI116" s="65"/>
      <c r="AJ116" s="65"/>
      <c r="AK116" s="65"/>
      <c r="AL116" s="65"/>
      <c r="AM116" s="64"/>
      <c r="AN116" s="65"/>
      <c r="AO116" s="65"/>
      <c r="AP116" s="64"/>
      <c r="AQ116" s="69"/>
      <c r="AR116" s="69"/>
      <c r="AS116" s="65"/>
    </row>
    <row r="117" spans="1:45" s="79" customFormat="1" ht="12.95" customHeight="1" x14ac:dyDescent="0.25">
      <c r="A117" s="41"/>
      <c r="B117" s="42" t="s">
        <v>15</v>
      </c>
      <c r="C117" s="67"/>
      <c r="D117" s="43"/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  <c r="S117" s="43"/>
      <c r="T117" s="43"/>
      <c r="U117" s="43"/>
      <c r="V117" s="43"/>
      <c r="W117" s="43"/>
      <c r="X117" s="43"/>
      <c r="Y117" s="43"/>
      <c r="Z117" s="43"/>
      <c r="AA117" s="43"/>
      <c r="AB117" s="43"/>
      <c r="AC117" s="43"/>
      <c r="AD117" s="43"/>
      <c r="AE117" s="43"/>
      <c r="AF117" s="43"/>
      <c r="AG117" s="43"/>
      <c r="AH117" s="44">
        <f>COUNTA(Mars!$C117:$AG117)</f>
        <v>0</v>
      </c>
      <c r="AI117" s="45">
        <f>(COUNTIFS(Mars!$C117:$AG117,("cp")))/2+Février!AI117</f>
        <v>0</v>
      </c>
      <c r="AJ117" s="45">
        <f>COUNTIFS(Mars!$C117:$AG117,"RTT")/2+Février!AJ117</f>
        <v>0</v>
      </c>
      <c r="AK117" s="45">
        <f>COUNTIFS(Mars!$C117:$AG117,"m")/2+Février!AK117</f>
        <v>0</v>
      </c>
      <c r="AL117" s="45">
        <f>COUNTIFS(Mars!$C117:$AG117,"a")/2+Février!AL117</f>
        <v>0</v>
      </c>
      <c r="AM117" s="46"/>
      <c r="AN117" s="47"/>
      <c r="AO117" s="47"/>
      <c r="AP117" s="46"/>
      <c r="AQ117" s="47"/>
      <c r="AR117" s="47"/>
      <c r="AS117" s="47"/>
    </row>
    <row r="118" spans="1:45" s="79" customFormat="1" ht="12.95" customHeight="1" x14ac:dyDescent="0.25">
      <c r="A118" s="48"/>
      <c r="B118" s="42" t="s">
        <v>16</v>
      </c>
      <c r="C118" s="67"/>
      <c r="D118" s="43"/>
      <c r="E118" s="43"/>
      <c r="F118" s="43"/>
      <c r="G118" s="43"/>
      <c r="H118" s="43"/>
      <c r="I118" s="43"/>
      <c r="J118" s="43"/>
      <c r="K118" s="43"/>
      <c r="L118" s="43"/>
      <c r="M118" s="43"/>
      <c r="N118" s="43"/>
      <c r="O118" s="43"/>
      <c r="P118" s="43"/>
      <c r="Q118" s="43"/>
      <c r="R118" s="43"/>
      <c r="S118" s="43"/>
      <c r="T118" s="43"/>
      <c r="U118" s="43"/>
      <c r="V118" s="43"/>
      <c r="W118" s="43"/>
      <c r="X118" s="43"/>
      <c r="Y118" s="43"/>
      <c r="Z118" s="43"/>
      <c r="AA118" s="43"/>
      <c r="AB118" s="43"/>
      <c r="AC118" s="43"/>
      <c r="AD118" s="43"/>
      <c r="AE118" s="43"/>
      <c r="AF118" s="43"/>
      <c r="AG118" s="43"/>
      <c r="AH118" s="44">
        <f>COUNTA(Mars!$C118:$AG118)</f>
        <v>0</v>
      </c>
      <c r="AI118" s="45">
        <f>(COUNTIFS(Mars!$C118:$AG118,("cp")))/2+Février!AI118</f>
        <v>0</v>
      </c>
      <c r="AJ118" s="45">
        <f>COUNTIFS(Mars!$C118:$AG118,"RTT")/2+Février!AJ118</f>
        <v>0</v>
      </c>
      <c r="AK118" s="45">
        <f>COUNTIFS(Mars!$C118:$AG118,"m")/2+Février!AK118</f>
        <v>0</v>
      </c>
      <c r="AL118" s="45">
        <f>COUNTIFS(Mars!$C118:$AG118,"a")/2+Février!AL118</f>
        <v>0</v>
      </c>
      <c r="AM118" s="46"/>
      <c r="AN118" s="47"/>
      <c r="AO118" s="47"/>
      <c r="AP118" s="46"/>
      <c r="AQ118" s="47"/>
      <c r="AR118" s="47"/>
      <c r="AS118" s="101"/>
    </row>
    <row r="119" spans="1:45" s="79" customFormat="1" ht="12.95" customHeight="1" x14ac:dyDescent="0.25">
      <c r="A119" s="41"/>
      <c r="B119" s="42"/>
      <c r="C119" s="49" t="str">
        <f t="shared" ref="C119:AG119" si="33">IF(C117&gt;0,C117,IF(C118&gt;0,C118,""))</f>
        <v/>
      </c>
      <c r="D119" s="49" t="str">
        <f t="shared" si="33"/>
        <v/>
      </c>
      <c r="E119" s="49" t="str">
        <f t="shared" si="33"/>
        <v/>
      </c>
      <c r="F119" s="49" t="str">
        <f t="shared" si="33"/>
        <v/>
      </c>
      <c r="G119" s="49" t="str">
        <f t="shared" si="33"/>
        <v/>
      </c>
      <c r="H119" s="49" t="str">
        <f t="shared" si="33"/>
        <v/>
      </c>
      <c r="I119" s="49" t="str">
        <f t="shared" si="33"/>
        <v/>
      </c>
      <c r="J119" s="49" t="str">
        <f t="shared" si="33"/>
        <v/>
      </c>
      <c r="K119" s="49" t="str">
        <f t="shared" si="33"/>
        <v/>
      </c>
      <c r="L119" s="49" t="str">
        <f t="shared" si="33"/>
        <v/>
      </c>
      <c r="M119" s="49" t="str">
        <f t="shared" si="33"/>
        <v/>
      </c>
      <c r="N119" s="49" t="str">
        <f t="shared" si="33"/>
        <v/>
      </c>
      <c r="O119" s="49" t="str">
        <f t="shared" si="33"/>
        <v/>
      </c>
      <c r="P119" s="49" t="str">
        <f t="shared" si="33"/>
        <v/>
      </c>
      <c r="Q119" s="49" t="str">
        <f t="shared" si="33"/>
        <v/>
      </c>
      <c r="R119" s="49" t="str">
        <f t="shared" si="33"/>
        <v/>
      </c>
      <c r="S119" s="49" t="str">
        <f t="shared" si="33"/>
        <v/>
      </c>
      <c r="T119" s="49" t="str">
        <f t="shared" si="33"/>
        <v/>
      </c>
      <c r="U119" s="49" t="str">
        <f t="shared" si="33"/>
        <v/>
      </c>
      <c r="V119" s="49" t="str">
        <f t="shared" si="33"/>
        <v/>
      </c>
      <c r="W119" s="49" t="str">
        <f t="shared" si="33"/>
        <v/>
      </c>
      <c r="X119" s="49" t="str">
        <f t="shared" si="33"/>
        <v/>
      </c>
      <c r="Y119" s="49" t="str">
        <f t="shared" si="33"/>
        <v/>
      </c>
      <c r="Z119" s="49" t="str">
        <f t="shared" si="33"/>
        <v/>
      </c>
      <c r="AA119" s="49" t="str">
        <f t="shared" si="33"/>
        <v/>
      </c>
      <c r="AB119" s="49" t="str">
        <f t="shared" si="33"/>
        <v/>
      </c>
      <c r="AC119" s="49" t="str">
        <f t="shared" si="33"/>
        <v/>
      </c>
      <c r="AD119" s="49" t="str">
        <f t="shared" si="33"/>
        <v/>
      </c>
      <c r="AE119" s="49" t="str">
        <f t="shared" si="33"/>
        <v/>
      </c>
      <c r="AF119" s="49" t="str">
        <f t="shared" si="33"/>
        <v/>
      </c>
      <c r="AG119" s="49" t="str">
        <f t="shared" si="33"/>
        <v/>
      </c>
      <c r="AH119" s="44">
        <f>SUM(AH117:AH118)</f>
        <v>0</v>
      </c>
      <c r="AI119" s="45">
        <f>SUM(AI117:AI118)</f>
        <v>0</v>
      </c>
      <c r="AJ119" s="45">
        <f>SUM(AJ117:AJ118)</f>
        <v>0</v>
      </c>
      <c r="AK119" s="45">
        <f>SUM(AK117:AK118)</f>
        <v>0</v>
      </c>
      <c r="AL119" s="45">
        <f>SUM(AL117:AL118)</f>
        <v>0</v>
      </c>
      <c r="AM119" s="50">
        <v>0</v>
      </c>
      <c r="AN119" s="51" t="str">
        <f>IF(A118="","",IF(A118&gt;NomMois,0,IF(A118&lt;$A$3,2.08,(NETWORKDAYS(A118,$A$2)/21.66667)*2.08)))</f>
        <v/>
      </c>
      <c r="AO119" s="51">
        <f>IF( AN119="",0,+AN119+Février!AO119)</f>
        <v>0</v>
      </c>
      <c r="AP119" s="50"/>
      <c r="AQ119" s="45">
        <f>+AM119-AI119</f>
        <v>0</v>
      </c>
      <c r="AR119" s="45" t="str">
        <f>+IF(AP119="","",AP119-AJ119)</f>
        <v/>
      </c>
      <c r="AS119" s="102">
        <f t="shared" si="27"/>
        <v>0</v>
      </c>
    </row>
    <row r="120" spans="1:45" s="79" customFormat="1" ht="6.75" customHeight="1" x14ac:dyDescent="0.25">
      <c r="A120" s="64"/>
      <c r="B120" s="42"/>
      <c r="C120" s="64"/>
      <c r="D120" s="64"/>
      <c r="E120" s="64"/>
      <c r="F120" s="64"/>
      <c r="G120" s="64"/>
      <c r="H120" s="64"/>
      <c r="I120" s="64"/>
      <c r="J120" s="64"/>
      <c r="K120" s="64"/>
      <c r="L120" s="64"/>
      <c r="M120" s="64"/>
      <c r="N120" s="64"/>
      <c r="O120" s="64"/>
      <c r="P120" s="64"/>
      <c r="Q120" s="64"/>
      <c r="R120" s="64"/>
      <c r="S120" s="64"/>
      <c r="T120" s="64"/>
      <c r="U120" s="64"/>
      <c r="V120" s="64"/>
      <c r="W120" s="64"/>
      <c r="X120" s="64"/>
      <c r="Y120" s="64"/>
      <c r="Z120" s="64"/>
      <c r="AA120" s="64"/>
      <c r="AB120" s="64"/>
      <c r="AC120" s="64"/>
      <c r="AD120" s="64"/>
      <c r="AE120" s="64"/>
      <c r="AF120" s="64"/>
      <c r="AG120" s="64"/>
      <c r="AH120" s="65"/>
      <c r="AI120" s="65"/>
      <c r="AJ120" s="65"/>
      <c r="AK120" s="65"/>
      <c r="AL120" s="65"/>
      <c r="AM120" s="64"/>
      <c r="AN120" s="65"/>
      <c r="AO120" s="65"/>
      <c r="AP120" s="64"/>
      <c r="AQ120" s="69"/>
      <c r="AR120" s="69"/>
      <c r="AS120" s="65"/>
    </row>
    <row r="121" spans="1:45" s="79" customFormat="1" ht="12.95" customHeight="1" x14ac:dyDescent="0.25">
      <c r="A121" s="41"/>
      <c r="B121" s="42" t="s">
        <v>15</v>
      </c>
      <c r="C121" s="67"/>
      <c r="D121" s="43"/>
      <c r="E121" s="43"/>
      <c r="F121" s="43"/>
      <c r="G121" s="43"/>
      <c r="H121" s="43"/>
      <c r="I121" s="43"/>
      <c r="J121" s="43"/>
      <c r="K121" s="43"/>
      <c r="L121" s="43"/>
      <c r="M121" s="43"/>
      <c r="N121" s="43"/>
      <c r="O121" s="43"/>
      <c r="P121" s="43"/>
      <c r="Q121" s="43"/>
      <c r="R121" s="43"/>
      <c r="S121" s="43"/>
      <c r="T121" s="43"/>
      <c r="U121" s="43"/>
      <c r="V121" s="43"/>
      <c r="W121" s="43"/>
      <c r="X121" s="43"/>
      <c r="Y121" s="43"/>
      <c r="Z121" s="43"/>
      <c r="AA121" s="43"/>
      <c r="AB121" s="43"/>
      <c r="AC121" s="43"/>
      <c r="AD121" s="43"/>
      <c r="AE121" s="43"/>
      <c r="AF121" s="43"/>
      <c r="AG121" s="43"/>
      <c r="AH121" s="44">
        <f>COUNTA(Mars!$C121:$AG121)</f>
        <v>0</v>
      </c>
      <c r="AI121" s="45">
        <f>(COUNTIFS(Mars!$C121:$AG121,("cp")))/2+Février!AI121</f>
        <v>0</v>
      </c>
      <c r="AJ121" s="45">
        <f>COUNTIFS(Mars!$C121:$AG121,"RTT")/2+Février!AJ121</f>
        <v>0</v>
      </c>
      <c r="AK121" s="45">
        <f>COUNTIFS(Mars!$C121:$AG121,"m")/2+Février!AK121</f>
        <v>0</v>
      </c>
      <c r="AL121" s="45">
        <f>COUNTIFS(Mars!$C121:$AG121,"a")/2+Février!AL121</f>
        <v>0</v>
      </c>
      <c r="AM121" s="46"/>
      <c r="AN121" s="47"/>
      <c r="AO121" s="47"/>
      <c r="AP121" s="46"/>
      <c r="AQ121" s="47"/>
      <c r="AR121" s="47"/>
      <c r="AS121" s="47"/>
    </row>
    <row r="122" spans="1:45" s="79" customFormat="1" ht="12.95" customHeight="1" x14ac:dyDescent="0.25">
      <c r="A122" s="48"/>
      <c r="B122" s="42" t="s">
        <v>16</v>
      </c>
      <c r="C122" s="67"/>
      <c r="D122" s="43"/>
      <c r="E122" s="43"/>
      <c r="F122" s="43"/>
      <c r="G122" s="43"/>
      <c r="H122" s="43"/>
      <c r="I122" s="43"/>
      <c r="J122" s="43"/>
      <c r="K122" s="43"/>
      <c r="L122" s="43"/>
      <c r="M122" s="43"/>
      <c r="N122" s="43"/>
      <c r="O122" s="43"/>
      <c r="P122" s="43"/>
      <c r="Q122" s="43"/>
      <c r="R122" s="43"/>
      <c r="S122" s="43"/>
      <c r="T122" s="43"/>
      <c r="U122" s="43"/>
      <c r="V122" s="43"/>
      <c r="W122" s="43"/>
      <c r="X122" s="43"/>
      <c r="Y122" s="43"/>
      <c r="Z122" s="43"/>
      <c r="AA122" s="43"/>
      <c r="AB122" s="43"/>
      <c r="AC122" s="43"/>
      <c r="AD122" s="43"/>
      <c r="AE122" s="43"/>
      <c r="AF122" s="43"/>
      <c r="AG122" s="43"/>
      <c r="AH122" s="44">
        <f>COUNTA(Mars!$C122:$AG122)</f>
        <v>0</v>
      </c>
      <c r="AI122" s="45">
        <f>(COUNTIFS(Mars!$C122:$AG122,("cp")))/2+Février!AI122</f>
        <v>0</v>
      </c>
      <c r="AJ122" s="45">
        <f>COUNTIFS(Mars!$C122:$AG122,"RTT")/2+Février!AJ122</f>
        <v>0</v>
      </c>
      <c r="AK122" s="45">
        <f>COUNTIFS(Mars!$C122:$AG122,"m")/2+Février!AK122</f>
        <v>0</v>
      </c>
      <c r="AL122" s="45">
        <f>COUNTIFS(Mars!$C122:$AG122,"a")/2+Février!AL122</f>
        <v>0</v>
      </c>
      <c r="AM122" s="46"/>
      <c r="AN122" s="47"/>
      <c r="AO122" s="47"/>
      <c r="AP122" s="46"/>
      <c r="AQ122" s="47"/>
      <c r="AR122" s="47"/>
      <c r="AS122" s="101"/>
    </row>
    <row r="123" spans="1:45" s="79" customFormat="1" ht="12.95" customHeight="1" x14ac:dyDescent="0.25">
      <c r="A123" s="41"/>
      <c r="B123" s="42"/>
      <c r="C123" s="49" t="str">
        <f t="shared" ref="C123:AG123" si="34">IF(C121&gt;0,C121,IF(C122&gt;0,C122,""))</f>
        <v/>
      </c>
      <c r="D123" s="49" t="str">
        <f t="shared" si="34"/>
        <v/>
      </c>
      <c r="E123" s="49" t="str">
        <f t="shared" si="34"/>
        <v/>
      </c>
      <c r="F123" s="49" t="str">
        <f t="shared" si="34"/>
        <v/>
      </c>
      <c r="G123" s="49" t="str">
        <f t="shared" si="34"/>
        <v/>
      </c>
      <c r="H123" s="49" t="str">
        <f t="shared" si="34"/>
        <v/>
      </c>
      <c r="I123" s="49" t="str">
        <f t="shared" si="34"/>
        <v/>
      </c>
      <c r="J123" s="49" t="str">
        <f t="shared" si="34"/>
        <v/>
      </c>
      <c r="K123" s="49" t="str">
        <f t="shared" si="34"/>
        <v/>
      </c>
      <c r="L123" s="49" t="str">
        <f t="shared" si="34"/>
        <v/>
      </c>
      <c r="M123" s="49" t="str">
        <f t="shared" si="34"/>
        <v/>
      </c>
      <c r="N123" s="49" t="str">
        <f t="shared" si="34"/>
        <v/>
      </c>
      <c r="O123" s="49" t="str">
        <f t="shared" si="34"/>
        <v/>
      </c>
      <c r="P123" s="49" t="str">
        <f t="shared" si="34"/>
        <v/>
      </c>
      <c r="Q123" s="49" t="str">
        <f t="shared" si="34"/>
        <v/>
      </c>
      <c r="R123" s="49" t="str">
        <f t="shared" si="34"/>
        <v/>
      </c>
      <c r="S123" s="49" t="str">
        <f t="shared" si="34"/>
        <v/>
      </c>
      <c r="T123" s="49" t="str">
        <f t="shared" si="34"/>
        <v/>
      </c>
      <c r="U123" s="49" t="str">
        <f t="shared" si="34"/>
        <v/>
      </c>
      <c r="V123" s="49" t="str">
        <f t="shared" si="34"/>
        <v/>
      </c>
      <c r="W123" s="49" t="str">
        <f t="shared" si="34"/>
        <v/>
      </c>
      <c r="X123" s="49" t="str">
        <f t="shared" si="34"/>
        <v/>
      </c>
      <c r="Y123" s="49" t="str">
        <f t="shared" si="34"/>
        <v/>
      </c>
      <c r="Z123" s="49" t="str">
        <f t="shared" si="34"/>
        <v/>
      </c>
      <c r="AA123" s="49" t="str">
        <f t="shared" si="34"/>
        <v/>
      </c>
      <c r="AB123" s="49" t="str">
        <f t="shared" si="34"/>
        <v/>
      </c>
      <c r="AC123" s="49" t="str">
        <f t="shared" si="34"/>
        <v/>
      </c>
      <c r="AD123" s="49" t="str">
        <f t="shared" si="34"/>
        <v/>
      </c>
      <c r="AE123" s="49" t="str">
        <f t="shared" si="34"/>
        <v/>
      </c>
      <c r="AF123" s="49" t="str">
        <f t="shared" si="34"/>
        <v/>
      </c>
      <c r="AG123" s="49" t="str">
        <f t="shared" si="34"/>
        <v/>
      </c>
      <c r="AH123" s="44">
        <f>SUM(AH121:AH122)</f>
        <v>0</v>
      </c>
      <c r="AI123" s="45">
        <f>SUM(AI121:AI122)</f>
        <v>0</v>
      </c>
      <c r="AJ123" s="45">
        <f>SUM(AJ121:AJ122)</f>
        <v>0</v>
      </c>
      <c r="AK123" s="45">
        <f>SUM(AK121:AK122)</f>
        <v>0</v>
      </c>
      <c r="AL123" s="45">
        <f>SUM(AL121:AL122)</f>
        <v>0</v>
      </c>
      <c r="AM123" s="50">
        <v>0</v>
      </c>
      <c r="AN123" s="51" t="str">
        <f>IF(A122="","",IF(A122&gt;NomMois,0,IF(A122&lt;$A$3,2.08,(NETWORKDAYS(A122,$A$2)/21.66667)*2.08)))</f>
        <v/>
      </c>
      <c r="AO123" s="51">
        <f>IF( AN123="",0,+AN123+Février!AO123)</f>
        <v>0</v>
      </c>
      <c r="AP123" s="50"/>
      <c r="AQ123" s="45">
        <f>+AM123-AI123</f>
        <v>0</v>
      </c>
      <c r="AR123" s="45" t="str">
        <f>+IF(AP123="","",AP123-AJ123)</f>
        <v/>
      </c>
      <c r="AS123" s="102">
        <f t="shared" si="27"/>
        <v>0</v>
      </c>
    </row>
    <row r="124" spans="1:45" s="79" customFormat="1" ht="6.75" customHeight="1" x14ac:dyDescent="0.25">
      <c r="A124" s="64"/>
      <c r="B124" s="64"/>
      <c r="C124" s="64"/>
      <c r="D124" s="64"/>
      <c r="E124" s="64"/>
      <c r="F124" s="64"/>
      <c r="G124" s="64"/>
      <c r="H124" s="64"/>
      <c r="I124" s="64"/>
      <c r="J124" s="64"/>
      <c r="K124" s="64"/>
      <c r="L124" s="64"/>
      <c r="M124" s="64"/>
      <c r="N124" s="64"/>
      <c r="O124" s="64"/>
      <c r="P124" s="64"/>
      <c r="Q124" s="64"/>
      <c r="R124" s="64"/>
      <c r="S124" s="64"/>
      <c r="T124" s="64"/>
      <c r="U124" s="64"/>
      <c r="V124" s="64"/>
      <c r="W124" s="64"/>
      <c r="X124" s="64"/>
      <c r="Y124" s="64"/>
      <c r="Z124" s="64"/>
      <c r="AA124" s="64"/>
      <c r="AB124" s="64"/>
      <c r="AC124" s="64"/>
      <c r="AD124" s="64"/>
      <c r="AE124" s="64"/>
      <c r="AF124" s="64"/>
      <c r="AG124" s="64"/>
      <c r="AH124" s="64"/>
      <c r="AI124" s="64"/>
      <c r="AJ124" s="64"/>
      <c r="AK124" s="64"/>
      <c r="AL124" s="64"/>
      <c r="AM124" s="64"/>
      <c r="AN124" s="64"/>
      <c r="AO124" s="64"/>
      <c r="AP124" s="64"/>
      <c r="AQ124" s="74"/>
      <c r="AR124" s="74"/>
      <c r="AS124" s="65"/>
    </row>
    <row r="125" spans="1:45" s="79" customFormat="1" x14ac:dyDescent="0.25">
      <c r="A125" s="100"/>
      <c r="B125" s="100"/>
      <c r="C125" s="100"/>
      <c r="D125" s="100"/>
      <c r="E125" s="100"/>
      <c r="F125" s="100"/>
      <c r="G125" s="100"/>
      <c r="H125" s="100"/>
      <c r="I125" s="100"/>
      <c r="J125" s="100"/>
      <c r="K125" s="100"/>
      <c r="L125" s="100"/>
      <c r="M125" s="100"/>
      <c r="N125" s="100"/>
      <c r="O125" s="100"/>
      <c r="P125" s="100"/>
      <c r="Q125" s="100"/>
      <c r="R125" s="100"/>
      <c r="S125" s="100"/>
      <c r="T125" s="100"/>
      <c r="U125" s="100"/>
      <c r="V125" s="100"/>
      <c r="W125" s="100"/>
      <c r="X125" s="100"/>
      <c r="Y125" s="100"/>
      <c r="Z125" s="100"/>
      <c r="AA125" s="100"/>
      <c r="AB125" s="100"/>
      <c r="AC125" s="100"/>
      <c r="AD125" s="100"/>
      <c r="AE125" s="100"/>
      <c r="AF125" s="100"/>
      <c r="AG125" s="100"/>
      <c r="AH125" s="100"/>
      <c r="AM125" s="8"/>
      <c r="AN125" s="8"/>
      <c r="AO125" s="8"/>
    </row>
    <row r="126" spans="1:45" s="79" customFormat="1" x14ac:dyDescent="0.25">
      <c r="A126" s="100"/>
      <c r="B126" s="100"/>
      <c r="C126" s="100"/>
      <c r="D126" s="100"/>
      <c r="E126" s="100"/>
      <c r="F126" s="100"/>
      <c r="G126" s="100"/>
      <c r="H126" s="100"/>
      <c r="I126" s="100"/>
      <c r="J126" s="100"/>
      <c r="K126" s="100"/>
      <c r="L126" s="100"/>
      <c r="M126" s="100"/>
      <c r="N126" s="100"/>
      <c r="O126" s="100"/>
      <c r="P126" s="100"/>
      <c r="Q126" s="100"/>
      <c r="R126" s="100"/>
      <c r="S126" s="100"/>
      <c r="T126" s="100"/>
      <c r="U126" s="100"/>
      <c r="V126" s="100"/>
      <c r="W126" s="100"/>
      <c r="X126" s="100"/>
      <c r="Y126" s="100"/>
      <c r="Z126" s="100"/>
      <c r="AA126" s="100"/>
      <c r="AB126" s="100"/>
      <c r="AC126" s="100"/>
      <c r="AD126" s="100"/>
      <c r="AE126" s="100"/>
      <c r="AF126" s="100"/>
      <c r="AG126" s="100"/>
      <c r="AH126" s="100"/>
      <c r="AM126" s="8"/>
      <c r="AN126" s="8"/>
      <c r="AO126" s="8"/>
    </row>
    <row r="127" spans="1:45" s="79" customFormat="1" x14ac:dyDescent="0.25">
      <c r="A127" s="80"/>
      <c r="B127" s="80"/>
      <c r="C127" s="82" t="s">
        <v>17</v>
      </c>
      <c r="D127" s="82"/>
      <c r="E127" s="82"/>
      <c r="F127" s="82"/>
      <c r="G127" s="83"/>
      <c r="H127" s="84" t="s">
        <v>7</v>
      </c>
      <c r="I127" s="85" t="s">
        <v>18</v>
      </c>
      <c r="J127" s="86"/>
      <c r="K127" s="86"/>
      <c r="L127" s="87" t="s">
        <v>8</v>
      </c>
      <c r="M127" s="85" t="s">
        <v>8</v>
      </c>
      <c r="N127" s="86"/>
      <c r="O127" s="86"/>
      <c r="P127" s="88" t="s">
        <v>9</v>
      </c>
      <c r="Q127" s="85" t="s">
        <v>19</v>
      </c>
      <c r="R127" s="86"/>
      <c r="S127" s="86"/>
      <c r="T127" s="89" t="s">
        <v>10</v>
      </c>
      <c r="U127" s="90" t="s">
        <v>20</v>
      </c>
      <c r="V127" s="91"/>
      <c r="W127" s="86"/>
      <c r="X127" s="93"/>
      <c r="Y127" s="92"/>
      <c r="Z127" s="90" t="s">
        <v>21</v>
      </c>
      <c r="AA127" s="86"/>
      <c r="AB127" s="91"/>
      <c r="AC127" s="93"/>
      <c r="AD127" s="93"/>
      <c r="AE127" s="93"/>
      <c r="AF127" s="93"/>
      <c r="AG127" s="93"/>
      <c r="AH127" s="94"/>
      <c r="AM127" s="8"/>
      <c r="AN127" s="8"/>
      <c r="AO127" s="8"/>
    </row>
    <row r="128" spans="1:45" s="79" customFormat="1" x14ac:dyDescent="0.25"/>
    <row r="129" s="79" customFormat="1" x14ac:dyDescent="0.25"/>
    <row r="130" s="79" customFormat="1" x14ac:dyDescent="0.25"/>
    <row r="131" s="79" customFormat="1" ht="15" customHeight="1" x14ac:dyDescent="0.25"/>
    <row r="132" s="79" customFormat="1" ht="15" customHeight="1" x14ac:dyDescent="0.25"/>
    <row r="133" s="79" customFormat="1" ht="15" customHeight="1" x14ac:dyDescent="0.25"/>
    <row r="134" s="79" customFormat="1" ht="15" customHeight="1" x14ac:dyDescent="0.25"/>
    <row r="135" s="79" customFormat="1" ht="15" customHeight="1" x14ac:dyDescent="0.25"/>
    <row r="136" s="79" customFormat="1" ht="15" customHeight="1" x14ac:dyDescent="0.25"/>
    <row r="137" s="79" customFormat="1" ht="15" customHeight="1" x14ac:dyDescent="0.25"/>
    <row r="138" s="79" customFormat="1" ht="15" customHeight="1" x14ac:dyDescent="0.25"/>
    <row r="139" s="79" customFormat="1" ht="15" customHeight="1" x14ac:dyDescent="0.25"/>
    <row r="140" s="79" customFormat="1" ht="15" customHeight="1" x14ac:dyDescent="0.25"/>
    <row r="141" s="79" customFormat="1" ht="15" customHeight="1" x14ac:dyDescent="0.25"/>
    <row r="142" s="79" customFormat="1" ht="15" customHeight="1" x14ac:dyDescent="0.25"/>
    <row r="143" s="79" customFormat="1" ht="15" customHeight="1" x14ac:dyDescent="0.25"/>
    <row r="144" s="79" customFormat="1" ht="15" customHeight="1" x14ac:dyDescent="0.25"/>
    <row r="145" s="79" customFormat="1" ht="15" customHeight="1" x14ac:dyDescent="0.25"/>
    <row r="146" s="79" customFormat="1" ht="15" customHeight="1" x14ac:dyDescent="0.25"/>
    <row r="147" s="79" customFormat="1" ht="15" customHeight="1" x14ac:dyDescent="0.25"/>
    <row r="148" s="79" customFormat="1" ht="15" customHeight="1" x14ac:dyDescent="0.25"/>
    <row r="149" s="79" customFormat="1" ht="15" customHeight="1" x14ac:dyDescent="0.25"/>
    <row r="150" s="79" customFormat="1" ht="15" customHeight="1" x14ac:dyDescent="0.25"/>
    <row r="151" s="79" customFormat="1" ht="15" customHeight="1" x14ac:dyDescent="0.25"/>
    <row r="152" s="79" customFormat="1" ht="15" customHeight="1" x14ac:dyDescent="0.25"/>
    <row r="153" s="79" customFormat="1" ht="15" customHeight="1" x14ac:dyDescent="0.25"/>
    <row r="154" s="79" customFormat="1" ht="15" customHeight="1" x14ac:dyDescent="0.25"/>
    <row r="155" s="79" customFormat="1" ht="15" customHeight="1" x14ac:dyDescent="0.25"/>
    <row r="156" s="79" customFormat="1" ht="15" customHeight="1" x14ac:dyDescent="0.25"/>
    <row r="157" s="79" customFormat="1" ht="15" customHeight="1" x14ac:dyDescent="0.25"/>
    <row r="158" s="79" customFormat="1" ht="15" customHeight="1" x14ac:dyDescent="0.25"/>
    <row r="159" s="79" customFormat="1" ht="15" customHeight="1" x14ac:dyDescent="0.25"/>
    <row r="160" s="79" customFormat="1" ht="15" customHeight="1" x14ac:dyDescent="0.25"/>
    <row r="161" s="79" customFormat="1" ht="15" customHeight="1" x14ac:dyDescent="0.25"/>
    <row r="162" s="79" customFormat="1" ht="15" customHeight="1" x14ac:dyDescent="0.25"/>
    <row r="163" s="79" customFormat="1" ht="15" customHeight="1" x14ac:dyDescent="0.25"/>
    <row r="164" s="79" customFormat="1" ht="15" customHeight="1" x14ac:dyDescent="0.25"/>
    <row r="165" s="79" customFormat="1" ht="15" customHeight="1" x14ac:dyDescent="0.25"/>
    <row r="166" s="79" customFormat="1" ht="15" customHeight="1" x14ac:dyDescent="0.25"/>
    <row r="167" s="79" customFormat="1" ht="15" customHeight="1" x14ac:dyDescent="0.25"/>
    <row r="168" s="79" customFormat="1" ht="15" customHeight="1" x14ac:dyDescent="0.25"/>
    <row r="169" s="79" customFormat="1" ht="15" customHeight="1" x14ac:dyDescent="0.25"/>
    <row r="170" s="79" customFormat="1" ht="15" customHeight="1" x14ac:dyDescent="0.25"/>
    <row r="171" s="79" customFormat="1" ht="15" customHeight="1" x14ac:dyDescent="0.25"/>
    <row r="172" s="79" customFormat="1" ht="15" customHeight="1" x14ac:dyDescent="0.25"/>
    <row r="173" s="79" customFormat="1" ht="15" customHeight="1" x14ac:dyDescent="0.25"/>
    <row r="174" s="79" customFormat="1" ht="15" customHeight="1" x14ac:dyDescent="0.25"/>
    <row r="175" s="79" customFormat="1" ht="15" customHeight="1" x14ac:dyDescent="0.25"/>
    <row r="176" s="79" customFormat="1" ht="15" customHeight="1" x14ac:dyDescent="0.25"/>
    <row r="177" s="79" customFormat="1" ht="15" customHeight="1" x14ac:dyDescent="0.25"/>
    <row r="178" s="79" customFormat="1" ht="15" customHeight="1" x14ac:dyDescent="0.25"/>
    <row r="179" s="79" customFormat="1" ht="15" customHeight="1" x14ac:dyDescent="0.25"/>
    <row r="180" s="79" customFormat="1" ht="15" customHeight="1" x14ac:dyDescent="0.25"/>
    <row r="181" s="79" customFormat="1" ht="15" customHeight="1" x14ac:dyDescent="0.25"/>
    <row r="182" s="79" customFormat="1" ht="15" customHeight="1" x14ac:dyDescent="0.25"/>
    <row r="183" s="79" customFormat="1" ht="15" customHeight="1" x14ac:dyDescent="0.25"/>
    <row r="184" s="79" customFormat="1" ht="15" customHeight="1" x14ac:dyDescent="0.25"/>
    <row r="185" s="79" customFormat="1" ht="15" customHeight="1" x14ac:dyDescent="0.25"/>
    <row r="186" s="79" customFormat="1" ht="15" customHeight="1" x14ac:dyDescent="0.25"/>
    <row r="187" s="79" customFormat="1" ht="15" customHeight="1" x14ac:dyDescent="0.25"/>
    <row r="188" s="79" customFormat="1" ht="15" customHeight="1" x14ac:dyDescent="0.25"/>
    <row r="189" s="79" customFormat="1" ht="15" customHeight="1" x14ac:dyDescent="0.25"/>
    <row r="190" s="79" customFormat="1" ht="15" customHeight="1" x14ac:dyDescent="0.25"/>
    <row r="191" s="79" customFormat="1" ht="15" customHeight="1" x14ac:dyDescent="0.25"/>
    <row r="192" s="79" customFormat="1" ht="15" customHeight="1" x14ac:dyDescent="0.25"/>
    <row r="193" s="79" customFormat="1" ht="15" customHeight="1" x14ac:dyDescent="0.25"/>
    <row r="194" s="79" customFormat="1" ht="15" customHeight="1" x14ac:dyDescent="0.25"/>
    <row r="195" s="79" customFormat="1" ht="15" customHeight="1" x14ac:dyDescent="0.25"/>
    <row r="196" s="79" customFormat="1" ht="15" customHeight="1" x14ac:dyDescent="0.25"/>
    <row r="197" s="79" customFormat="1" ht="15" customHeight="1" x14ac:dyDescent="0.25"/>
    <row r="198" s="79" customFormat="1" ht="15" customHeight="1" x14ac:dyDescent="0.25"/>
    <row r="199" s="79" customFormat="1" ht="15" customHeight="1" x14ac:dyDescent="0.25"/>
    <row r="200" s="79" customFormat="1" ht="15" customHeight="1" x14ac:dyDescent="0.25"/>
    <row r="201" s="79" customFormat="1" ht="15" customHeight="1" x14ac:dyDescent="0.25"/>
    <row r="202" s="79" customFormat="1" ht="15" customHeight="1" x14ac:dyDescent="0.25"/>
    <row r="203" s="79" customFormat="1" ht="15" customHeight="1" x14ac:dyDescent="0.25"/>
    <row r="204" s="79" customFormat="1" ht="15" customHeight="1" x14ac:dyDescent="0.25"/>
    <row r="205" s="79" customFormat="1" ht="15" customHeight="1" x14ac:dyDescent="0.25"/>
    <row r="206" s="79" customFormat="1" ht="15" customHeight="1" x14ac:dyDescent="0.25"/>
    <row r="207" s="79" customFormat="1" ht="15" customHeight="1" x14ac:dyDescent="0.25"/>
    <row r="208" s="79" customFormat="1" ht="15" customHeight="1" x14ac:dyDescent="0.25"/>
    <row r="209" s="79" customFormat="1" ht="15" customHeight="1" x14ac:dyDescent="0.25"/>
    <row r="210" s="79" customFormat="1" ht="15" customHeight="1" x14ac:dyDescent="0.25"/>
    <row r="211" s="79" customFormat="1" ht="15" customHeight="1" x14ac:dyDescent="0.25"/>
    <row r="212" s="79" customFormat="1" ht="15" customHeight="1" x14ac:dyDescent="0.25"/>
    <row r="213" s="79" customFormat="1" ht="15" customHeight="1" x14ac:dyDescent="0.25"/>
    <row r="214" s="79" customFormat="1" ht="15" customHeight="1" x14ac:dyDescent="0.25"/>
    <row r="215" s="79" customFormat="1" ht="15" customHeight="1" x14ac:dyDescent="0.25"/>
    <row r="216" s="79" customFormat="1" ht="15" customHeight="1" x14ac:dyDescent="0.25"/>
    <row r="217" s="79" customFormat="1" ht="15" customHeight="1" x14ac:dyDescent="0.25"/>
    <row r="218" s="79" customFormat="1" ht="15" customHeight="1" x14ac:dyDescent="0.25"/>
    <row r="219" s="79" customFormat="1" ht="15" customHeight="1" x14ac:dyDescent="0.25"/>
    <row r="220" s="79" customFormat="1" ht="15" customHeight="1" x14ac:dyDescent="0.25"/>
    <row r="221" s="79" customFormat="1" ht="15" customHeight="1" x14ac:dyDescent="0.25"/>
    <row r="222" s="79" customFormat="1" ht="15" customHeight="1" x14ac:dyDescent="0.25"/>
    <row r="223" s="79" customFormat="1" ht="15" customHeight="1" x14ac:dyDescent="0.25"/>
    <row r="224" s="79" customFormat="1" ht="15" customHeight="1" x14ac:dyDescent="0.25"/>
    <row r="225" s="79" customFormat="1" ht="15" customHeight="1" x14ac:dyDescent="0.25"/>
    <row r="226" s="79" customFormat="1" ht="15" customHeight="1" x14ac:dyDescent="0.25"/>
    <row r="227" s="79" customFormat="1" ht="15" customHeight="1" x14ac:dyDescent="0.25"/>
    <row r="228" s="79" customFormat="1" ht="15" customHeight="1" x14ac:dyDescent="0.25"/>
    <row r="229" s="79" customFormat="1" ht="15" customHeight="1" x14ac:dyDescent="0.25"/>
    <row r="230" s="79" customFormat="1" ht="15" customHeight="1" x14ac:dyDescent="0.25"/>
    <row r="231" s="79" customFormat="1" ht="15" customHeight="1" x14ac:dyDescent="0.25"/>
    <row r="232" s="79" customFormat="1" ht="15" customHeight="1" x14ac:dyDescent="0.25"/>
    <row r="233" s="79" customFormat="1" ht="15" customHeight="1" x14ac:dyDescent="0.25"/>
    <row r="234" s="79" customFormat="1" ht="15" customHeight="1" x14ac:dyDescent="0.25"/>
    <row r="235" s="79" customFormat="1" ht="15" customHeight="1" x14ac:dyDescent="0.25"/>
    <row r="236" s="79" customFormat="1" ht="15" customHeight="1" x14ac:dyDescent="0.25"/>
    <row r="237" s="79" customFormat="1" ht="15" customHeight="1" x14ac:dyDescent="0.25"/>
    <row r="238" s="79" customFormat="1" ht="15" customHeight="1" x14ac:dyDescent="0.25"/>
    <row r="239" s="79" customFormat="1" ht="15" customHeight="1" x14ac:dyDescent="0.25"/>
    <row r="240" s="79" customFormat="1" ht="15" customHeight="1" x14ac:dyDescent="0.25"/>
    <row r="241" s="79" customFormat="1" ht="15" customHeight="1" x14ac:dyDescent="0.25"/>
    <row r="242" s="79" customFormat="1" ht="15" customHeight="1" x14ac:dyDescent="0.25"/>
    <row r="243" s="79" customFormat="1" ht="15" customHeight="1" x14ac:dyDescent="0.25"/>
    <row r="244" s="79" customFormat="1" ht="15" customHeight="1" x14ac:dyDescent="0.25"/>
    <row r="245" s="79" customFormat="1" ht="15" customHeight="1" x14ac:dyDescent="0.25"/>
    <row r="246" s="79" customFormat="1" ht="15" customHeight="1" x14ac:dyDescent="0.25"/>
    <row r="247" s="79" customFormat="1" ht="15" customHeight="1" x14ac:dyDescent="0.25"/>
    <row r="248" s="79" customFormat="1" ht="15" customHeight="1" x14ac:dyDescent="0.25"/>
    <row r="249" s="79" customFormat="1" ht="15" customHeight="1" x14ac:dyDescent="0.25"/>
    <row r="250" s="79" customFormat="1" ht="15" customHeight="1" x14ac:dyDescent="0.25"/>
    <row r="251" s="79" customFormat="1" ht="15" customHeight="1" x14ac:dyDescent="0.25"/>
    <row r="252" s="79" customFormat="1" ht="15" customHeight="1" x14ac:dyDescent="0.25"/>
    <row r="253" s="79" customFormat="1" ht="15" customHeight="1" x14ac:dyDescent="0.25"/>
    <row r="254" s="79" customFormat="1" ht="15" customHeight="1" x14ac:dyDescent="0.25"/>
    <row r="255" s="79" customFormat="1" ht="15" customHeight="1" x14ac:dyDescent="0.25"/>
    <row r="256" s="79" customFormat="1" ht="15" customHeight="1" x14ac:dyDescent="0.25"/>
    <row r="257" s="79" customFormat="1" ht="15" customHeight="1" x14ac:dyDescent="0.25"/>
    <row r="258" s="79" customFormat="1" ht="15" customHeight="1" x14ac:dyDescent="0.25"/>
    <row r="259" s="79" customFormat="1" ht="15" customHeight="1" x14ac:dyDescent="0.25"/>
    <row r="260" s="79" customFormat="1" ht="15" customHeight="1" x14ac:dyDescent="0.25"/>
    <row r="261" s="79" customFormat="1" ht="15" customHeight="1" x14ac:dyDescent="0.25"/>
    <row r="262" s="79" customFormat="1" ht="15" customHeight="1" x14ac:dyDescent="0.25"/>
    <row r="263" s="79" customFormat="1" ht="15" customHeight="1" x14ac:dyDescent="0.25"/>
    <row r="264" s="79" customFormat="1" ht="15" customHeight="1" x14ac:dyDescent="0.25"/>
    <row r="265" s="79" customFormat="1" ht="15" customHeight="1" x14ac:dyDescent="0.25"/>
    <row r="266" s="79" customFormat="1" ht="15" customHeight="1" x14ac:dyDescent="0.25"/>
    <row r="267" s="79" customFormat="1" ht="15" customHeight="1" x14ac:dyDescent="0.25"/>
    <row r="268" s="79" customFormat="1" ht="15" customHeight="1" x14ac:dyDescent="0.25"/>
    <row r="269" s="79" customFormat="1" ht="15" customHeight="1" x14ac:dyDescent="0.25"/>
    <row r="270" s="79" customFormat="1" ht="15" customHeight="1" x14ac:dyDescent="0.25"/>
    <row r="271" s="79" customFormat="1" ht="15" customHeight="1" x14ac:dyDescent="0.25"/>
    <row r="272" s="79" customFormat="1" ht="15" customHeight="1" x14ac:dyDescent="0.25"/>
    <row r="273" s="79" customFormat="1" ht="15" customHeight="1" x14ac:dyDescent="0.25"/>
    <row r="274" s="79" customFormat="1" ht="15" customHeight="1" x14ac:dyDescent="0.25"/>
    <row r="275" s="79" customFormat="1" ht="15" customHeight="1" x14ac:dyDescent="0.25"/>
    <row r="276" s="79" customFormat="1" ht="15" customHeight="1" x14ac:dyDescent="0.25"/>
    <row r="277" s="79" customFormat="1" ht="15" customHeight="1" x14ac:dyDescent="0.25"/>
    <row r="278" s="79" customFormat="1" ht="15" customHeight="1" x14ac:dyDescent="0.25"/>
    <row r="279" s="79" customFormat="1" ht="15" customHeight="1" x14ac:dyDescent="0.25"/>
    <row r="280" s="79" customFormat="1" ht="15" customHeight="1" x14ac:dyDescent="0.25"/>
    <row r="281" s="79" customFormat="1" ht="15" customHeight="1" x14ac:dyDescent="0.25"/>
    <row r="282" s="79" customFormat="1" ht="15" customHeight="1" x14ac:dyDescent="0.25"/>
    <row r="283" s="79" customFormat="1" ht="15" customHeight="1" x14ac:dyDescent="0.25"/>
    <row r="284" s="79" customFormat="1" ht="15" customHeight="1" x14ac:dyDescent="0.25"/>
    <row r="285" s="79" customFormat="1" ht="15" customHeight="1" x14ac:dyDescent="0.25"/>
    <row r="286" s="79" customFormat="1" ht="15" customHeight="1" x14ac:dyDescent="0.25"/>
    <row r="287" s="79" customFormat="1" ht="15" customHeight="1" x14ac:dyDescent="0.25"/>
    <row r="288" s="79" customFormat="1" ht="15" customHeight="1" x14ac:dyDescent="0.25"/>
    <row r="289" s="79" customFormat="1" ht="15" customHeight="1" x14ac:dyDescent="0.25"/>
    <row r="290" s="79" customFormat="1" ht="15" customHeight="1" x14ac:dyDescent="0.25"/>
    <row r="291" s="79" customFormat="1" ht="15" customHeight="1" x14ac:dyDescent="0.25"/>
    <row r="292" s="79" customFormat="1" ht="15" customHeight="1" x14ac:dyDescent="0.25"/>
    <row r="293" s="79" customFormat="1" ht="15" customHeight="1" x14ac:dyDescent="0.25"/>
    <row r="294" s="79" customFormat="1" ht="15" customHeight="1" x14ac:dyDescent="0.25"/>
    <row r="295" s="79" customFormat="1" ht="15" customHeight="1" x14ac:dyDescent="0.25"/>
    <row r="296" s="79" customFormat="1" ht="15" customHeight="1" x14ac:dyDescent="0.25"/>
    <row r="297" s="79" customFormat="1" ht="15" customHeight="1" x14ac:dyDescent="0.25"/>
    <row r="298" s="79" customFormat="1" ht="15" customHeight="1" x14ac:dyDescent="0.25"/>
    <row r="299" s="79" customFormat="1" ht="15" customHeight="1" x14ac:dyDescent="0.25"/>
    <row r="300" s="79" customFormat="1" ht="15" customHeight="1" x14ac:dyDescent="0.25"/>
    <row r="301" s="79" customFormat="1" ht="15" customHeight="1" x14ac:dyDescent="0.25"/>
    <row r="302" s="79" customFormat="1" ht="15" customHeight="1" x14ac:dyDescent="0.25"/>
    <row r="303" s="79" customFormat="1" ht="15" customHeight="1" x14ac:dyDescent="0.25"/>
    <row r="304" s="79" customFormat="1" ht="15" customHeight="1" x14ac:dyDescent="0.25"/>
    <row r="305" s="79" customFormat="1" ht="15" customHeight="1" x14ac:dyDescent="0.25"/>
    <row r="306" s="79" customFormat="1" ht="15" customHeight="1" x14ac:dyDescent="0.25"/>
    <row r="307" s="79" customFormat="1" ht="15" customHeight="1" x14ac:dyDescent="0.25"/>
    <row r="308" s="79" customFormat="1" ht="15" customHeight="1" x14ac:dyDescent="0.25"/>
    <row r="309" s="79" customFormat="1" ht="15" customHeight="1" x14ac:dyDescent="0.25"/>
    <row r="310" s="79" customFormat="1" ht="15" customHeight="1" x14ac:dyDescent="0.25"/>
    <row r="311" s="79" customFormat="1" ht="15" customHeight="1" x14ac:dyDescent="0.25"/>
    <row r="312" s="79" customFormat="1" ht="15" customHeight="1" x14ac:dyDescent="0.25"/>
    <row r="313" s="79" customFormat="1" ht="15" customHeight="1" x14ac:dyDescent="0.25"/>
    <row r="314" s="79" customFormat="1" ht="15" customHeight="1" x14ac:dyDescent="0.25"/>
    <row r="315" s="79" customFormat="1" ht="15" customHeight="1" x14ac:dyDescent="0.25"/>
    <row r="316" s="79" customFormat="1" ht="15" customHeight="1" x14ac:dyDescent="0.25"/>
    <row r="317" s="79" customFormat="1" ht="15" customHeight="1" x14ac:dyDescent="0.25"/>
    <row r="318" s="79" customFormat="1" ht="15" customHeight="1" x14ac:dyDescent="0.25"/>
    <row r="319" s="79" customFormat="1" ht="15" customHeight="1" x14ac:dyDescent="0.25"/>
    <row r="320" s="79" customFormat="1" ht="15" customHeight="1" x14ac:dyDescent="0.25"/>
    <row r="321" s="79" customFormat="1" ht="15" customHeight="1" x14ac:dyDescent="0.25"/>
    <row r="322" s="79" customFormat="1" ht="15" customHeight="1" x14ac:dyDescent="0.25"/>
    <row r="323" s="79" customFormat="1" ht="15" customHeight="1" x14ac:dyDescent="0.25"/>
    <row r="324" s="79" customFormat="1" ht="15" customHeight="1" x14ac:dyDescent="0.25"/>
    <row r="325" s="79" customFormat="1" ht="15" customHeight="1" x14ac:dyDescent="0.25"/>
    <row r="326" s="79" customFormat="1" ht="15" customHeight="1" x14ac:dyDescent="0.25"/>
    <row r="327" s="79" customFormat="1" ht="15" customHeight="1" x14ac:dyDescent="0.25"/>
    <row r="328" s="79" customFormat="1" ht="15" customHeight="1" x14ac:dyDescent="0.25"/>
    <row r="329" s="79" customFormat="1" ht="15" customHeight="1" x14ac:dyDescent="0.25"/>
    <row r="330" s="79" customFormat="1" ht="15" customHeight="1" x14ac:dyDescent="0.25"/>
    <row r="331" s="79" customFormat="1" ht="15" customHeight="1" x14ac:dyDescent="0.25"/>
    <row r="332" s="79" customFormat="1" ht="15" customHeight="1" x14ac:dyDescent="0.25"/>
    <row r="333" s="79" customFormat="1" ht="15" customHeight="1" x14ac:dyDescent="0.25"/>
    <row r="334" s="79" customFormat="1" ht="15" customHeight="1" x14ac:dyDescent="0.25"/>
    <row r="335" s="79" customFormat="1" ht="15" customHeight="1" x14ac:dyDescent="0.25"/>
    <row r="336" s="79" customFormat="1" ht="15" customHeight="1" x14ac:dyDescent="0.25"/>
    <row r="337" s="79" customFormat="1" ht="15" customHeight="1" x14ac:dyDescent="0.25"/>
    <row r="338" s="79" customFormat="1" ht="15" customHeight="1" x14ac:dyDescent="0.25"/>
    <row r="339" s="79" customFormat="1" ht="15" customHeight="1" x14ac:dyDescent="0.25"/>
    <row r="340" s="79" customFormat="1" ht="15" customHeight="1" x14ac:dyDescent="0.25"/>
    <row r="341" s="79" customFormat="1" ht="15" customHeight="1" x14ac:dyDescent="0.25"/>
    <row r="342" s="79" customFormat="1" ht="15" customHeight="1" x14ac:dyDescent="0.25"/>
    <row r="343" s="79" customFormat="1" ht="15" customHeight="1" x14ac:dyDescent="0.25"/>
    <row r="344" s="79" customFormat="1" ht="15" customHeight="1" x14ac:dyDescent="0.25"/>
    <row r="345" s="79" customFormat="1" ht="15" customHeight="1" x14ac:dyDescent="0.25"/>
    <row r="346" s="79" customFormat="1" ht="15" customHeight="1" x14ac:dyDescent="0.25"/>
    <row r="347" s="79" customFormat="1" ht="15" customHeight="1" x14ac:dyDescent="0.25"/>
    <row r="348" s="79" customFormat="1" ht="15" customHeight="1" x14ac:dyDescent="0.25"/>
    <row r="349" s="79" customFormat="1" ht="15" customHeight="1" x14ac:dyDescent="0.25"/>
    <row r="350" s="79" customFormat="1" ht="15" customHeight="1" x14ac:dyDescent="0.25"/>
    <row r="351" s="79" customFormat="1" ht="15" customHeight="1" x14ac:dyDescent="0.25"/>
    <row r="352" s="79" customFormat="1" ht="15" customHeight="1" x14ac:dyDescent="0.25"/>
    <row r="353" s="79" customFormat="1" ht="15" customHeight="1" x14ac:dyDescent="0.25"/>
    <row r="354" s="79" customFormat="1" ht="15" customHeight="1" x14ac:dyDescent="0.25"/>
    <row r="355" s="79" customFormat="1" ht="15" customHeight="1" x14ac:dyDescent="0.25"/>
    <row r="356" s="79" customFormat="1" ht="15" customHeight="1" x14ac:dyDescent="0.25"/>
    <row r="357" s="79" customFormat="1" ht="15" customHeight="1" x14ac:dyDescent="0.25"/>
    <row r="358" s="79" customFormat="1" ht="15" customHeight="1" x14ac:dyDescent="0.25"/>
    <row r="359" s="79" customFormat="1" ht="15" customHeight="1" x14ac:dyDescent="0.25"/>
    <row r="360" s="79" customFormat="1" ht="15" customHeight="1" x14ac:dyDescent="0.25"/>
    <row r="361" s="79" customFormat="1" ht="15" customHeight="1" x14ac:dyDescent="0.25"/>
    <row r="362" s="79" customFormat="1" ht="15" customHeight="1" x14ac:dyDescent="0.25"/>
    <row r="363" s="79" customFormat="1" ht="15" customHeight="1" x14ac:dyDescent="0.25"/>
    <row r="364" s="79" customFormat="1" ht="15" customHeight="1" x14ac:dyDescent="0.25"/>
    <row r="365" s="79" customFormat="1" ht="15" customHeight="1" x14ac:dyDescent="0.25"/>
    <row r="366" s="79" customFormat="1" ht="15" customHeight="1" x14ac:dyDescent="0.25"/>
    <row r="367" s="79" customFormat="1" ht="15" customHeight="1" x14ac:dyDescent="0.25"/>
    <row r="368" s="79" customFormat="1" ht="15" customHeight="1" x14ac:dyDescent="0.25"/>
    <row r="369" s="79" customFormat="1" ht="15" customHeight="1" x14ac:dyDescent="0.25"/>
    <row r="370" s="79" customFormat="1" ht="15" customHeight="1" x14ac:dyDescent="0.25"/>
    <row r="371" s="79" customFormat="1" ht="15" customHeight="1" x14ac:dyDescent="0.25"/>
    <row r="372" s="79" customFormat="1" ht="15" customHeight="1" x14ac:dyDescent="0.25"/>
    <row r="373" s="79" customFormat="1" ht="15" customHeight="1" x14ac:dyDescent="0.25"/>
    <row r="374" s="79" customFormat="1" ht="15" customHeight="1" x14ac:dyDescent="0.25"/>
    <row r="375" s="79" customFormat="1" ht="15" customHeight="1" x14ac:dyDescent="0.25"/>
    <row r="376" s="79" customFormat="1" ht="15" customHeight="1" x14ac:dyDescent="0.25"/>
    <row r="377" s="79" customFormat="1" ht="15" customHeight="1" x14ac:dyDescent="0.25"/>
    <row r="378" s="79" customFormat="1" ht="15" customHeight="1" x14ac:dyDescent="0.25"/>
    <row r="379" s="79" customFormat="1" ht="15" customHeight="1" x14ac:dyDescent="0.25"/>
    <row r="380" s="79" customFormat="1" ht="15" customHeight="1" x14ac:dyDescent="0.25"/>
    <row r="381" s="79" customFormat="1" ht="15" customHeight="1" x14ac:dyDescent="0.25"/>
    <row r="382" s="79" customFormat="1" ht="15" customHeight="1" x14ac:dyDescent="0.25"/>
    <row r="383" s="79" customFormat="1" ht="15" customHeight="1" x14ac:dyDescent="0.25"/>
    <row r="384" s="79" customFormat="1" ht="15" customHeight="1" x14ac:dyDescent="0.25"/>
    <row r="385" s="79" customFormat="1" ht="15" customHeight="1" x14ac:dyDescent="0.25"/>
    <row r="386" s="79" customFormat="1" ht="15" customHeight="1" x14ac:dyDescent="0.25"/>
    <row r="387" s="79" customFormat="1" ht="15" customHeight="1" x14ac:dyDescent="0.25"/>
    <row r="388" s="79" customFormat="1" ht="15" customHeight="1" x14ac:dyDescent="0.25"/>
    <row r="389" s="79" customFormat="1" ht="15" customHeight="1" x14ac:dyDescent="0.25"/>
    <row r="390" s="79" customFormat="1" ht="15" customHeight="1" x14ac:dyDescent="0.25"/>
    <row r="391" s="79" customFormat="1" ht="15" customHeight="1" x14ac:dyDescent="0.25"/>
    <row r="392" s="79" customFormat="1" ht="15" customHeight="1" x14ac:dyDescent="0.25"/>
    <row r="393" s="79" customFormat="1" ht="15" customHeight="1" x14ac:dyDescent="0.25"/>
    <row r="394" s="79" customFormat="1" ht="15" customHeight="1" x14ac:dyDescent="0.25"/>
    <row r="395" s="79" customFormat="1" ht="15" customHeight="1" x14ac:dyDescent="0.25"/>
    <row r="396" s="79" customFormat="1" ht="15" customHeight="1" x14ac:dyDescent="0.25"/>
    <row r="397" s="79" customFormat="1" ht="15" customHeight="1" x14ac:dyDescent="0.25"/>
    <row r="398" s="79" customFormat="1" ht="15" customHeight="1" x14ac:dyDescent="0.25"/>
    <row r="399" s="79" customFormat="1" ht="15" customHeight="1" x14ac:dyDescent="0.25"/>
    <row r="400" s="79" customFormat="1" ht="15" customHeight="1" x14ac:dyDescent="0.25"/>
    <row r="401" s="79" customFormat="1" ht="15" customHeight="1" x14ac:dyDescent="0.25"/>
    <row r="402" s="79" customFormat="1" ht="15" customHeight="1" x14ac:dyDescent="0.25"/>
    <row r="403" s="79" customFormat="1" ht="15" customHeight="1" x14ac:dyDescent="0.25"/>
    <row r="404" s="79" customFormat="1" ht="15" customHeight="1" x14ac:dyDescent="0.25"/>
    <row r="405" s="79" customFormat="1" ht="15" customHeight="1" x14ac:dyDescent="0.25"/>
    <row r="406" s="79" customFormat="1" ht="15" customHeight="1" x14ac:dyDescent="0.25"/>
    <row r="407" s="79" customFormat="1" ht="15" customHeight="1" x14ac:dyDescent="0.25"/>
    <row r="408" s="79" customFormat="1" ht="15" customHeight="1" x14ac:dyDescent="0.25"/>
    <row r="409" s="79" customFormat="1" ht="15" customHeight="1" x14ac:dyDescent="0.25"/>
    <row r="410" s="79" customFormat="1" ht="15" customHeight="1" x14ac:dyDescent="0.25"/>
    <row r="411" s="79" customFormat="1" ht="15" customHeight="1" x14ac:dyDescent="0.25"/>
    <row r="412" s="79" customFormat="1" ht="15" customHeight="1" x14ac:dyDescent="0.25"/>
    <row r="413" s="79" customFormat="1" ht="15" customHeight="1" x14ac:dyDescent="0.25"/>
    <row r="414" s="79" customFormat="1" ht="15" customHeight="1" x14ac:dyDescent="0.25"/>
    <row r="415" s="79" customFormat="1" ht="15" customHeight="1" x14ac:dyDescent="0.25"/>
    <row r="416" s="79" customFormat="1" ht="15" customHeight="1" x14ac:dyDescent="0.25"/>
    <row r="417" s="79" customFormat="1" ht="15" customHeight="1" x14ac:dyDescent="0.25"/>
    <row r="418" s="79" customFormat="1" ht="15" customHeight="1" x14ac:dyDescent="0.25"/>
    <row r="419" s="79" customFormat="1" ht="15" customHeight="1" x14ac:dyDescent="0.25"/>
    <row r="420" s="79" customFormat="1" ht="15" customHeight="1" x14ac:dyDescent="0.25"/>
    <row r="421" s="79" customFormat="1" ht="15" customHeight="1" x14ac:dyDescent="0.25"/>
    <row r="422" s="79" customFormat="1" ht="15" customHeight="1" x14ac:dyDescent="0.25"/>
    <row r="423" s="79" customFormat="1" ht="15" customHeight="1" x14ac:dyDescent="0.25"/>
    <row r="424" s="79" customFormat="1" ht="15" customHeight="1" x14ac:dyDescent="0.25"/>
    <row r="425" s="79" customFormat="1" ht="15" customHeight="1" x14ac:dyDescent="0.25"/>
    <row r="426" s="79" customFormat="1" ht="15" customHeight="1" x14ac:dyDescent="0.25"/>
    <row r="427" s="79" customFormat="1" ht="15" customHeight="1" x14ac:dyDescent="0.25"/>
    <row r="428" s="79" customFormat="1" ht="15" customHeight="1" x14ac:dyDescent="0.25"/>
    <row r="429" s="79" customFormat="1" ht="15" customHeight="1" x14ac:dyDescent="0.25"/>
    <row r="430" s="79" customFormat="1" ht="15" customHeight="1" x14ac:dyDescent="0.25"/>
    <row r="431" s="79" customFormat="1" ht="15" customHeight="1" x14ac:dyDescent="0.25"/>
    <row r="432" s="79" customFormat="1" ht="15" customHeight="1" x14ac:dyDescent="0.25"/>
    <row r="433" s="79" customFormat="1" ht="15" customHeight="1" x14ac:dyDescent="0.25"/>
    <row r="434" s="79" customFormat="1" ht="15" customHeight="1" x14ac:dyDescent="0.25"/>
    <row r="435" s="79" customFormat="1" ht="15" customHeight="1" x14ac:dyDescent="0.25"/>
    <row r="436" s="79" customFormat="1" ht="15" customHeight="1" x14ac:dyDescent="0.25"/>
    <row r="437" s="79" customFormat="1" ht="15" customHeight="1" x14ac:dyDescent="0.25"/>
    <row r="438" s="79" customFormat="1" ht="15" customHeight="1" x14ac:dyDescent="0.25"/>
    <row r="439" s="79" customFormat="1" ht="15" customHeight="1" x14ac:dyDescent="0.25"/>
    <row r="440" s="79" customFormat="1" ht="15" customHeight="1" x14ac:dyDescent="0.25"/>
    <row r="441" s="79" customFormat="1" ht="15" customHeight="1" x14ac:dyDescent="0.25"/>
    <row r="442" s="79" customFormat="1" ht="15" customHeight="1" x14ac:dyDescent="0.25"/>
    <row r="443" s="79" customFormat="1" ht="15" customHeight="1" x14ac:dyDescent="0.25"/>
    <row r="444" s="79" customFormat="1" ht="15" customHeight="1" x14ac:dyDescent="0.25"/>
    <row r="445" s="79" customFormat="1" ht="15" customHeight="1" x14ac:dyDescent="0.25"/>
    <row r="446" s="79" customFormat="1" ht="15" customHeight="1" x14ac:dyDescent="0.25"/>
    <row r="447" s="79" customFormat="1" ht="15" customHeight="1" x14ac:dyDescent="0.25"/>
    <row r="448" s="79" customFormat="1" ht="15" customHeight="1" x14ac:dyDescent="0.25"/>
    <row r="449" s="79" customFormat="1" ht="15" customHeight="1" x14ac:dyDescent="0.25"/>
    <row r="450" s="79" customFormat="1" ht="15" customHeight="1" x14ac:dyDescent="0.25"/>
    <row r="451" s="79" customFormat="1" ht="15" customHeight="1" x14ac:dyDescent="0.25"/>
    <row r="452" s="79" customFormat="1" ht="15" customHeight="1" x14ac:dyDescent="0.25"/>
    <row r="453" s="79" customFormat="1" ht="15" customHeight="1" x14ac:dyDescent="0.25"/>
    <row r="454" s="79" customFormat="1" ht="15" customHeight="1" x14ac:dyDescent="0.25"/>
    <row r="455" s="79" customFormat="1" ht="15" customHeight="1" x14ac:dyDescent="0.25"/>
    <row r="456" s="79" customFormat="1" ht="15" customHeight="1" x14ac:dyDescent="0.25"/>
    <row r="457" s="79" customFormat="1" ht="15" customHeight="1" x14ac:dyDescent="0.25"/>
    <row r="458" s="79" customFormat="1" ht="15" customHeight="1" x14ac:dyDescent="0.25"/>
    <row r="459" s="79" customFormat="1" ht="15" customHeight="1" x14ac:dyDescent="0.25"/>
    <row r="460" s="79" customFormat="1" ht="15" customHeight="1" x14ac:dyDescent="0.25"/>
    <row r="461" s="79" customFormat="1" ht="15" customHeight="1" x14ac:dyDescent="0.25"/>
    <row r="462" s="79" customFormat="1" ht="15" customHeight="1" x14ac:dyDescent="0.25"/>
    <row r="463" s="79" customFormat="1" ht="15" customHeight="1" x14ac:dyDescent="0.25"/>
    <row r="464" s="79" customFormat="1" ht="15" customHeight="1" x14ac:dyDescent="0.25"/>
    <row r="465" s="79" customFormat="1" ht="15" customHeight="1" x14ac:dyDescent="0.25"/>
    <row r="466" s="79" customFormat="1" ht="15" customHeight="1" x14ac:dyDescent="0.25"/>
    <row r="467" s="79" customFormat="1" ht="15" customHeight="1" x14ac:dyDescent="0.25"/>
    <row r="468" s="79" customFormat="1" ht="15" customHeight="1" x14ac:dyDescent="0.25"/>
    <row r="469" s="79" customFormat="1" ht="15" customHeight="1" x14ac:dyDescent="0.25"/>
    <row r="470" s="79" customFormat="1" ht="15" customHeight="1" x14ac:dyDescent="0.25"/>
    <row r="471" s="79" customFormat="1" ht="15" customHeight="1" x14ac:dyDescent="0.25"/>
    <row r="472" s="79" customFormat="1" ht="15" customHeight="1" x14ac:dyDescent="0.25"/>
    <row r="473" s="79" customFormat="1" ht="15" customHeight="1" x14ac:dyDescent="0.25"/>
    <row r="474" s="79" customFormat="1" ht="15" customHeight="1" x14ac:dyDescent="0.25"/>
    <row r="475" s="79" customFormat="1" ht="15" customHeight="1" x14ac:dyDescent="0.25"/>
    <row r="476" s="79" customFormat="1" ht="15" customHeight="1" x14ac:dyDescent="0.25"/>
    <row r="477" s="79" customFormat="1" ht="15" customHeight="1" x14ac:dyDescent="0.25"/>
    <row r="478" s="79" customFormat="1" ht="15" customHeight="1" x14ac:dyDescent="0.25"/>
    <row r="479" s="79" customFormat="1" ht="15" customHeight="1" x14ac:dyDescent="0.25"/>
    <row r="480" s="79" customFormat="1" ht="15" customHeight="1" x14ac:dyDescent="0.25"/>
    <row r="481" s="79" customFormat="1" ht="15" customHeight="1" x14ac:dyDescent="0.25"/>
    <row r="482" s="79" customFormat="1" ht="15" customHeight="1" x14ac:dyDescent="0.25"/>
    <row r="483" s="79" customFormat="1" ht="15" customHeight="1" x14ac:dyDescent="0.25"/>
    <row r="484" s="79" customFormat="1" ht="15" customHeight="1" x14ac:dyDescent="0.25"/>
    <row r="485" s="79" customFormat="1" ht="15" customHeight="1" x14ac:dyDescent="0.25"/>
    <row r="486" s="79" customFormat="1" ht="15" customHeight="1" x14ac:dyDescent="0.25"/>
    <row r="487" s="79" customFormat="1" ht="15" customHeight="1" x14ac:dyDescent="0.25"/>
    <row r="488" s="79" customFormat="1" ht="15" customHeight="1" x14ac:dyDescent="0.25"/>
    <row r="489" s="79" customFormat="1" ht="15" customHeight="1" x14ac:dyDescent="0.25"/>
    <row r="490" s="79" customFormat="1" ht="15" customHeight="1" x14ac:dyDescent="0.25"/>
    <row r="491" s="79" customFormat="1" ht="15" customHeight="1" x14ac:dyDescent="0.25"/>
    <row r="492" s="79" customFormat="1" ht="15" customHeight="1" x14ac:dyDescent="0.25"/>
    <row r="493" s="79" customFormat="1" ht="15" customHeight="1" x14ac:dyDescent="0.25"/>
    <row r="494" s="79" customFormat="1" ht="15" customHeight="1" x14ac:dyDescent="0.25"/>
    <row r="495" s="79" customFormat="1" ht="15" customHeight="1" x14ac:dyDescent="0.25"/>
    <row r="496" s="79" customFormat="1" ht="15" customHeight="1" x14ac:dyDescent="0.25"/>
    <row r="497" s="79" customFormat="1" ht="15" customHeight="1" x14ac:dyDescent="0.25"/>
    <row r="498" s="79" customFormat="1" ht="15" customHeight="1" x14ac:dyDescent="0.25"/>
    <row r="499" s="79" customFormat="1" ht="15" customHeight="1" x14ac:dyDescent="0.25"/>
    <row r="500" s="79" customFormat="1" ht="15" customHeight="1" x14ac:dyDescent="0.25"/>
    <row r="501" s="79" customFormat="1" ht="15" customHeight="1" x14ac:dyDescent="0.25"/>
    <row r="502" s="79" customFormat="1" ht="15" customHeight="1" x14ac:dyDescent="0.25"/>
    <row r="503" s="79" customFormat="1" ht="15" customHeight="1" x14ac:dyDescent="0.25"/>
    <row r="504" s="79" customFormat="1" ht="15" customHeight="1" x14ac:dyDescent="0.25"/>
    <row r="505" s="79" customFormat="1" ht="15" customHeight="1" x14ac:dyDescent="0.25"/>
    <row r="506" s="79" customFormat="1" ht="15" customHeight="1" x14ac:dyDescent="0.25"/>
    <row r="507" s="79" customFormat="1" ht="15" customHeight="1" x14ac:dyDescent="0.25"/>
    <row r="508" s="79" customFormat="1" ht="15" customHeight="1" x14ac:dyDescent="0.25"/>
    <row r="509" s="79" customFormat="1" ht="15" customHeight="1" x14ac:dyDescent="0.25"/>
    <row r="510" s="79" customFormat="1" ht="15" customHeight="1" x14ac:dyDescent="0.25"/>
    <row r="511" s="79" customFormat="1" ht="15" customHeight="1" x14ac:dyDescent="0.25"/>
    <row r="512" s="79" customFormat="1" ht="15" customHeight="1" x14ac:dyDescent="0.25"/>
    <row r="513" s="79" customFormat="1" ht="15" customHeight="1" x14ac:dyDescent="0.25"/>
    <row r="514" s="79" customFormat="1" ht="15" customHeight="1" x14ac:dyDescent="0.25"/>
    <row r="515" s="79" customFormat="1" ht="15" customHeight="1" x14ac:dyDescent="0.25"/>
    <row r="516" s="79" customFormat="1" ht="15" customHeight="1" x14ac:dyDescent="0.25"/>
    <row r="517" s="79" customFormat="1" ht="15" customHeight="1" x14ac:dyDescent="0.25"/>
    <row r="518" s="79" customFormat="1" ht="15" customHeight="1" x14ac:dyDescent="0.25"/>
    <row r="519" s="79" customFormat="1" ht="15" customHeight="1" x14ac:dyDescent="0.25"/>
    <row r="520" s="79" customFormat="1" ht="15" customHeight="1" x14ac:dyDescent="0.25"/>
    <row r="521" s="79" customFormat="1" ht="15" customHeight="1" x14ac:dyDescent="0.25"/>
    <row r="522" s="79" customFormat="1" ht="15" customHeight="1" x14ac:dyDescent="0.25"/>
    <row r="523" s="79" customFormat="1" ht="15" customHeight="1" x14ac:dyDescent="0.25"/>
    <row r="524" s="79" customFormat="1" ht="15" customHeight="1" x14ac:dyDescent="0.25"/>
    <row r="525" s="79" customFormat="1" ht="15" customHeight="1" x14ac:dyDescent="0.25"/>
    <row r="526" s="79" customFormat="1" ht="15" customHeight="1" x14ac:dyDescent="0.25"/>
    <row r="527" s="79" customFormat="1" ht="15" customHeight="1" x14ac:dyDescent="0.25"/>
    <row r="528" s="79" customFormat="1" ht="15" customHeight="1" x14ac:dyDescent="0.25"/>
    <row r="529" s="79" customFormat="1" ht="15" customHeight="1" x14ac:dyDescent="0.25"/>
    <row r="530" s="79" customFormat="1" ht="15" customHeight="1" x14ac:dyDescent="0.25"/>
    <row r="531" s="79" customFormat="1" ht="15" customHeight="1" x14ac:dyDescent="0.25"/>
    <row r="532" s="79" customFormat="1" ht="15" customHeight="1" x14ac:dyDescent="0.25"/>
    <row r="533" s="79" customFormat="1" ht="15" customHeight="1" x14ac:dyDescent="0.25"/>
    <row r="534" s="79" customFormat="1" ht="15" customHeight="1" x14ac:dyDescent="0.25"/>
    <row r="535" s="79" customFormat="1" ht="15" customHeight="1" x14ac:dyDescent="0.25"/>
    <row r="536" s="79" customFormat="1" ht="15" customHeight="1" x14ac:dyDescent="0.25"/>
    <row r="537" s="79" customFormat="1" ht="15" customHeight="1" x14ac:dyDescent="0.25"/>
    <row r="538" s="79" customFormat="1" ht="15" customHeight="1" x14ac:dyDescent="0.25"/>
    <row r="539" s="79" customFormat="1" ht="15" customHeight="1" x14ac:dyDescent="0.25"/>
    <row r="540" s="79" customFormat="1" ht="15" customHeight="1" x14ac:dyDescent="0.25"/>
    <row r="541" s="79" customFormat="1" ht="15" customHeight="1" x14ac:dyDescent="0.25"/>
    <row r="542" s="79" customFormat="1" ht="15" customHeight="1" x14ac:dyDescent="0.25"/>
    <row r="543" s="79" customFormat="1" ht="15" customHeight="1" x14ac:dyDescent="0.25"/>
    <row r="544" s="79" customFormat="1" ht="15" customHeight="1" x14ac:dyDescent="0.25"/>
    <row r="545" s="79" customFormat="1" ht="15" customHeight="1" x14ac:dyDescent="0.25"/>
    <row r="546" s="79" customFormat="1" ht="15" customHeight="1" x14ac:dyDescent="0.25"/>
    <row r="547" s="79" customFormat="1" ht="15" customHeight="1" x14ac:dyDescent="0.25"/>
    <row r="548" s="79" customFormat="1" ht="15" customHeight="1" x14ac:dyDescent="0.25"/>
    <row r="549" s="79" customFormat="1" ht="15" customHeight="1" x14ac:dyDescent="0.25"/>
    <row r="550" s="79" customFormat="1" ht="15" customHeight="1" x14ac:dyDescent="0.25"/>
    <row r="551" s="79" customFormat="1" ht="15" customHeight="1" x14ac:dyDescent="0.25"/>
    <row r="552" s="79" customFormat="1" ht="15" customHeight="1" x14ac:dyDescent="0.25"/>
    <row r="553" s="79" customFormat="1" ht="15" customHeight="1" x14ac:dyDescent="0.25"/>
    <row r="554" s="79" customFormat="1" ht="15" customHeight="1" x14ac:dyDescent="0.25"/>
    <row r="555" s="79" customFormat="1" ht="15" customHeight="1" x14ac:dyDescent="0.25"/>
    <row r="556" s="79" customFormat="1" ht="15" customHeight="1" x14ac:dyDescent="0.25"/>
    <row r="557" s="79" customFormat="1" ht="15" customHeight="1" x14ac:dyDescent="0.25"/>
    <row r="558" s="79" customFormat="1" ht="15" customHeight="1" x14ac:dyDescent="0.25"/>
    <row r="559" s="79" customFormat="1" ht="15" customHeight="1" x14ac:dyDescent="0.25"/>
    <row r="560" s="79" customFormat="1" ht="15" customHeight="1" x14ac:dyDescent="0.25"/>
    <row r="561" s="79" customFormat="1" ht="15" customHeight="1" x14ac:dyDescent="0.25"/>
    <row r="562" s="79" customFormat="1" ht="15" customHeight="1" x14ac:dyDescent="0.25"/>
    <row r="563" s="79" customFormat="1" ht="15" customHeight="1" x14ac:dyDescent="0.25"/>
    <row r="564" s="79" customFormat="1" ht="15" customHeight="1" x14ac:dyDescent="0.25"/>
    <row r="565" s="79" customFormat="1" ht="15" customHeight="1" x14ac:dyDescent="0.25"/>
    <row r="566" s="79" customFormat="1" ht="15" customHeight="1" x14ac:dyDescent="0.25"/>
    <row r="567" s="79" customFormat="1" ht="15" customHeight="1" x14ac:dyDescent="0.25"/>
    <row r="568" s="79" customFormat="1" ht="15" customHeight="1" x14ac:dyDescent="0.25"/>
    <row r="569" s="79" customFormat="1" ht="15" customHeight="1" x14ac:dyDescent="0.25"/>
    <row r="570" s="79" customFormat="1" ht="15" customHeight="1" x14ac:dyDescent="0.25"/>
    <row r="571" s="79" customFormat="1" ht="15" customHeight="1" x14ac:dyDescent="0.25"/>
    <row r="572" s="79" customFormat="1" ht="15" customHeight="1" x14ac:dyDescent="0.25"/>
    <row r="573" s="79" customFormat="1" ht="15" customHeight="1" x14ac:dyDescent="0.25"/>
    <row r="574" s="79" customFormat="1" ht="15" customHeight="1" x14ac:dyDescent="0.25"/>
    <row r="575" s="79" customFormat="1" ht="15" customHeight="1" x14ac:dyDescent="0.25"/>
    <row r="576" s="79" customFormat="1" ht="15" customHeight="1" x14ac:dyDescent="0.25"/>
    <row r="577" s="79" customFormat="1" ht="15" customHeight="1" x14ac:dyDescent="0.25"/>
    <row r="578" s="79" customFormat="1" ht="15" customHeight="1" x14ac:dyDescent="0.25"/>
    <row r="579" s="79" customFormat="1" ht="15" customHeight="1" x14ac:dyDescent="0.25"/>
    <row r="580" s="79" customFormat="1" ht="15" customHeight="1" x14ac:dyDescent="0.25"/>
    <row r="581" s="79" customFormat="1" ht="15" customHeight="1" x14ac:dyDescent="0.25"/>
    <row r="582" s="79" customFormat="1" ht="15" customHeight="1" x14ac:dyDescent="0.25"/>
    <row r="583" s="79" customFormat="1" ht="15" customHeight="1" x14ac:dyDescent="0.25"/>
    <row r="584" s="79" customFormat="1" ht="15" customHeight="1" x14ac:dyDescent="0.25"/>
    <row r="585" s="79" customFormat="1" ht="15" customHeight="1" x14ac:dyDescent="0.25"/>
    <row r="586" s="79" customFormat="1" ht="15" customHeight="1" x14ac:dyDescent="0.25"/>
    <row r="587" s="79" customFormat="1" ht="15" customHeight="1" x14ac:dyDescent="0.25"/>
    <row r="588" s="79" customFormat="1" ht="15" customHeight="1" x14ac:dyDescent="0.25"/>
    <row r="589" s="79" customFormat="1" ht="15" customHeight="1" x14ac:dyDescent="0.25"/>
    <row r="590" s="79" customFormat="1" ht="15" customHeight="1" x14ac:dyDescent="0.25"/>
    <row r="591" s="79" customFormat="1" ht="15" customHeight="1" x14ac:dyDescent="0.25"/>
    <row r="592" s="79" customFormat="1" ht="15" customHeight="1" x14ac:dyDescent="0.25"/>
    <row r="593" s="79" customFormat="1" ht="15" customHeight="1" x14ac:dyDescent="0.25"/>
    <row r="594" s="79" customFormat="1" ht="15" customHeight="1" x14ac:dyDescent="0.25"/>
    <row r="595" s="79" customFormat="1" ht="15" customHeight="1" x14ac:dyDescent="0.25"/>
    <row r="596" s="79" customFormat="1" ht="15" customHeight="1" x14ac:dyDescent="0.25"/>
    <row r="597" s="79" customFormat="1" ht="15" customHeight="1" x14ac:dyDescent="0.25"/>
    <row r="598" s="79" customFormat="1" ht="15" customHeight="1" x14ac:dyDescent="0.25"/>
    <row r="599" s="79" customFormat="1" ht="15" customHeight="1" x14ac:dyDescent="0.25"/>
    <row r="600" s="79" customFormat="1" ht="15" customHeight="1" x14ac:dyDescent="0.25"/>
    <row r="601" s="79" customFormat="1" ht="15" customHeight="1" x14ac:dyDescent="0.25"/>
    <row r="602" s="79" customFormat="1" ht="15" customHeight="1" x14ac:dyDescent="0.25"/>
    <row r="603" s="79" customFormat="1" ht="15" customHeight="1" x14ac:dyDescent="0.25"/>
    <row r="604" s="79" customFormat="1" ht="15" customHeight="1" x14ac:dyDescent="0.25"/>
    <row r="605" s="79" customFormat="1" ht="15" customHeight="1" x14ac:dyDescent="0.25"/>
    <row r="606" s="79" customFormat="1" ht="15" customHeight="1" x14ac:dyDescent="0.25"/>
    <row r="607" s="79" customFormat="1" ht="15" customHeight="1" x14ac:dyDescent="0.25"/>
    <row r="608" s="79" customFormat="1" ht="15" customHeight="1" x14ac:dyDescent="0.25"/>
    <row r="609" s="79" customFormat="1" ht="15" customHeight="1" x14ac:dyDescent="0.25"/>
    <row r="610" s="79" customFormat="1" ht="15" customHeight="1" x14ac:dyDescent="0.25"/>
    <row r="611" s="79" customFormat="1" ht="15" customHeight="1" x14ac:dyDescent="0.25"/>
    <row r="612" s="79" customFormat="1" ht="15" customHeight="1" x14ac:dyDescent="0.25"/>
    <row r="613" s="79" customFormat="1" ht="15" customHeight="1" x14ac:dyDescent="0.25"/>
    <row r="614" s="79" customFormat="1" ht="15" customHeight="1" x14ac:dyDescent="0.25"/>
    <row r="615" s="79" customFormat="1" ht="15" customHeight="1" x14ac:dyDescent="0.25"/>
    <row r="616" s="79" customFormat="1" ht="15" customHeight="1" x14ac:dyDescent="0.25"/>
    <row r="617" s="79" customFormat="1" ht="15" customHeight="1" x14ac:dyDescent="0.25"/>
    <row r="618" s="79" customFormat="1" ht="15" customHeight="1" x14ac:dyDescent="0.25"/>
    <row r="619" s="79" customFormat="1" ht="15" customHeight="1" x14ac:dyDescent="0.25"/>
    <row r="620" s="79" customFormat="1" ht="15" customHeight="1" x14ac:dyDescent="0.25"/>
    <row r="621" s="79" customFormat="1" ht="15" customHeight="1" x14ac:dyDescent="0.25"/>
    <row r="622" s="79" customFormat="1" ht="15" customHeight="1" x14ac:dyDescent="0.25"/>
    <row r="623" s="79" customFormat="1" ht="15" customHeight="1" x14ac:dyDescent="0.25"/>
    <row r="624" s="79" customFormat="1" ht="15" customHeight="1" x14ac:dyDescent="0.25"/>
    <row r="625" s="79" customFormat="1" ht="15" customHeight="1" x14ac:dyDescent="0.25"/>
    <row r="626" s="79" customFormat="1" ht="15" customHeight="1" x14ac:dyDescent="0.25"/>
    <row r="627" s="79" customFormat="1" ht="15" customHeight="1" x14ac:dyDescent="0.25"/>
    <row r="628" s="79" customFormat="1" ht="15" customHeight="1" x14ac:dyDescent="0.25"/>
    <row r="629" s="79" customFormat="1" ht="15" customHeight="1" x14ac:dyDescent="0.25"/>
    <row r="630" s="79" customFormat="1" ht="15" customHeight="1" x14ac:dyDescent="0.25"/>
    <row r="631" s="79" customFormat="1" ht="15" customHeight="1" x14ac:dyDescent="0.25"/>
    <row r="632" s="79" customFormat="1" ht="15" customHeight="1" x14ac:dyDescent="0.25"/>
    <row r="633" s="79" customFormat="1" ht="15" customHeight="1" x14ac:dyDescent="0.25"/>
    <row r="634" s="79" customFormat="1" ht="15" customHeight="1" x14ac:dyDescent="0.25"/>
    <row r="635" s="79" customFormat="1" ht="15" customHeight="1" x14ac:dyDescent="0.25"/>
    <row r="636" s="79" customFormat="1" ht="15" customHeight="1" x14ac:dyDescent="0.25"/>
    <row r="637" s="79" customFormat="1" ht="15" customHeight="1" x14ac:dyDescent="0.25"/>
    <row r="638" s="79" customFormat="1" ht="15" customHeight="1" x14ac:dyDescent="0.25"/>
    <row r="639" s="79" customFormat="1" ht="15" customHeight="1" x14ac:dyDescent="0.25"/>
    <row r="640" s="79" customFormat="1" ht="15" customHeight="1" x14ac:dyDescent="0.25"/>
    <row r="641" s="79" customFormat="1" ht="15" customHeight="1" x14ac:dyDescent="0.25"/>
    <row r="642" s="79" customFormat="1" ht="15" customHeight="1" x14ac:dyDescent="0.25"/>
    <row r="643" s="79" customFormat="1" ht="15" customHeight="1" x14ac:dyDescent="0.25"/>
    <row r="644" s="79" customFormat="1" ht="15" customHeight="1" x14ac:dyDescent="0.25"/>
    <row r="645" s="79" customFormat="1" ht="15" customHeight="1" x14ac:dyDescent="0.25"/>
    <row r="646" s="79" customFormat="1" ht="15" customHeight="1" x14ac:dyDescent="0.25"/>
    <row r="647" s="79" customFormat="1" ht="15" customHeight="1" x14ac:dyDescent="0.25"/>
    <row r="648" s="79" customFormat="1" ht="15" customHeight="1" x14ac:dyDescent="0.25"/>
    <row r="649" s="79" customFormat="1" ht="15" customHeight="1" x14ac:dyDescent="0.25"/>
    <row r="650" s="79" customFormat="1" ht="15" customHeight="1" x14ac:dyDescent="0.25"/>
    <row r="651" s="79" customFormat="1" ht="15" customHeight="1" x14ac:dyDescent="0.25"/>
    <row r="652" s="79" customFormat="1" ht="15" customHeight="1" x14ac:dyDescent="0.25"/>
    <row r="653" s="79" customFormat="1" ht="15" customHeight="1" x14ac:dyDescent="0.25"/>
    <row r="654" s="79" customFormat="1" ht="15" customHeight="1" x14ac:dyDescent="0.25"/>
    <row r="655" s="79" customFormat="1" ht="15" customHeight="1" x14ac:dyDescent="0.25"/>
    <row r="656" s="79" customFormat="1" ht="15" customHeight="1" x14ac:dyDescent="0.25"/>
    <row r="657" s="79" customFormat="1" ht="15" customHeight="1" x14ac:dyDescent="0.25"/>
    <row r="658" s="79" customFormat="1" ht="15" customHeight="1" x14ac:dyDescent="0.25"/>
    <row r="659" s="79" customFormat="1" ht="15" customHeight="1" x14ac:dyDescent="0.25"/>
    <row r="660" s="79" customFormat="1" ht="15" customHeight="1" x14ac:dyDescent="0.25"/>
    <row r="661" s="79" customFormat="1" ht="15" customHeight="1" x14ac:dyDescent="0.25"/>
    <row r="662" s="79" customFormat="1" ht="15" customHeight="1" x14ac:dyDescent="0.25"/>
    <row r="663" s="79" customFormat="1" ht="15" customHeight="1" x14ac:dyDescent="0.25"/>
    <row r="664" s="79" customFormat="1" ht="15" customHeight="1" x14ac:dyDescent="0.25"/>
    <row r="665" s="79" customFormat="1" ht="15" customHeight="1" x14ac:dyDescent="0.25"/>
    <row r="666" s="79" customFormat="1" ht="15" customHeight="1" x14ac:dyDescent="0.25"/>
    <row r="667" s="79" customFormat="1" ht="15" customHeight="1" x14ac:dyDescent="0.25"/>
    <row r="668" s="79" customFormat="1" ht="15" customHeight="1" x14ac:dyDescent="0.25"/>
    <row r="669" s="79" customFormat="1" ht="15" customHeight="1" x14ac:dyDescent="0.25"/>
    <row r="670" s="79" customFormat="1" ht="15" customHeight="1" x14ac:dyDescent="0.25"/>
    <row r="671" s="79" customFormat="1" ht="15" customHeight="1" x14ac:dyDescent="0.25"/>
    <row r="672" s="79" customFormat="1" ht="15" customHeight="1" x14ac:dyDescent="0.25"/>
    <row r="673" s="79" customFormat="1" ht="15" customHeight="1" x14ac:dyDescent="0.25"/>
    <row r="674" s="79" customFormat="1" ht="15" customHeight="1" x14ac:dyDescent="0.25"/>
    <row r="675" s="79" customFormat="1" ht="15" customHeight="1" x14ac:dyDescent="0.25"/>
    <row r="676" s="79" customFormat="1" ht="15" customHeight="1" x14ac:dyDescent="0.25"/>
    <row r="677" s="79" customFormat="1" ht="15" customHeight="1" x14ac:dyDescent="0.25"/>
    <row r="678" s="79" customFormat="1" ht="15" customHeight="1" x14ac:dyDescent="0.25"/>
    <row r="679" s="79" customFormat="1" ht="15" customHeight="1" x14ac:dyDescent="0.25"/>
    <row r="680" s="79" customFormat="1" ht="15" customHeight="1" x14ac:dyDescent="0.25"/>
    <row r="681" s="79" customFormat="1" ht="15" customHeight="1" x14ac:dyDescent="0.25"/>
    <row r="682" s="79" customFormat="1" ht="15" customHeight="1" x14ac:dyDescent="0.25"/>
    <row r="683" s="79" customFormat="1" ht="15" customHeight="1" x14ac:dyDescent="0.25"/>
    <row r="684" s="79" customFormat="1" ht="15" customHeight="1" x14ac:dyDescent="0.25"/>
    <row r="685" s="79" customFormat="1" ht="15" customHeight="1" x14ac:dyDescent="0.25"/>
    <row r="686" s="79" customFormat="1" ht="15" customHeight="1" x14ac:dyDescent="0.25"/>
    <row r="687" s="79" customFormat="1" ht="15" customHeight="1" x14ac:dyDescent="0.25"/>
    <row r="688" s="79" customFormat="1" ht="15" customHeight="1" x14ac:dyDescent="0.25"/>
    <row r="689" s="79" customFormat="1" ht="15" customHeight="1" x14ac:dyDescent="0.25"/>
    <row r="690" s="79" customFormat="1" ht="15" customHeight="1" x14ac:dyDescent="0.25"/>
    <row r="691" s="79" customFormat="1" ht="15" customHeight="1" x14ac:dyDescent="0.25"/>
    <row r="692" s="79" customFormat="1" ht="15" customHeight="1" x14ac:dyDescent="0.25"/>
    <row r="693" s="79" customFormat="1" ht="15" customHeight="1" x14ac:dyDescent="0.25"/>
    <row r="694" s="79" customFormat="1" ht="15" customHeight="1" x14ac:dyDescent="0.25"/>
    <row r="695" s="79" customFormat="1" ht="15" customHeight="1" x14ac:dyDescent="0.25"/>
    <row r="696" s="79" customFormat="1" ht="15" customHeight="1" x14ac:dyDescent="0.25"/>
    <row r="697" s="79" customFormat="1" ht="15" customHeight="1" x14ac:dyDescent="0.25"/>
    <row r="698" s="79" customFormat="1" ht="15" customHeight="1" x14ac:dyDescent="0.25"/>
    <row r="699" s="79" customFormat="1" ht="15" customHeight="1" x14ac:dyDescent="0.25"/>
    <row r="700" s="79" customFormat="1" ht="15" customHeight="1" x14ac:dyDescent="0.25"/>
    <row r="701" s="79" customFormat="1" ht="15" customHeight="1" x14ac:dyDescent="0.25"/>
    <row r="702" s="79" customFormat="1" ht="15" customHeight="1" x14ac:dyDescent="0.25"/>
    <row r="703" s="79" customFormat="1" ht="15" customHeight="1" x14ac:dyDescent="0.25"/>
    <row r="704" s="79" customFormat="1" ht="15" customHeight="1" x14ac:dyDescent="0.25"/>
    <row r="705" s="79" customFormat="1" ht="15" customHeight="1" x14ac:dyDescent="0.25"/>
    <row r="706" s="79" customFormat="1" ht="15" customHeight="1" x14ac:dyDescent="0.25"/>
    <row r="707" s="79" customFormat="1" ht="15" customHeight="1" x14ac:dyDescent="0.25"/>
    <row r="708" s="79" customFormat="1" ht="15" customHeight="1" x14ac:dyDescent="0.25"/>
    <row r="709" s="79" customFormat="1" ht="15" customHeight="1" x14ac:dyDescent="0.25"/>
    <row r="710" s="79" customFormat="1" ht="15" customHeight="1" x14ac:dyDescent="0.25"/>
    <row r="711" s="79" customFormat="1" ht="15" customHeight="1" x14ac:dyDescent="0.25"/>
    <row r="712" s="79" customFormat="1" ht="15" customHeight="1" x14ac:dyDescent="0.25"/>
    <row r="713" s="79" customFormat="1" ht="15" customHeight="1" x14ac:dyDescent="0.25"/>
    <row r="714" s="79" customFormat="1" ht="15" customHeight="1" x14ac:dyDescent="0.25"/>
    <row r="715" s="79" customFormat="1" ht="15" customHeight="1" x14ac:dyDescent="0.25"/>
    <row r="716" s="79" customFormat="1" ht="15" customHeight="1" x14ac:dyDescent="0.25"/>
    <row r="717" s="79" customFormat="1" ht="15" customHeight="1" x14ac:dyDescent="0.25"/>
    <row r="718" s="79" customFormat="1" ht="15" customHeight="1" x14ac:dyDescent="0.25"/>
    <row r="719" s="79" customFormat="1" ht="15" customHeight="1" x14ac:dyDescent="0.25"/>
    <row r="720" s="79" customFormat="1" ht="15" customHeight="1" x14ac:dyDescent="0.25"/>
    <row r="721" s="79" customFormat="1" ht="15" customHeight="1" x14ac:dyDescent="0.25"/>
    <row r="722" s="79" customFormat="1" ht="15" customHeight="1" x14ac:dyDescent="0.25"/>
    <row r="723" s="79" customFormat="1" ht="15" customHeight="1" x14ac:dyDescent="0.25"/>
    <row r="724" s="79" customFormat="1" ht="15" customHeight="1" x14ac:dyDescent="0.25"/>
    <row r="725" s="79" customFormat="1" ht="15" customHeight="1" x14ac:dyDescent="0.25"/>
    <row r="726" s="79" customFormat="1" ht="15" customHeight="1" x14ac:dyDescent="0.25"/>
    <row r="727" s="79" customFormat="1" ht="15" customHeight="1" x14ac:dyDescent="0.25"/>
    <row r="728" s="79" customFormat="1" ht="15" customHeight="1" x14ac:dyDescent="0.25"/>
    <row r="729" s="79" customFormat="1" ht="15" customHeight="1" x14ac:dyDescent="0.25"/>
    <row r="730" s="79" customFormat="1" ht="15" customHeight="1" x14ac:dyDescent="0.25"/>
    <row r="731" s="79" customFormat="1" ht="15" customHeight="1" x14ac:dyDescent="0.25"/>
    <row r="732" s="79" customFormat="1" ht="15" customHeight="1" x14ac:dyDescent="0.25"/>
    <row r="733" s="79" customFormat="1" ht="15" customHeight="1" x14ac:dyDescent="0.25"/>
    <row r="734" s="79" customFormat="1" ht="15" customHeight="1" x14ac:dyDescent="0.25"/>
    <row r="735" s="79" customFormat="1" ht="15" customHeight="1" x14ac:dyDescent="0.25"/>
    <row r="736" s="79" customFormat="1" ht="15" customHeight="1" x14ac:dyDescent="0.25"/>
    <row r="737" s="79" customFormat="1" ht="15" customHeight="1" x14ac:dyDescent="0.25"/>
    <row r="738" s="79" customFormat="1" ht="15" customHeight="1" x14ac:dyDescent="0.25"/>
    <row r="739" s="79" customFormat="1" ht="15" customHeight="1" x14ac:dyDescent="0.25"/>
    <row r="740" s="79" customFormat="1" ht="15" customHeight="1" x14ac:dyDescent="0.25"/>
    <row r="741" s="79" customFormat="1" ht="15" customHeight="1" x14ac:dyDescent="0.25"/>
    <row r="742" s="79" customFormat="1" ht="15" customHeight="1" x14ac:dyDescent="0.25"/>
    <row r="743" s="79" customFormat="1" ht="15" customHeight="1" x14ac:dyDescent="0.25"/>
    <row r="744" s="79" customFormat="1" ht="15" customHeight="1" x14ac:dyDescent="0.25"/>
    <row r="745" s="79" customFormat="1" ht="15" customHeight="1" x14ac:dyDescent="0.25"/>
    <row r="746" s="79" customFormat="1" ht="15" customHeight="1" x14ac:dyDescent="0.25"/>
    <row r="747" s="79" customFormat="1" ht="15" customHeight="1" x14ac:dyDescent="0.25"/>
    <row r="748" s="79" customFormat="1" ht="15" customHeight="1" x14ac:dyDescent="0.25"/>
    <row r="749" s="79" customFormat="1" ht="15" customHeight="1" x14ac:dyDescent="0.25"/>
    <row r="750" s="79" customFormat="1" ht="15" customHeight="1" x14ac:dyDescent="0.25"/>
    <row r="751" s="79" customFormat="1" ht="15" customHeight="1" x14ac:dyDescent="0.25"/>
    <row r="752" s="79" customFormat="1" ht="15" customHeight="1" x14ac:dyDescent="0.25"/>
    <row r="753" s="79" customFormat="1" ht="15" customHeight="1" x14ac:dyDescent="0.25"/>
    <row r="754" s="79" customFormat="1" ht="15" customHeight="1" x14ac:dyDescent="0.25"/>
    <row r="755" s="79" customFormat="1" ht="15" customHeight="1" x14ac:dyDescent="0.25"/>
    <row r="756" s="79" customFormat="1" ht="15" customHeight="1" x14ac:dyDescent="0.25"/>
    <row r="757" s="79" customFormat="1" ht="15" customHeight="1" x14ac:dyDescent="0.25"/>
    <row r="758" s="79" customFormat="1" ht="15" customHeight="1" x14ac:dyDescent="0.25"/>
    <row r="759" s="79" customFormat="1" ht="15" customHeight="1" x14ac:dyDescent="0.25"/>
    <row r="760" s="79" customFormat="1" ht="15" customHeight="1" x14ac:dyDescent="0.25"/>
    <row r="761" s="79" customFormat="1" ht="15" customHeight="1" x14ac:dyDescent="0.25"/>
    <row r="762" s="79" customFormat="1" ht="15" customHeight="1" x14ac:dyDescent="0.25"/>
    <row r="763" s="79" customFormat="1" ht="15" customHeight="1" x14ac:dyDescent="0.25"/>
    <row r="764" s="79" customFormat="1" ht="15" customHeight="1" x14ac:dyDescent="0.25"/>
    <row r="765" s="79" customFormat="1" ht="15" customHeight="1" x14ac:dyDescent="0.25"/>
    <row r="766" s="79" customFormat="1" ht="15" customHeight="1" x14ac:dyDescent="0.25"/>
    <row r="767" s="79" customFormat="1" ht="15" customHeight="1" x14ac:dyDescent="0.25"/>
    <row r="768" s="79" customFormat="1" ht="15" customHeight="1" x14ac:dyDescent="0.25"/>
    <row r="769" s="79" customFormat="1" ht="15" customHeight="1" x14ac:dyDescent="0.25"/>
    <row r="770" s="79" customFormat="1" ht="15" customHeight="1" x14ac:dyDescent="0.25"/>
    <row r="771" s="79" customFormat="1" ht="15" customHeight="1" x14ac:dyDescent="0.25"/>
    <row r="772" s="79" customFormat="1" ht="15" customHeight="1" x14ac:dyDescent="0.25"/>
    <row r="773" s="79" customFormat="1" ht="15" customHeight="1" x14ac:dyDescent="0.25"/>
    <row r="774" s="79" customFormat="1" ht="15" customHeight="1" x14ac:dyDescent="0.25"/>
    <row r="775" s="79" customFormat="1" ht="15" customHeight="1" x14ac:dyDescent="0.25"/>
    <row r="776" s="79" customFormat="1" ht="15" customHeight="1" x14ac:dyDescent="0.25"/>
    <row r="777" s="79" customFormat="1" ht="15" customHeight="1" x14ac:dyDescent="0.25"/>
    <row r="778" s="79" customFormat="1" ht="15" customHeight="1" x14ac:dyDescent="0.25"/>
    <row r="779" s="79" customFormat="1" ht="15" customHeight="1" x14ac:dyDescent="0.25"/>
    <row r="780" s="79" customFormat="1" ht="15" customHeight="1" x14ac:dyDescent="0.25"/>
    <row r="781" s="79" customFormat="1" ht="15" customHeight="1" x14ac:dyDescent="0.25"/>
    <row r="782" s="79" customFormat="1" ht="15" customHeight="1" x14ac:dyDescent="0.25"/>
    <row r="783" s="79" customFormat="1" ht="15" customHeight="1" x14ac:dyDescent="0.25"/>
    <row r="784" s="79" customFormat="1" ht="15" customHeight="1" x14ac:dyDescent="0.25"/>
    <row r="785" s="79" customFormat="1" ht="15" customHeight="1" x14ac:dyDescent="0.25"/>
    <row r="786" s="79" customFormat="1" ht="15" customHeight="1" x14ac:dyDescent="0.25"/>
    <row r="787" s="79" customFormat="1" ht="15" customHeight="1" x14ac:dyDescent="0.25"/>
    <row r="788" s="79" customFormat="1" ht="15" customHeight="1" x14ac:dyDescent="0.25"/>
    <row r="789" s="79" customFormat="1" ht="15" customHeight="1" x14ac:dyDescent="0.25"/>
    <row r="790" s="79" customFormat="1" ht="15" customHeight="1" x14ac:dyDescent="0.25"/>
    <row r="791" s="79" customFormat="1" ht="15" customHeight="1" x14ac:dyDescent="0.25"/>
    <row r="792" s="79" customFormat="1" ht="15" customHeight="1" x14ac:dyDescent="0.25"/>
    <row r="793" s="79" customFormat="1" ht="15" customHeight="1" x14ac:dyDescent="0.25"/>
    <row r="794" s="79" customFormat="1" ht="15" customHeight="1" x14ac:dyDescent="0.25"/>
    <row r="795" s="79" customFormat="1" ht="15" customHeight="1" x14ac:dyDescent="0.25"/>
    <row r="796" s="79" customFormat="1" ht="15" customHeight="1" x14ac:dyDescent="0.25"/>
    <row r="797" s="79" customFormat="1" ht="15" customHeight="1" x14ac:dyDescent="0.25"/>
    <row r="798" s="79" customFormat="1" ht="15" customHeight="1" x14ac:dyDescent="0.25"/>
    <row r="799" s="79" customFormat="1" ht="15" customHeight="1" x14ac:dyDescent="0.25"/>
    <row r="800" s="79" customFormat="1" ht="15" customHeight="1" x14ac:dyDescent="0.25"/>
    <row r="801" s="79" customFormat="1" ht="15" customHeight="1" x14ac:dyDescent="0.25"/>
    <row r="802" s="79" customFormat="1" ht="15" customHeight="1" x14ac:dyDescent="0.25"/>
    <row r="803" s="79" customFormat="1" ht="15" customHeight="1" x14ac:dyDescent="0.25"/>
    <row r="804" s="79" customFormat="1" ht="15" customHeight="1" x14ac:dyDescent="0.25"/>
    <row r="805" s="79" customFormat="1" ht="15" customHeight="1" x14ac:dyDescent="0.25"/>
    <row r="806" s="79" customFormat="1" ht="15" customHeight="1" x14ac:dyDescent="0.25"/>
    <row r="807" s="79" customFormat="1" ht="15" customHeight="1" x14ac:dyDescent="0.25"/>
    <row r="808" s="79" customFormat="1" ht="15" customHeight="1" x14ac:dyDescent="0.25"/>
    <row r="809" s="79" customFormat="1" ht="15" customHeight="1" x14ac:dyDescent="0.25"/>
    <row r="810" s="79" customFormat="1" ht="15" customHeight="1" x14ac:dyDescent="0.25"/>
    <row r="811" s="79" customFormat="1" ht="15" customHeight="1" x14ac:dyDescent="0.25"/>
    <row r="812" s="79" customFormat="1" ht="15" customHeight="1" x14ac:dyDescent="0.25"/>
    <row r="813" s="79" customFormat="1" ht="15" customHeight="1" x14ac:dyDescent="0.25"/>
    <row r="814" s="79" customFormat="1" ht="15" customHeight="1" x14ac:dyDescent="0.25"/>
    <row r="815" s="79" customFormat="1" ht="15" customHeight="1" x14ac:dyDescent="0.25"/>
    <row r="816" s="79" customFormat="1" ht="15" customHeight="1" x14ac:dyDescent="0.25"/>
    <row r="817" s="79" customFormat="1" ht="15" customHeight="1" x14ac:dyDescent="0.25"/>
    <row r="818" s="79" customFormat="1" ht="15" customHeight="1" x14ac:dyDescent="0.25"/>
    <row r="819" s="79" customFormat="1" ht="15" customHeight="1" x14ac:dyDescent="0.25"/>
    <row r="820" s="79" customFormat="1" ht="15" customHeight="1" x14ac:dyDescent="0.25"/>
    <row r="821" s="79" customFormat="1" ht="15" customHeight="1" x14ac:dyDescent="0.25"/>
    <row r="822" s="79" customFormat="1" ht="15" customHeight="1" x14ac:dyDescent="0.25"/>
    <row r="823" s="79" customFormat="1" ht="15" customHeight="1" x14ac:dyDescent="0.25"/>
    <row r="824" s="79" customFormat="1" ht="15" customHeight="1" x14ac:dyDescent="0.25"/>
    <row r="825" s="79" customFormat="1" ht="15" customHeight="1" x14ac:dyDescent="0.25"/>
    <row r="826" s="79" customFormat="1" ht="15" customHeight="1" x14ac:dyDescent="0.25"/>
    <row r="827" s="79" customFormat="1" ht="15" customHeight="1" x14ac:dyDescent="0.25"/>
    <row r="828" s="79" customFormat="1" ht="15" customHeight="1" x14ac:dyDescent="0.25"/>
    <row r="829" s="79" customFormat="1" ht="15" customHeight="1" x14ac:dyDescent="0.25"/>
    <row r="830" s="79" customFormat="1" ht="15" customHeight="1" x14ac:dyDescent="0.25"/>
    <row r="831" s="79" customFormat="1" ht="15" customHeight="1" x14ac:dyDescent="0.25"/>
    <row r="832" s="79" customFormat="1" ht="15" customHeight="1" x14ac:dyDescent="0.25"/>
    <row r="833" s="79" customFormat="1" ht="15" customHeight="1" x14ac:dyDescent="0.25"/>
    <row r="834" s="79" customFormat="1" ht="15" customHeight="1" x14ac:dyDescent="0.25"/>
    <row r="835" s="79" customFormat="1" ht="15" customHeight="1" x14ac:dyDescent="0.25"/>
    <row r="836" s="79" customFormat="1" ht="15" customHeight="1" x14ac:dyDescent="0.25"/>
    <row r="837" s="79" customFormat="1" ht="15" customHeight="1" x14ac:dyDescent="0.25"/>
    <row r="838" s="79" customFormat="1" ht="15" customHeight="1" x14ac:dyDescent="0.25"/>
    <row r="839" s="79" customFormat="1" ht="15" customHeight="1" x14ac:dyDescent="0.25"/>
    <row r="840" s="79" customFormat="1" ht="15" customHeight="1" x14ac:dyDescent="0.25"/>
    <row r="841" s="79" customFormat="1" ht="15" customHeight="1" x14ac:dyDescent="0.25"/>
    <row r="842" s="79" customFormat="1" ht="15" customHeight="1" x14ac:dyDescent="0.25"/>
    <row r="843" s="79" customFormat="1" ht="15" customHeight="1" x14ac:dyDescent="0.25"/>
    <row r="844" s="79" customFormat="1" ht="15" customHeight="1" x14ac:dyDescent="0.25"/>
    <row r="845" s="79" customFormat="1" ht="15" customHeight="1" x14ac:dyDescent="0.25"/>
    <row r="846" s="79" customFormat="1" ht="15" customHeight="1" x14ac:dyDescent="0.25"/>
    <row r="847" s="79" customFormat="1" ht="15" customHeight="1" x14ac:dyDescent="0.25"/>
    <row r="848" s="79" customFormat="1" ht="15" customHeight="1" x14ac:dyDescent="0.25"/>
    <row r="849" s="79" customFormat="1" ht="15" customHeight="1" x14ac:dyDescent="0.25"/>
    <row r="850" s="79" customFormat="1" ht="15" customHeight="1" x14ac:dyDescent="0.25"/>
    <row r="851" s="79" customFormat="1" ht="15" customHeight="1" x14ac:dyDescent="0.25"/>
    <row r="852" s="79" customFormat="1" ht="15" customHeight="1" x14ac:dyDescent="0.25"/>
    <row r="853" s="79" customFormat="1" ht="15" customHeight="1" x14ac:dyDescent="0.25"/>
    <row r="854" s="79" customFormat="1" ht="15" customHeight="1" x14ac:dyDescent="0.25"/>
    <row r="855" s="79" customFormat="1" ht="15" customHeight="1" x14ac:dyDescent="0.25"/>
    <row r="856" s="79" customFormat="1" ht="15" customHeight="1" x14ac:dyDescent="0.25"/>
    <row r="857" s="79" customFormat="1" ht="15" customHeight="1" x14ac:dyDescent="0.25"/>
    <row r="858" s="79" customFormat="1" ht="15" customHeight="1" x14ac:dyDescent="0.25"/>
    <row r="859" s="79" customFormat="1" ht="15" customHeight="1" x14ac:dyDescent="0.25"/>
    <row r="860" s="79" customFormat="1" ht="15" customHeight="1" x14ac:dyDescent="0.25"/>
    <row r="861" s="79" customFormat="1" ht="15" customHeight="1" x14ac:dyDescent="0.25"/>
    <row r="862" s="79" customFormat="1" ht="15" customHeight="1" x14ac:dyDescent="0.25"/>
    <row r="863" s="79" customFormat="1" ht="15" customHeight="1" x14ac:dyDescent="0.25"/>
    <row r="864" s="79" customFormat="1" ht="15" customHeight="1" x14ac:dyDescent="0.25"/>
    <row r="865" s="79" customFormat="1" ht="15" customHeight="1" x14ac:dyDescent="0.25"/>
    <row r="866" s="79" customFormat="1" ht="15" customHeight="1" x14ac:dyDescent="0.25"/>
    <row r="867" s="79" customFormat="1" ht="15" customHeight="1" x14ac:dyDescent="0.25"/>
    <row r="868" s="79" customFormat="1" ht="15" customHeight="1" x14ac:dyDescent="0.25"/>
    <row r="869" s="79" customFormat="1" ht="15" customHeight="1" x14ac:dyDescent="0.25"/>
    <row r="870" s="79" customFormat="1" ht="15" customHeight="1" x14ac:dyDescent="0.25"/>
    <row r="871" s="79" customFormat="1" ht="15" customHeight="1" x14ac:dyDescent="0.25"/>
    <row r="872" s="79" customFormat="1" ht="15" customHeight="1" x14ac:dyDescent="0.25"/>
    <row r="873" s="79" customFormat="1" ht="15" customHeight="1" x14ac:dyDescent="0.25"/>
    <row r="874" s="79" customFormat="1" ht="15" customHeight="1" x14ac:dyDescent="0.25"/>
    <row r="875" s="79" customFormat="1" ht="15" customHeight="1" x14ac:dyDescent="0.25"/>
    <row r="876" s="79" customFormat="1" ht="15" customHeight="1" x14ac:dyDescent="0.25"/>
    <row r="877" s="79" customFormat="1" ht="15" customHeight="1" x14ac:dyDescent="0.25"/>
    <row r="878" s="79" customFormat="1" ht="15" customHeight="1" x14ac:dyDescent="0.25"/>
    <row r="879" s="79" customFormat="1" ht="15" customHeight="1" x14ac:dyDescent="0.25"/>
    <row r="880" s="79" customFormat="1" ht="15" customHeight="1" x14ac:dyDescent="0.25"/>
    <row r="881" s="79" customFormat="1" ht="15" customHeight="1" x14ac:dyDescent="0.25"/>
    <row r="882" s="79" customFormat="1" ht="15" customHeight="1" x14ac:dyDescent="0.25"/>
    <row r="883" s="79" customFormat="1" ht="15" customHeight="1" x14ac:dyDescent="0.25"/>
    <row r="884" s="79" customFormat="1" ht="15" customHeight="1" x14ac:dyDescent="0.25"/>
    <row r="885" s="79" customFormat="1" ht="15" customHeight="1" x14ac:dyDescent="0.25"/>
    <row r="886" s="79" customFormat="1" ht="15" customHeight="1" x14ac:dyDescent="0.25"/>
    <row r="887" s="79" customFormat="1" ht="15" customHeight="1" x14ac:dyDescent="0.25"/>
    <row r="888" s="79" customFormat="1" ht="15" customHeight="1" x14ac:dyDescent="0.25"/>
    <row r="889" s="79" customFormat="1" ht="15" customHeight="1" x14ac:dyDescent="0.25"/>
    <row r="890" s="79" customFormat="1" ht="15" customHeight="1" x14ac:dyDescent="0.25"/>
    <row r="891" s="79" customFormat="1" ht="15" customHeight="1" x14ac:dyDescent="0.25"/>
    <row r="892" s="79" customFormat="1" ht="15" customHeight="1" x14ac:dyDescent="0.25"/>
    <row r="893" s="79" customFormat="1" ht="15" customHeight="1" x14ac:dyDescent="0.25"/>
    <row r="894" s="79" customFormat="1" ht="15" customHeight="1" x14ac:dyDescent="0.25"/>
    <row r="895" s="79" customFormat="1" ht="15" customHeight="1" x14ac:dyDescent="0.25"/>
    <row r="896" s="79" customFormat="1" ht="15" customHeight="1" x14ac:dyDescent="0.25"/>
    <row r="897" s="79" customFormat="1" ht="15" customHeight="1" x14ac:dyDescent="0.25"/>
    <row r="898" s="79" customFormat="1" ht="15" customHeight="1" x14ac:dyDescent="0.25"/>
    <row r="899" s="79" customFormat="1" ht="15" customHeight="1" x14ac:dyDescent="0.25"/>
    <row r="900" s="79" customFormat="1" ht="15" customHeight="1" x14ac:dyDescent="0.25"/>
    <row r="901" s="79" customFormat="1" ht="15" customHeight="1" x14ac:dyDescent="0.25"/>
    <row r="902" s="79" customFormat="1" ht="15" customHeight="1" x14ac:dyDescent="0.25"/>
    <row r="903" s="79" customFormat="1" ht="15" customHeight="1" x14ac:dyDescent="0.25"/>
    <row r="904" s="79" customFormat="1" ht="15" customHeight="1" x14ac:dyDescent="0.25"/>
    <row r="905" s="79" customFormat="1" ht="15" customHeight="1" x14ac:dyDescent="0.25"/>
    <row r="906" s="79" customFormat="1" ht="15" customHeight="1" x14ac:dyDescent="0.25"/>
    <row r="907" s="79" customFormat="1" ht="15" customHeight="1" x14ac:dyDescent="0.25"/>
    <row r="908" s="79" customFormat="1" ht="15" customHeight="1" x14ac:dyDescent="0.25"/>
    <row r="909" s="79" customFormat="1" ht="15" customHeight="1" x14ac:dyDescent="0.25"/>
    <row r="910" s="79" customFormat="1" ht="15" customHeight="1" x14ac:dyDescent="0.25"/>
    <row r="911" s="79" customFormat="1" ht="15" customHeight="1" x14ac:dyDescent="0.25"/>
    <row r="912" s="79" customFormat="1" ht="15" customHeight="1" x14ac:dyDescent="0.25"/>
    <row r="913" s="79" customFormat="1" ht="15" customHeight="1" x14ac:dyDescent="0.25"/>
    <row r="914" s="79" customFormat="1" ht="15" customHeight="1" x14ac:dyDescent="0.25"/>
    <row r="915" s="79" customFormat="1" ht="15" customHeight="1" x14ac:dyDescent="0.25"/>
    <row r="916" s="79" customFormat="1" ht="15" customHeight="1" x14ac:dyDescent="0.25"/>
    <row r="917" s="79" customFormat="1" ht="15" customHeight="1" x14ac:dyDescent="0.25"/>
    <row r="918" s="79" customFormat="1" ht="15" customHeight="1" x14ac:dyDescent="0.25"/>
    <row r="919" s="79" customFormat="1" ht="15" customHeight="1" x14ac:dyDescent="0.25"/>
    <row r="920" s="79" customFormat="1" ht="15" customHeight="1" x14ac:dyDescent="0.25"/>
    <row r="921" s="79" customFormat="1" ht="15" customHeight="1" x14ac:dyDescent="0.25"/>
    <row r="922" s="79" customFormat="1" ht="15" customHeight="1" x14ac:dyDescent="0.25"/>
    <row r="923" s="79" customFormat="1" ht="15" customHeight="1" x14ac:dyDescent="0.25"/>
    <row r="924" s="79" customFormat="1" ht="15" customHeight="1" x14ac:dyDescent="0.25"/>
    <row r="925" s="79" customFormat="1" ht="15" customHeight="1" x14ac:dyDescent="0.25"/>
    <row r="926" s="79" customFormat="1" ht="15" customHeight="1" x14ac:dyDescent="0.25"/>
    <row r="927" s="79" customFormat="1" ht="15" customHeight="1" x14ac:dyDescent="0.25"/>
    <row r="928" s="79" customFormat="1" ht="15" customHeight="1" x14ac:dyDescent="0.25"/>
    <row r="929" s="79" customFormat="1" ht="15" customHeight="1" x14ac:dyDescent="0.25"/>
    <row r="930" s="79" customFormat="1" ht="15" customHeight="1" x14ac:dyDescent="0.25"/>
    <row r="931" s="79" customFormat="1" ht="15" customHeight="1" x14ac:dyDescent="0.25"/>
    <row r="932" s="79" customFormat="1" ht="15" customHeight="1" x14ac:dyDescent="0.25"/>
    <row r="933" s="79" customFormat="1" ht="15" customHeight="1" x14ac:dyDescent="0.25"/>
    <row r="934" s="79" customFormat="1" ht="15" customHeight="1" x14ac:dyDescent="0.25"/>
    <row r="935" s="79" customFormat="1" ht="15" customHeight="1" x14ac:dyDescent="0.25"/>
    <row r="936" s="79" customFormat="1" ht="15" customHeight="1" x14ac:dyDescent="0.25"/>
    <row r="937" s="79" customFormat="1" ht="15" customHeight="1" x14ac:dyDescent="0.25"/>
    <row r="938" s="79" customFormat="1" ht="15" customHeight="1" x14ac:dyDescent="0.25"/>
    <row r="939" s="79" customFormat="1" ht="15" customHeight="1" x14ac:dyDescent="0.25"/>
    <row r="940" s="79" customFormat="1" ht="15" customHeight="1" x14ac:dyDescent="0.25"/>
    <row r="941" s="79" customFormat="1" ht="15" customHeight="1" x14ac:dyDescent="0.25"/>
    <row r="942" s="79" customFormat="1" ht="15" customHeight="1" x14ac:dyDescent="0.25"/>
    <row r="943" s="79" customFormat="1" ht="15" customHeight="1" x14ac:dyDescent="0.25"/>
    <row r="944" s="79" customFormat="1" ht="15" customHeight="1" x14ac:dyDescent="0.25"/>
    <row r="945" s="79" customFormat="1" ht="15" customHeight="1" x14ac:dyDescent="0.25"/>
    <row r="946" s="79" customFormat="1" ht="15" customHeight="1" x14ac:dyDescent="0.25"/>
    <row r="947" s="79" customFormat="1" ht="15" customHeight="1" x14ac:dyDescent="0.25"/>
    <row r="948" s="79" customFormat="1" ht="15" customHeight="1" x14ac:dyDescent="0.25"/>
    <row r="949" s="79" customFormat="1" ht="15" customHeight="1" x14ac:dyDescent="0.25"/>
    <row r="950" s="79" customFormat="1" ht="15" customHeight="1" x14ac:dyDescent="0.25"/>
    <row r="951" s="79" customFormat="1" ht="15" customHeight="1" x14ac:dyDescent="0.25"/>
    <row r="952" s="79" customFormat="1" ht="15" customHeight="1" x14ac:dyDescent="0.25"/>
    <row r="953" s="79" customFormat="1" ht="15" customHeight="1" x14ac:dyDescent="0.25"/>
    <row r="954" s="79" customFormat="1" ht="15" customHeight="1" x14ac:dyDescent="0.25"/>
    <row r="955" s="79" customFormat="1" ht="15" customHeight="1" x14ac:dyDescent="0.25"/>
    <row r="956" s="79" customFormat="1" ht="15" customHeight="1" x14ac:dyDescent="0.25"/>
    <row r="957" s="79" customFormat="1" ht="15" customHeight="1" x14ac:dyDescent="0.25"/>
    <row r="958" s="79" customFormat="1" ht="15" customHeight="1" x14ac:dyDescent="0.25"/>
    <row r="959" s="79" customFormat="1" ht="15" customHeight="1" x14ac:dyDescent="0.25"/>
    <row r="960" s="79" customFormat="1" ht="15" customHeight="1" x14ac:dyDescent="0.25"/>
    <row r="961" s="79" customFormat="1" ht="15" customHeight="1" x14ac:dyDescent="0.25"/>
    <row r="962" s="79" customFormat="1" ht="15" customHeight="1" x14ac:dyDescent="0.25"/>
    <row r="963" s="79" customFormat="1" ht="15" customHeight="1" x14ac:dyDescent="0.25"/>
    <row r="964" s="79" customFormat="1" ht="15" customHeight="1" x14ac:dyDescent="0.25"/>
    <row r="965" s="79" customFormat="1" ht="15" customHeight="1" x14ac:dyDescent="0.25"/>
    <row r="966" s="79" customFormat="1" ht="15" customHeight="1" x14ac:dyDescent="0.25"/>
    <row r="967" s="79" customFormat="1" ht="15" customHeight="1" x14ac:dyDescent="0.25"/>
    <row r="968" s="79" customFormat="1" ht="15" customHeight="1" x14ac:dyDescent="0.25"/>
    <row r="969" s="79" customFormat="1" ht="15" customHeight="1" x14ac:dyDescent="0.25"/>
    <row r="970" s="79" customFormat="1" ht="15" customHeight="1" x14ac:dyDescent="0.25"/>
    <row r="971" s="79" customFormat="1" ht="15" customHeight="1" x14ac:dyDescent="0.25"/>
    <row r="972" s="79" customFormat="1" ht="15" customHeight="1" x14ac:dyDescent="0.25"/>
    <row r="973" s="79" customFormat="1" ht="15" customHeight="1" x14ac:dyDescent="0.25"/>
    <row r="974" s="79" customFormat="1" ht="15" customHeight="1" x14ac:dyDescent="0.25"/>
    <row r="975" s="79" customFormat="1" ht="15" customHeight="1" x14ac:dyDescent="0.25"/>
    <row r="976" s="79" customFormat="1" ht="15" customHeight="1" x14ac:dyDescent="0.25"/>
    <row r="977" s="79" customFormat="1" ht="15" customHeight="1" x14ac:dyDescent="0.25"/>
    <row r="978" s="79" customFormat="1" ht="15" customHeight="1" x14ac:dyDescent="0.25"/>
    <row r="979" s="79" customFormat="1" ht="15" customHeight="1" x14ac:dyDescent="0.25"/>
    <row r="980" s="79" customFormat="1" ht="15" customHeight="1" x14ac:dyDescent="0.25"/>
    <row r="981" s="79" customFormat="1" ht="15" customHeight="1" x14ac:dyDescent="0.25"/>
    <row r="982" s="79" customFormat="1" ht="15" customHeight="1" x14ac:dyDescent="0.25"/>
    <row r="983" s="79" customFormat="1" ht="15" customHeight="1" x14ac:dyDescent="0.25"/>
    <row r="984" s="79" customFormat="1" ht="15" customHeight="1" x14ac:dyDescent="0.25"/>
    <row r="985" s="79" customFormat="1" ht="15" customHeight="1" x14ac:dyDescent="0.25"/>
    <row r="986" s="79" customFormat="1" ht="15" customHeight="1" x14ac:dyDescent="0.25"/>
    <row r="987" s="79" customFormat="1" ht="15" customHeight="1" x14ac:dyDescent="0.25"/>
    <row r="988" s="79" customFormat="1" ht="15" customHeight="1" x14ac:dyDescent="0.25"/>
    <row r="989" s="79" customFormat="1" ht="15" customHeight="1" x14ac:dyDescent="0.25"/>
    <row r="990" s="79" customFormat="1" ht="15" customHeight="1" x14ac:dyDescent="0.25"/>
    <row r="991" s="79" customFormat="1" ht="15" customHeight="1" x14ac:dyDescent="0.25"/>
    <row r="992" s="79" customFormat="1" ht="15" customHeight="1" x14ac:dyDescent="0.25"/>
    <row r="993" s="79" customFormat="1" ht="15" customHeight="1" x14ac:dyDescent="0.25"/>
    <row r="994" s="79" customFormat="1" ht="15" customHeight="1" x14ac:dyDescent="0.25"/>
    <row r="995" s="79" customFormat="1" ht="15" customHeight="1" x14ac:dyDescent="0.25"/>
    <row r="996" s="79" customFormat="1" ht="15" customHeight="1" x14ac:dyDescent="0.25"/>
    <row r="997" s="79" customFormat="1" ht="15" customHeight="1" x14ac:dyDescent="0.25"/>
    <row r="998" s="79" customFormat="1" ht="15" customHeight="1" x14ac:dyDescent="0.25"/>
    <row r="999" s="79" customFormat="1" ht="15" customHeight="1" x14ac:dyDescent="0.25"/>
    <row r="1000" s="79" customFormat="1" ht="15" customHeight="1" x14ac:dyDescent="0.25"/>
    <row r="1001" s="79" customFormat="1" ht="15" customHeight="1" x14ac:dyDescent="0.25"/>
    <row r="1002" s="79" customFormat="1" ht="15" customHeight="1" x14ac:dyDescent="0.25"/>
    <row r="1003" s="79" customFormat="1" ht="15" customHeight="1" x14ac:dyDescent="0.25"/>
    <row r="1004" s="79" customFormat="1" ht="15" customHeight="1" x14ac:dyDescent="0.25"/>
    <row r="1005" s="79" customFormat="1" ht="15" customHeight="1" x14ac:dyDescent="0.25"/>
    <row r="1006" s="79" customFormat="1" ht="15" customHeight="1" x14ac:dyDescent="0.25"/>
    <row r="1007" s="79" customFormat="1" ht="15" customHeight="1" x14ac:dyDescent="0.25"/>
    <row r="1008" s="79" customFormat="1" ht="15" customHeight="1" x14ac:dyDescent="0.25"/>
    <row r="1009" s="79" customFormat="1" ht="15" customHeight="1" x14ac:dyDescent="0.25"/>
    <row r="1010" s="79" customFormat="1" ht="15" customHeight="1" x14ac:dyDescent="0.25"/>
    <row r="1011" s="79" customFormat="1" ht="15" customHeight="1" x14ac:dyDescent="0.25"/>
    <row r="1012" s="79" customFormat="1" ht="15" customHeight="1" x14ac:dyDescent="0.25"/>
    <row r="1013" s="79" customFormat="1" ht="15" customHeight="1" x14ac:dyDescent="0.25"/>
    <row r="1014" s="79" customFormat="1" ht="15" customHeight="1" x14ac:dyDescent="0.25"/>
    <row r="1015" s="79" customFormat="1" ht="15" customHeight="1" x14ac:dyDescent="0.25"/>
    <row r="1016" s="79" customFormat="1" ht="15" customHeight="1" x14ac:dyDescent="0.25"/>
    <row r="1017" s="79" customFormat="1" ht="15" customHeight="1" x14ac:dyDescent="0.25"/>
    <row r="1018" s="79" customFormat="1" ht="15" customHeight="1" x14ac:dyDescent="0.25"/>
    <row r="1019" s="79" customFormat="1" ht="15" customHeight="1" x14ac:dyDescent="0.25"/>
    <row r="1020" s="79" customFormat="1" ht="15" customHeight="1" x14ac:dyDescent="0.25"/>
    <row r="1021" s="79" customFormat="1" ht="15" customHeight="1" x14ac:dyDescent="0.25"/>
    <row r="1022" s="79" customFormat="1" ht="15" customHeight="1" x14ac:dyDescent="0.25"/>
    <row r="1023" s="79" customFormat="1" ht="15" customHeight="1" x14ac:dyDescent="0.25"/>
    <row r="1024" s="79" customFormat="1" ht="15" customHeight="1" x14ac:dyDescent="0.25"/>
    <row r="1025" s="79" customFormat="1" ht="15" customHeight="1" x14ac:dyDescent="0.25"/>
    <row r="1026" s="79" customFormat="1" ht="15" customHeight="1" x14ac:dyDescent="0.25"/>
    <row r="1027" s="79" customFormat="1" ht="15" customHeight="1" x14ac:dyDescent="0.25"/>
    <row r="1028" s="79" customFormat="1" ht="15" customHeight="1" x14ac:dyDescent="0.25"/>
    <row r="1029" s="79" customFormat="1" ht="15" customHeight="1" x14ac:dyDescent="0.25"/>
    <row r="1030" s="79" customFormat="1" ht="15" customHeight="1" x14ac:dyDescent="0.25"/>
    <row r="1031" s="79" customFormat="1" ht="15" customHeight="1" x14ac:dyDescent="0.25"/>
    <row r="1032" s="79" customFormat="1" ht="15" customHeight="1" x14ac:dyDescent="0.25"/>
    <row r="1033" s="79" customFormat="1" ht="15" customHeight="1" x14ac:dyDescent="0.25"/>
    <row r="1034" s="79" customFormat="1" ht="15" customHeight="1" x14ac:dyDescent="0.25"/>
    <row r="1035" s="79" customFormat="1" ht="15" customHeight="1" x14ac:dyDescent="0.25"/>
    <row r="1036" s="79" customFormat="1" ht="15" customHeight="1" x14ac:dyDescent="0.25"/>
    <row r="1037" s="79" customFormat="1" ht="15" customHeight="1" x14ac:dyDescent="0.25"/>
    <row r="1038" s="79" customFormat="1" ht="15" customHeight="1" x14ac:dyDescent="0.25"/>
    <row r="1039" s="79" customFormat="1" ht="15" customHeight="1" x14ac:dyDescent="0.25"/>
    <row r="1040" s="79" customFormat="1" ht="15" customHeight="1" x14ac:dyDescent="0.25"/>
    <row r="1041" s="79" customFormat="1" ht="15" customHeight="1" x14ac:dyDescent="0.25"/>
    <row r="1042" s="79" customFormat="1" ht="15" customHeight="1" x14ac:dyDescent="0.25"/>
    <row r="1043" s="79" customFormat="1" ht="15" customHeight="1" x14ac:dyDescent="0.25"/>
    <row r="1044" s="79" customFormat="1" ht="15" customHeight="1" x14ac:dyDescent="0.25"/>
    <row r="1045" s="79" customFormat="1" ht="15" customHeight="1" x14ac:dyDescent="0.25"/>
    <row r="1046" s="79" customFormat="1" ht="15" customHeight="1" x14ac:dyDescent="0.25"/>
    <row r="1047" s="79" customFormat="1" ht="15" customHeight="1" x14ac:dyDescent="0.25"/>
    <row r="1048" s="79" customFormat="1" ht="15" customHeight="1" x14ac:dyDescent="0.25"/>
    <row r="1049" s="79" customFormat="1" ht="15" customHeight="1" x14ac:dyDescent="0.25"/>
    <row r="1050" s="79" customFormat="1" ht="15" customHeight="1" x14ac:dyDescent="0.25"/>
    <row r="1051" s="79" customFormat="1" ht="15" customHeight="1" x14ac:dyDescent="0.25"/>
    <row r="1052" s="79" customFormat="1" ht="15" customHeight="1" x14ac:dyDescent="0.25"/>
    <row r="1053" s="79" customFormat="1" ht="15" customHeight="1" x14ac:dyDescent="0.25"/>
    <row r="1054" s="79" customFormat="1" ht="15" customHeight="1" x14ac:dyDescent="0.25"/>
    <row r="1055" s="79" customFormat="1" ht="15" customHeight="1" x14ac:dyDescent="0.25"/>
    <row r="1056" s="79" customFormat="1" ht="15" customHeight="1" x14ac:dyDescent="0.25"/>
    <row r="1057" s="79" customFormat="1" ht="15" customHeight="1" x14ac:dyDescent="0.25"/>
    <row r="1058" s="79" customFormat="1" ht="15" customHeight="1" x14ac:dyDescent="0.25"/>
    <row r="1059" s="79" customFormat="1" ht="15" customHeight="1" x14ac:dyDescent="0.25"/>
    <row r="1060" s="79" customFormat="1" ht="15" customHeight="1" x14ac:dyDescent="0.25"/>
    <row r="1061" s="79" customFormat="1" ht="15" customHeight="1" x14ac:dyDescent="0.25"/>
    <row r="1062" s="79" customFormat="1" ht="15" customHeight="1" x14ac:dyDescent="0.25"/>
    <row r="1063" s="79" customFormat="1" ht="15" customHeight="1" x14ac:dyDescent="0.25"/>
    <row r="1064" s="79" customFormat="1" ht="15" customHeight="1" x14ac:dyDescent="0.25"/>
    <row r="1065" s="79" customFormat="1" ht="15" customHeight="1" x14ac:dyDescent="0.25"/>
    <row r="1066" s="79" customFormat="1" ht="15" customHeight="1" x14ac:dyDescent="0.25"/>
    <row r="1067" s="79" customFormat="1" ht="15" customHeight="1" x14ac:dyDescent="0.25"/>
    <row r="1068" s="79" customFormat="1" ht="15" customHeight="1" x14ac:dyDescent="0.25"/>
    <row r="1069" s="79" customFormat="1" ht="15" customHeight="1" x14ac:dyDescent="0.25"/>
    <row r="1070" s="79" customFormat="1" ht="15" customHeight="1" x14ac:dyDescent="0.25"/>
    <row r="1071" s="79" customFormat="1" ht="15" customHeight="1" x14ac:dyDescent="0.25"/>
    <row r="1072" s="79" customFormat="1" ht="15" customHeight="1" x14ac:dyDescent="0.25"/>
    <row r="1073" s="79" customFormat="1" ht="15" customHeight="1" x14ac:dyDescent="0.25"/>
    <row r="1074" s="79" customFormat="1" ht="15" customHeight="1" x14ac:dyDescent="0.25"/>
    <row r="1075" s="79" customFormat="1" ht="15" customHeight="1" x14ac:dyDescent="0.25"/>
    <row r="1076" s="79" customFormat="1" ht="15" customHeight="1" x14ac:dyDescent="0.25"/>
    <row r="1077" s="79" customFormat="1" ht="15" customHeight="1" x14ac:dyDescent="0.25"/>
    <row r="1078" s="79" customFormat="1" ht="15" customHeight="1" x14ac:dyDescent="0.25"/>
    <row r="1079" s="79" customFormat="1" ht="15" customHeight="1" x14ac:dyDescent="0.25"/>
    <row r="1080" s="79" customFormat="1" ht="15" customHeight="1" x14ac:dyDescent="0.25"/>
    <row r="1081" s="79" customFormat="1" ht="15" customHeight="1" x14ac:dyDescent="0.25"/>
    <row r="1082" s="79" customFormat="1" ht="15" customHeight="1" x14ac:dyDescent="0.25"/>
    <row r="1083" s="79" customFormat="1" ht="15" customHeight="1" x14ac:dyDescent="0.25"/>
    <row r="1084" s="79" customFormat="1" ht="15" customHeight="1" x14ac:dyDescent="0.25"/>
    <row r="1085" s="79" customFormat="1" ht="15" customHeight="1" x14ac:dyDescent="0.25"/>
    <row r="1086" s="79" customFormat="1" ht="15" customHeight="1" x14ac:dyDescent="0.25"/>
    <row r="1087" s="79" customFormat="1" ht="15" customHeight="1" x14ac:dyDescent="0.25"/>
    <row r="1088" s="79" customFormat="1" ht="15" customHeight="1" x14ac:dyDescent="0.25"/>
    <row r="1089" s="79" customFormat="1" ht="15" customHeight="1" x14ac:dyDescent="0.25"/>
    <row r="1090" s="79" customFormat="1" ht="15" customHeight="1" x14ac:dyDescent="0.25"/>
    <row r="1091" s="79" customFormat="1" ht="15" customHeight="1" x14ac:dyDescent="0.25"/>
    <row r="1092" s="79" customFormat="1" ht="15" customHeight="1" x14ac:dyDescent="0.25"/>
    <row r="1093" s="79" customFormat="1" ht="15" customHeight="1" x14ac:dyDescent="0.25"/>
    <row r="1094" s="79" customFormat="1" ht="15" customHeight="1" x14ac:dyDescent="0.25"/>
    <row r="1095" s="79" customFormat="1" ht="15" customHeight="1" x14ac:dyDescent="0.25"/>
    <row r="1096" s="79" customFormat="1" ht="15" customHeight="1" x14ac:dyDescent="0.25"/>
    <row r="1097" s="79" customFormat="1" ht="15" customHeight="1" x14ac:dyDescent="0.25"/>
    <row r="1098" s="79" customFormat="1" ht="15" customHeight="1" x14ac:dyDescent="0.25"/>
    <row r="1099" s="79" customFormat="1" ht="15" customHeight="1" x14ac:dyDescent="0.25"/>
    <row r="1100" s="79" customFormat="1" ht="15" customHeight="1" x14ac:dyDescent="0.25"/>
    <row r="1101" s="79" customFormat="1" ht="15" customHeight="1" x14ac:dyDescent="0.25"/>
    <row r="1102" s="79" customFormat="1" ht="15" customHeight="1" x14ac:dyDescent="0.25"/>
    <row r="1103" s="79" customFormat="1" ht="15" customHeight="1" x14ac:dyDescent="0.25"/>
    <row r="1104" s="79" customFormat="1" ht="15" customHeight="1" x14ac:dyDescent="0.25"/>
    <row r="1105" s="79" customFormat="1" ht="15" customHeight="1" x14ac:dyDescent="0.25"/>
    <row r="1106" s="79" customFormat="1" ht="15" customHeight="1" x14ac:dyDescent="0.25"/>
    <row r="1107" s="79" customFormat="1" ht="15" customHeight="1" x14ac:dyDescent="0.25"/>
    <row r="1108" s="79" customFormat="1" ht="15" customHeight="1" x14ac:dyDescent="0.25"/>
    <row r="1109" s="79" customFormat="1" ht="15" customHeight="1" x14ac:dyDescent="0.25"/>
    <row r="1110" s="79" customFormat="1" ht="15" customHeight="1" x14ac:dyDescent="0.25"/>
    <row r="1111" s="79" customFormat="1" ht="15" customHeight="1" x14ac:dyDescent="0.25"/>
    <row r="1112" s="79" customFormat="1" ht="15" customHeight="1" x14ac:dyDescent="0.25"/>
    <row r="1113" s="79" customFormat="1" ht="15" customHeight="1" x14ac:dyDescent="0.25"/>
    <row r="1114" s="79" customFormat="1" ht="15" customHeight="1" x14ac:dyDescent="0.25"/>
    <row r="1115" s="79" customFormat="1" ht="15" customHeight="1" x14ac:dyDescent="0.25"/>
    <row r="1116" s="79" customFormat="1" ht="15" customHeight="1" x14ac:dyDescent="0.25"/>
    <row r="1117" s="79" customFormat="1" ht="15" customHeight="1" x14ac:dyDescent="0.25"/>
    <row r="1118" s="79" customFormat="1" ht="15" customHeight="1" x14ac:dyDescent="0.25"/>
    <row r="1119" s="79" customFormat="1" ht="15" customHeight="1" x14ac:dyDescent="0.25"/>
    <row r="1120" s="79" customFormat="1" ht="15" customHeight="1" x14ac:dyDescent="0.25"/>
    <row r="1121" s="79" customFormat="1" ht="15" customHeight="1" x14ac:dyDescent="0.25"/>
    <row r="1122" s="79" customFormat="1" ht="15" customHeight="1" x14ac:dyDescent="0.25"/>
    <row r="1123" s="79" customFormat="1" ht="15" customHeight="1" x14ac:dyDescent="0.25"/>
    <row r="1124" s="79" customFormat="1" ht="15" customHeight="1" x14ac:dyDescent="0.25"/>
    <row r="1125" s="79" customFormat="1" ht="15" customHeight="1" x14ac:dyDescent="0.25"/>
    <row r="1126" s="79" customFormat="1" ht="15" customHeight="1" x14ac:dyDescent="0.25"/>
    <row r="1127" s="79" customFormat="1" ht="15" customHeight="1" x14ac:dyDescent="0.25"/>
    <row r="1128" s="79" customFormat="1" ht="15" customHeight="1" x14ac:dyDescent="0.25"/>
    <row r="1129" s="79" customFormat="1" ht="15" customHeight="1" x14ac:dyDescent="0.25"/>
    <row r="1130" s="79" customFormat="1" ht="15" customHeight="1" x14ac:dyDescent="0.25"/>
    <row r="1131" s="79" customFormat="1" ht="15" customHeight="1" x14ac:dyDescent="0.25"/>
    <row r="1132" s="79" customFormat="1" ht="15" customHeight="1" x14ac:dyDescent="0.25"/>
    <row r="1133" s="79" customFormat="1" ht="15" customHeight="1" x14ac:dyDescent="0.25"/>
    <row r="1134" s="79" customFormat="1" ht="15" customHeight="1" x14ac:dyDescent="0.25"/>
    <row r="1135" s="79" customFormat="1" ht="15" customHeight="1" x14ac:dyDescent="0.25"/>
    <row r="1136" s="79" customFormat="1" ht="15" customHeight="1" x14ac:dyDescent="0.25"/>
    <row r="1137" s="79" customFormat="1" ht="15" customHeight="1" x14ac:dyDescent="0.25"/>
    <row r="1138" s="79" customFormat="1" ht="15" customHeight="1" x14ac:dyDescent="0.25"/>
    <row r="1139" s="79" customFormat="1" ht="15" customHeight="1" x14ac:dyDescent="0.25"/>
    <row r="1140" s="79" customFormat="1" ht="15" customHeight="1" x14ac:dyDescent="0.25"/>
    <row r="1141" s="79" customFormat="1" ht="15" customHeight="1" x14ac:dyDescent="0.25"/>
    <row r="1142" s="79" customFormat="1" ht="15" customHeight="1" x14ac:dyDescent="0.25"/>
    <row r="1143" s="79" customFormat="1" ht="15" customHeight="1" x14ac:dyDescent="0.25"/>
    <row r="1144" s="79" customFormat="1" ht="15" customHeight="1" x14ac:dyDescent="0.25"/>
    <row r="1145" s="79" customFormat="1" ht="15" customHeight="1" x14ac:dyDescent="0.25"/>
    <row r="1146" s="79" customFormat="1" ht="15" customHeight="1" x14ac:dyDescent="0.25"/>
    <row r="1147" s="79" customFormat="1" ht="15" customHeight="1" x14ac:dyDescent="0.25"/>
    <row r="1148" s="79" customFormat="1" ht="15" customHeight="1" x14ac:dyDescent="0.25"/>
    <row r="1149" s="79" customFormat="1" ht="15" customHeight="1" x14ac:dyDescent="0.25"/>
    <row r="1150" s="79" customFormat="1" ht="15" customHeight="1" x14ac:dyDescent="0.25"/>
    <row r="1151" s="79" customFormat="1" ht="15" customHeight="1" x14ac:dyDescent="0.25"/>
    <row r="1152" s="79" customFormat="1" ht="15" customHeight="1" x14ac:dyDescent="0.25"/>
    <row r="1153" s="79" customFormat="1" ht="15" customHeight="1" x14ac:dyDescent="0.25"/>
    <row r="1154" s="79" customFormat="1" ht="15" customHeight="1" x14ac:dyDescent="0.25"/>
    <row r="1155" s="79" customFormat="1" ht="15" customHeight="1" x14ac:dyDescent="0.25"/>
    <row r="1156" s="79" customFormat="1" ht="15" customHeight="1" x14ac:dyDescent="0.25"/>
    <row r="1157" s="79" customFormat="1" ht="15" customHeight="1" x14ac:dyDescent="0.25"/>
    <row r="1158" s="79" customFormat="1" ht="15" customHeight="1" x14ac:dyDescent="0.25"/>
    <row r="1159" s="79" customFormat="1" ht="15" customHeight="1" x14ac:dyDescent="0.25"/>
    <row r="1160" s="79" customFormat="1" ht="15" customHeight="1" x14ac:dyDescent="0.25"/>
    <row r="1161" s="79" customFormat="1" ht="15" customHeight="1" x14ac:dyDescent="0.25"/>
    <row r="1162" s="79" customFormat="1" ht="15" customHeight="1" x14ac:dyDescent="0.25"/>
    <row r="1163" s="79" customFormat="1" ht="15" customHeight="1" x14ac:dyDescent="0.25"/>
    <row r="1164" s="79" customFormat="1" ht="15" customHeight="1" x14ac:dyDescent="0.25"/>
    <row r="1165" s="79" customFormat="1" ht="15" customHeight="1" x14ac:dyDescent="0.25"/>
    <row r="1166" s="79" customFormat="1" ht="15" customHeight="1" x14ac:dyDescent="0.25"/>
    <row r="1167" s="79" customFormat="1" ht="15" customHeight="1" x14ac:dyDescent="0.25"/>
    <row r="1168" s="79" customFormat="1" ht="15" customHeight="1" x14ac:dyDescent="0.25"/>
    <row r="1169" s="79" customFormat="1" ht="15" customHeight="1" x14ac:dyDescent="0.25"/>
    <row r="1170" s="79" customFormat="1" ht="15" customHeight="1" x14ac:dyDescent="0.25"/>
    <row r="1171" s="79" customFormat="1" ht="15" customHeight="1" x14ac:dyDescent="0.25"/>
    <row r="1172" s="79" customFormat="1" ht="15" customHeight="1" x14ac:dyDescent="0.25"/>
    <row r="1173" s="79" customFormat="1" ht="15" customHeight="1" x14ac:dyDescent="0.25"/>
    <row r="1174" s="79" customFormat="1" ht="15" customHeight="1" x14ac:dyDescent="0.25"/>
    <row r="1175" s="79" customFormat="1" ht="15" customHeight="1" x14ac:dyDescent="0.25"/>
    <row r="1176" s="79" customFormat="1" ht="15" customHeight="1" x14ac:dyDescent="0.25"/>
    <row r="1177" s="79" customFormat="1" ht="15" customHeight="1" x14ac:dyDescent="0.25"/>
    <row r="1178" s="79" customFormat="1" ht="15" customHeight="1" x14ac:dyDescent="0.25"/>
    <row r="1179" s="79" customFormat="1" ht="15" customHeight="1" x14ac:dyDescent="0.25"/>
    <row r="1180" s="79" customFormat="1" ht="15" customHeight="1" x14ac:dyDescent="0.25"/>
    <row r="1181" s="79" customFormat="1" ht="15" customHeight="1" x14ac:dyDescent="0.25"/>
    <row r="1182" s="79" customFormat="1" ht="15" customHeight="1" x14ac:dyDescent="0.25"/>
    <row r="1183" s="79" customFormat="1" ht="15" customHeight="1" x14ac:dyDescent="0.25"/>
    <row r="1184" s="79" customFormat="1" ht="15" customHeight="1" x14ac:dyDescent="0.25"/>
    <row r="1185" s="79" customFormat="1" ht="15" customHeight="1" x14ac:dyDescent="0.25"/>
    <row r="1186" s="79" customFormat="1" ht="15" customHeight="1" x14ac:dyDescent="0.25"/>
    <row r="1187" s="79" customFormat="1" ht="15" customHeight="1" x14ac:dyDescent="0.25"/>
    <row r="1188" s="79" customFormat="1" ht="15" customHeight="1" x14ac:dyDescent="0.25"/>
    <row r="1189" s="79" customFormat="1" ht="15" customHeight="1" x14ac:dyDescent="0.25"/>
    <row r="1190" s="79" customFormat="1" ht="15" customHeight="1" x14ac:dyDescent="0.25"/>
    <row r="1191" s="79" customFormat="1" ht="15" customHeight="1" x14ac:dyDescent="0.25"/>
    <row r="1192" s="79" customFormat="1" ht="15" customHeight="1" x14ac:dyDescent="0.25"/>
    <row r="1193" s="79" customFormat="1" ht="15" customHeight="1" x14ac:dyDescent="0.25"/>
    <row r="1194" s="79" customFormat="1" ht="15" customHeight="1" x14ac:dyDescent="0.25"/>
    <row r="1195" s="79" customFormat="1" ht="15" customHeight="1" x14ac:dyDescent="0.25"/>
    <row r="1196" s="79" customFormat="1" ht="15" customHeight="1" x14ac:dyDescent="0.25"/>
    <row r="1197" s="79" customFormat="1" ht="15" customHeight="1" x14ac:dyDescent="0.25"/>
    <row r="1198" s="79" customFormat="1" ht="15" customHeight="1" x14ac:dyDescent="0.25"/>
    <row r="1199" s="79" customFormat="1" ht="15" customHeight="1" x14ac:dyDescent="0.25"/>
    <row r="1200" s="79" customFormat="1" ht="15" customHeight="1" x14ac:dyDescent="0.25"/>
    <row r="1201" s="79" customFormat="1" ht="15" customHeight="1" x14ac:dyDescent="0.25"/>
    <row r="1202" s="79" customFormat="1" ht="15" customHeight="1" x14ac:dyDescent="0.25"/>
    <row r="1203" s="79" customFormat="1" ht="15" customHeight="1" x14ac:dyDescent="0.25"/>
    <row r="1204" s="79" customFormat="1" ht="15" customHeight="1" x14ac:dyDescent="0.25"/>
    <row r="1205" s="79" customFormat="1" ht="15" customHeight="1" x14ac:dyDescent="0.25"/>
    <row r="1206" s="79" customFormat="1" ht="15" customHeight="1" x14ac:dyDescent="0.25"/>
    <row r="1207" s="79" customFormat="1" ht="15" customHeight="1" x14ac:dyDescent="0.25"/>
    <row r="1208" s="79" customFormat="1" ht="15" customHeight="1" x14ac:dyDescent="0.25"/>
    <row r="1209" s="79" customFormat="1" ht="15" customHeight="1" x14ac:dyDescent="0.25"/>
    <row r="1210" s="79" customFormat="1" ht="15" customHeight="1" x14ac:dyDescent="0.25"/>
    <row r="1211" s="79" customFormat="1" ht="15" customHeight="1" x14ac:dyDescent="0.25"/>
    <row r="1212" s="79" customFormat="1" ht="15" customHeight="1" x14ac:dyDescent="0.25"/>
    <row r="1213" s="79" customFormat="1" ht="15" customHeight="1" x14ac:dyDescent="0.25"/>
    <row r="1214" s="79" customFormat="1" ht="15" customHeight="1" x14ac:dyDescent="0.25"/>
    <row r="1215" s="79" customFormat="1" ht="15" customHeight="1" x14ac:dyDescent="0.25"/>
    <row r="1216" s="79" customFormat="1" ht="15" customHeight="1" x14ac:dyDescent="0.25"/>
    <row r="1217" s="79" customFormat="1" ht="15" customHeight="1" x14ac:dyDescent="0.25"/>
    <row r="1218" s="79" customFormat="1" ht="15" customHeight="1" x14ac:dyDescent="0.25"/>
    <row r="1219" s="79" customFormat="1" ht="15" customHeight="1" x14ac:dyDescent="0.25"/>
    <row r="1220" s="79" customFormat="1" ht="15" customHeight="1" x14ac:dyDescent="0.25"/>
    <row r="1221" s="79" customFormat="1" ht="15" customHeight="1" x14ac:dyDescent="0.25"/>
    <row r="1222" s="79" customFormat="1" ht="15" customHeight="1" x14ac:dyDescent="0.25"/>
    <row r="1223" s="79" customFormat="1" ht="15" customHeight="1" x14ac:dyDescent="0.25"/>
    <row r="1224" s="79" customFormat="1" ht="15" customHeight="1" x14ac:dyDescent="0.25"/>
    <row r="1225" s="79" customFormat="1" ht="15" customHeight="1" x14ac:dyDescent="0.25"/>
    <row r="1226" s="79" customFormat="1" ht="15" customHeight="1" x14ac:dyDescent="0.25"/>
    <row r="1227" s="79" customFormat="1" ht="15" customHeight="1" x14ac:dyDescent="0.25"/>
    <row r="1228" s="79" customFormat="1" ht="15" customHeight="1" x14ac:dyDescent="0.25"/>
    <row r="1229" s="79" customFormat="1" ht="15" customHeight="1" x14ac:dyDescent="0.25"/>
    <row r="1230" s="79" customFormat="1" ht="15" customHeight="1" x14ac:dyDescent="0.25"/>
    <row r="1231" s="79" customFormat="1" ht="15" customHeight="1" x14ac:dyDescent="0.25"/>
    <row r="1232" s="79" customFormat="1" ht="15" customHeight="1" x14ac:dyDescent="0.25"/>
    <row r="1233" s="79" customFormat="1" ht="15" customHeight="1" x14ac:dyDescent="0.25"/>
    <row r="1234" s="79" customFormat="1" ht="15" customHeight="1" x14ac:dyDescent="0.25"/>
    <row r="1235" s="79" customFormat="1" ht="15" customHeight="1" x14ac:dyDescent="0.25"/>
    <row r="1236" s="79" customFormat="1" ht="15" customHeight="1" x14ac:dyDescent="0.25"/>
    <row r="1237" s="79" customFormat="1" ht="15" customHeight="1" x14ac:dyDescent="0.25"/>
    <row r="1238" s="79" customFormat="1" ht="15" customHeight="1" x14ac:dyDescent="0.25"/>
    <row r="1239" s="79" customFormat="1" ht="15" customHeight="1" x14ac:dyDescent="0.25"/>
    <row r="1240" s="79" customFormat="1" ht="15" customHeight="1" x14ac:dyDescent="0.25"/>
    <row r="1241" s="79" customFormat="1" ht="15" customHeight="1" x14ac:dyDescent="0.25"/>
    <row r="1242" s="79" customFormat="1" ht="15" customHeight="1" x14ac:dyDescent="0.25"/>
    <row r="1243" s="79" customFormat="1" ht="15" customHeight="1" x14ac:dyDescent="0.25"/>
    <row r="1244" s="79" customFormat="1" ht="15" customHeight="1" x14ac:dyDescent="0.25"/>
    <row r="1245" s="79" customFormat="1" ht="15" customHeight="1" x14ac:dyDescent="0.25"/>
    <row r="1246" s="79" customFormat="1" ht="15" customHeight="1" x14ac:dyDescent="0.25"/>
    <row r="1247" s="79" customFormat="1" ht="15" customHeight="1" x14ac:dyDescent="0.25"/>
    <row r="1248" s="79" customFormat="1" ht="15" customHeight="1" x14ac:dyDescent="0.25"/>
    <row r="1249" s="79" customFormat="1" ht="15" customHeight="1" x14ac:dyDescent="0.25"/>
    <row r="1250" s="79" customFormat="1" ht="15" customHeight="1" x14ac:dyDescent="0.25"/>
    <row r="1251" s="79" customFormat="1" ht="15" customHeight="1" x14ac:dyDescent="0.25"/>
    <row r="1252" s="79" customFormat="1" ht="15" customHeight="1" x14ac:dyDescent="0.25"/>
    <row r="1253" s="79" customFormat="1" ht="15" customHeight="1" x14ac:dyDescent="0.25"/>
    <row r="1254" s="79" customFormat="1" ht="15" customHeight="1" x14ac:dyDescent="0.25"/>
    <row r="1255" s="79" customFormat="1" ht="15" customHeight="1" x14ac:dyDescent="0.25"/>
    <row r="1256" s="79" customFormat="1" ht="15" customHeight="1" x14ac:dyDescent="0.25"/>
    <row r="1257" s="79" customFormat="1" ht="15" customHeight="1" x14ac:dyDescent="0.25"/>
    <row r="1258" s="79" customFormat="1" ht="15" customHeight="1" x14ac:dyDescent="0.25"/>
    <row r="1259" s="79" customFormat="1" ht="15" customHeight="1" x14ac:dyDescent="0.25"/>
    <row r="1260" s="79" customFormat="1" ht="15" customHeight="1" x14ac:dyDescent="0.25"/>
    <row r="1261" s="79" customFormat="1" ht="15" customHeight="1" x14ac:dyDescent="0.25"/>
    <row r="1262" s="79" customFormat="1" ht="15" customHeight="1" x14ac:dyDescent="0.25"/>
    <row r="1263" s="79" customFormat="1" ht="15" customHeight="1" x14ac:dyDescent="0.25"/>
    <row r="1264" s="79" customFormat="1" ht="15" customHeight="1" x14ac:dyDescent="0.25"/>
    <row r="1265" s="79" customFormat="1" ht="15" customHeight="1" x14ac:dyDescent="0.25"/>
    <row r="1266" s="79" customFormat="1" ht="15" customHeight="1" x14ac:dyDescent="0.25"/>
    <row r="1267" s="79" customFormat="1" ht="15" customHeight="1" x14ac:dyDescent="0.25"/>
    <row r="1268" s="79" customFormat="1" ht="15" customHeight="1" x14ac:dyDescent="0.25"/>
    <row r="1269" s="79" customFormat="1" ht="15" customHeight="1" x14ac:dyDescent="0.25"/>
    <row r="1270" s="79" customFormat="1" ht="15" customHeight="1" x14ac:dyDescent="0.25"/>
    <row r="1271" s="79" customFormat="1" ht="15" customHeight="1" x14ac:dyDescent="0.25"/>
    <row r="1272" s="79" customFormat="1" ht="15" customHeight="1" x14ac:dyDescent="0.25"/>
    <row r="1273" s="79" customFormat="1" ht="15" customHeight="1" x14ac:dyDescent="0.25"/>
    <row r="1274" s="79" customFormat="1" ht="15" customHeight="1" x14ac:dyDescent="0.25"/>
    <row r="1275" s="79" customFormat="1" ht="15" customHeight="1" x14ac:dyDescent="0.25"/>
    <row r="1276" s="79" customFormat="1" ht="15" customHeight="1" x14ac:dyDescent="0.25"/>
    <row r="1277" s="79" customFormat="1" ht="15" customHeight="1" x14ac:dyDescent="0.25"/>
    <row r="1278" s="79" customFormat="1" ht="15" customHeight="1" x14ac:dyDescent="0.25"/>
    <row r="1279" s="79" customFormat="1" ht="15" customHeight="1" x14ac:dyDescent="0.25"/>
    <row r="1280" s="79" customFormat="1" ht="15" customHeight="1" x14ac:dyDescent="0.25"/>
    <row r="1281" s="79" customFormat="1" ht="15" customHeight="1" x14ac:dyDescent="0.25"/>
    <row r="1282" s="79" customFormat="1" ht="15" customHeight="1" x14ac:dyDescent="0.25"/>
    <row r="1283" s="79" customFormat="1" ht="15" customHeight="1" x14ac:dyDescent="0.25"/>
    <row r="1284" s="79" customFormat="1" ht="15" customHeight="1" x14ac:dyDescent="0.25"/>
    <row r="1285" s="79" customFormat="1" ht="15" customHeight="1" x14ac:dyDescent="0.25"/>
    <row r="1286" s="79" customFormat="1" ht="15" customHeight="1" x14ac:dyDescent="0.25"/>
    <row r="1287" s="79" customFormat="1" ht="15" customHeight="1" x14ac:dyDescent="0.25"/>
    <row r="1288" s="79" customFormat="1" ht="15" customHeight="1" x14ac:dyDescent="0.25"/>
    <row r="1289" s="79" customFormat="1" ht="15" customHeight="1" x14ac:dyDescent="0.25"/>
    <row r="1290" s="79" customFormat="1" ht="15" customHeight="1" x14ac:dyDescent="0.25"/>
    <row r="1291" s="79" customFormat="1" ht="15" customHeight="1" x14ac:dyDescent="0.25"/>
    <row r="1292" s="79" customFormat="1" ht="15" customHeight="1" x14ac:dyDescent="0.25"/>
    <row r="1293" s="79" customFormat="1" ht="15" customHeight="1" x14ac:dyDescent="0.25"/>
    <row r="1294" s="79" customFormat="1" ht="15" customHeight="1" x14ac:dyDescent="0.25"/>
    <row r="1295" s="79" customFormat="1" ht="15" customHeight="1" x14ac:dyDescent="0.25"/>
    <row r="1296" s="79" customFormat="1" ht="15" customHeight="1" x14ac:dyDescent="0.25"/>
    <row r="1297" s="79" customFormat="1" ht="15" customHeight="1" x14ac:dyDescent="0.25"/>
    <row r="1298" s="79" customFormat="1" ht="15" customHeight="1" x14ac:dyDescent="0.25"/>
    <row r="1299" s="79" customFormat="1" ht="15" customHeight="1" x14ac:dyDescent="0.25"/>
    <row r="1300" s="79" customFormat="1" ht="15" customHeight="1" x14ac:dyDescent="0.25"/>
    <row r="1301" s="79" customFormat="1" ht="15" customHeight="1" x14ac:dyDescent="0.25"/>
    <row r="1302" s="79" customFormat="1" ht="15" customHeight="1" x14ac:dyDescent="0.25"/>
    <row r="1303" s="79" customFormat="1" ht="15" customHeight="1" x14ac:dyDescent="0.25"/>
    <row r="1304" s="79" customFormat="1" ht="15" customHeight="1" x14ac:dyDescent="0.25"/>
    <row r="1305" s="79" customFormat="1" ht="15" customHeight="1" x14ac:dyDescent="0.25"/>
    <row r="1306" s="79" customFormat="1" ht="15" customHeight="1" x14ac:dyDescent="0.25"/>
    <row r="1307" s="79" customFormat="1" ht="15" customHeight="1" x14ac:dyDescent="0.25"/>
    <row r="1308" s="79" customFormat="1" ht="15" customHeight="1" x14ac:dyDescent="0.25"/>
    <row r="1309" s="79" customFormat="1" ht="15" customHeight="1" x14ac:dyDescent="0.25"/>
    <row r="1310" s="79" customFormat="1" ht="15" customHeight="1" x14ac:dyDescent="0.25"/>
    <row r="1311" s="79" customFormat="1" ht="15" customHeight="1" x14ac:dyDescent="0.25"/>
    <row r="1312" s="79" customFormat="1" ht="15" customHeight="1" x14ac:dyDescent="0.25"/>
    <row r="1313" s="79" customFormat="1" ht="15" customHeight="1" x14ac:dyDescent="0.25"/>
    <row r="1314" s="79" customFormat="1" ht="15" customHeight="1" x14ac:dyDescent="0.25"/>
    <row r="1315" s="79" customFormat="1" ht="15" customHeight="1" x14ac:dyDescent="0.25"/>
    <row r="1316" s="79" customFormat="1" ht="15" customHeight="1" x14ac:dyDescent="0.25"/>
    <row r="1317" s="79" customFormat="1" ht="15" customHeight="1" x14ac:dyDescent="0.25"/>
    <row r="1318" s="79" customFormat="1" ht="15" customHeight="1" x14ac:dyDescent="0.25"/>
    <row r="1319" s="79" customFormat="1" ht="15" customHeight="1" x14ac:dyDescent="0.25"/>
    <row r="1320" s="79" customFormat="1" ht="15" customHeight="1" x14ac:dyDescent="0.25"/>
    <row r="1321" s="79" customFormat="1" ht="15" customHeight="1" x14ac:dyDescent="0.25"/>
    <row r="1322" s="79" customFormat="1" ht="15" customHeight="1" x14ac:dyDescent="0.25"/>
    <row r="1323" s="79" customFormat="1" ht="15" customHeight="1" x14ac:dyDescent="0.25"/>
    <row r="1324" s="79" customFormat="1" ht="15" customHeight="1" x14ac:dyDescent="0.25"/>
    <row r="1325" s="79" customFormat="1" ht="15" customHeight="1" x14ac:dyDescent="0.25"/>
    <row r="1326" s="79" customFormat="1" ht="15" customHeight="1" x14ac:dyDescent="0.25"/>
    <row r="1327" s="79" customFormat="1" ht="15" customHeight="1" x14ac:dyDescent="0.25"/>
    <row r="1328" s="79" customFormat="1" ht="15" customHeight="1" x14ac:dyDescent="0.25"/>
    <row r="1329" s="79" customFormat="1" ht="15" customHeight="1" x14ac:dyDescent="0.25"/>
    <row r="1330" s="79" customFormat="1" ht="15" customHeight="1" x14ac:dyDescent="0.25"/>
    <row r="1331" s="79" customFormat="1" ht="15" customHeight="1" x14ac:dyDescent="0.25"/>
    <row r="1332" s="79" customFormat="1" ht="15" customHeight="1" x14ac:dyDescent="0.25"/>
    <row r="1333" s="79" customFormat="1" ht="15" customHeight="1" x14ac:dyDescent="0.25"/>
    <row r="1334" s="79" customFormat="1" ht="15" customHeight="1" x14ac:dyDescent="0.25"/>
    <row r="1335" s="79" customFormat="1" ht="15" customHeight="1" x14ac:dyDescent="0.25"/>
    <row r="1336" s="79" customFormat="1" ht="15" customHeight="1" x14ac:dyDescent="0.25"/>
    <row r="1337" s="79" customFormat="1" ht="15" customHeight="1" x14ac:dyDescent="0.25"/>
    <row r="1338" s="79" customFormat="1" ht="15" customHeight="1" x14ac:dyDescent="0.25"/>
    <row r="1339" s="79" customFormat="1" ht="15" customHeight="1" x14ac:dyDescent="0.25"/>
    <row r="1340" s="79" customFormat="1" ht="15" customHeight="1" x14ac:dyDescent="0.25"/>
    <row r="1341" s="79" customFormat="1" ht="15" customHeight="1" x14ac:dyDescent="0.25"/>
    <row r="1342" s="79" customFormat="1" ht="15" customHeight="1" x14ac:dyDescent="0.25"/>
    <row r="1343" s="79" customFormat="1" ht="15" customHeight="1" x14ac:dyDescent="0.25"/>
    <row r="1344" s="79" customFormat="1" ht="15" customHeight="1" x14ac:dyDescent="0.25"/>
    <row r="1345" s="79" customFormat="1" ht="15" customHeight="1" x14ac:dyDescent="0.25"/>
    <row r="1346" s="79" customFormat="1" ht="15" customHeight="1" x14ac:dyDescent="0.25"/>
    <row r="1347" s="79" customFormat="1" ht="15" customHeight="1" x14ac:dyDescent="0.25"/>
    <row r="1348" s="79" customFormat="1" ht="15" customHeight="1" x14ac:dyDescent="0.25"/>
    <row r="1349" s="79" customFormat="1" ht="15" customHeight="1" x14ac:dyDescent="0.25"/>
    <row r="1350" s="79" customFormat="1" ht="15" customHeight="1" x14ac:dyDescent="0.25"/>
    <row r="1351" s="79" customFormat="1" ht="15" customHeight="1" x14ac:dyDescent="0.25"/>
    <row r="1352" s="79" customFormat="1" ht="15" customHeight="1" x14ac:dyDescent="0.25"/>
    <row r="1353" s="79" customFormat="1" ht="15" customHeight="1" x14ac:dyDescent="0.25"/>
    <row r="1354" s="79" customFormat="1" ht="15" customHeight="1" x14ac:dyDescent="0.25"/>
    <row r="1355" s="79" customFormat="1" ht="15" customHeight="1" x14ac:dyDescent="0.25"/>
    <row r="1356" s="79" customFormat="1" ht="15" customHeight="1" x14ac:dyDescent="0.25"/>
    <row r="1357" s="79" customFormat="1" ht="15" customHeight="1" x14ac:dyDescent="0.25"/>
    <row r="1358" s="79" customFormat="1" ht="15" customHeight="1" x14ac:dyDescent="0.25"/>
    <row r="1359" s="79" customFormat="1" ht="15" customHeight="1" x14ac:dyDescent="0.25"/>
    <row r="1360" s="79" customFormat="1" ht="15" customHeight="1" x14ac:dyDescent="0.25"/>
    <row r="1361" s="79" customFormat="1" ht="15" customHeight="1" x14ac:dyDescent="0.25"/>
    <row r="1362" s="79" customFormat="1" ht="15" customHeight="1" x14ac:dyDescent="0.25"/>
    <row r="1363" s="79" customFormat="1" ht="15" customHeight="1" x14ac:dyDescent="0.25"/>
    <row r="1364" s="79" customFormat="1" ht="15" customHeight="1" x14ac:dyDescent="0.25"/>
    <row r="1365" s="79" customFormat="1" ht="15" customHeight="1" x14ac:dyDescent="0.25"/>
    <row r="1366" s="79" customFormat="1" ht="15" customHeight="1" x14ac:dyDescent="0.25"/>
    <row r="1367" s="79" customFormat="1" ht="15" customHeight="1" x14ac:dyDescent="0.25"/>
    <row r="1368" s="79" customFormat="1" ht="15" customHeight="1" x14ac:dyDescent="0.25"/>
    <row r="1369" s="79" customFormat="1" ht="15" customHeight="1" x14ac:dyDescent="0.25"/>
    <row r="1370" s="79" customFormat="1" ht="15" customHeight="1" x14ac:dyDescent="0.25"/>
    <row r="1371" s="79" customFormat="1" ht="15" customHeight="1" x14ac:dyDescent="0.25"/>
    <row r="1372" s="79" customFormat="1" ht="15" customHeight="1" x14ac:dyDescent="0.25"/>
    <row r="1373" s="79" customFormat="1" ht="15" customHeight="1" x14ac:dyDescent="0.25"/>
    <row r="1374" s="79" customFormat="1" ht="15" customHeight="1" x14ac:dyDescent="0.25"/>
    <row r="1375" s="79" customFormat="1" ht="15" customHeight="1" x14ac:dyDescent="0.25"/>
    <row r="1376" s="79" customFormat="1" ht="15" customHeight="1" x14ac:dyDescent="0.25"/>
    <row r="1377" s="79" customFormat="1" ht="15" customHeight="1" x14ac:dyDescent="0.25"/>
    <row r="1378" s="79" customFormat="1" ht="15" customHeight="1" x14ac:dyDescent="0.25"/>
    <row r="1379" s="79" customFormat="1" ht="15" customHeight="1" x14ac:dyDescent="0.25"/>
    <row r="1380" s="79" customFormat="1" ht="15" customHeight="1" x14ac:dyDescent="0.25"/>
    <row r="1381" s="79" customFormat="1" ht="15" customHeight="1" x14ac:dyDescent="0.25"/>
    <row r="1382" s="79" customFormat="1" ht="15" customHeight="1" x14ac:dyDescent="0.25"/>
    <row r="1383" s="79" customFormat="1" ht="15" customHeight="1" x14ac:dyDescent="0.25"/>
    <row r="1384" s="79" customFormat="1" ht="15" customHeight="1" x14ac:dyDescent="0.25"/>
    <row r="1385" s="79" customFormat="1" ht="15" customHeight="1" x14ac:dyDescent="0.25"/>
    <row r="1386" s="79" customFormat="1" ht="15" customHeight="1" x14ac:dyDescent="0.25"/>
    <row r="1387" s="79" customFormat="1" ht="15" customHeight="1" x14ac:dyDescent="0.25"/>
    <row r="1388" s="79" customFormat="1" ht="15" customHeight="1" x14ac:dyDescent="0.25"/>
    <row r="1389" s="79" customFormat="1" ht="15" customHeight="1" x14ac:dyDescent="0.25"/>
    <row r="1390" s="79" customFormat="1" ht="15" customHeight="1" x14ac:dyDescent="0.25"/>
    <row r="1391" s="79" customFormat="1" ht="15" customHeight="1" x14ac:dyDescent="0.25"/>
    <row r="1392" s="79" customFormat="1" ht="15" customHeight="1" x14ac:dyDescent="0.25"/>
    <row r="1393" s="79" customFormat="1" ht="15" customHeight="1" x14ac:dyDescent="0.25"/>
    <row r="1394" s="79" customFormat="1" ht="15" customHeight="1" x14ac:dyDescent="0.25"/>
    <row r="1395" s="79" customFormat="1" ht="15" customHeight="1" x14ac:dyDescent="0.25"/>
    <row r="1396" s="79" customFormat="1" ht="15" customHeight="1" x14ac:dyDescent="0.25"/>
    <row r="1397" s="79" customFormat="1" ht="15" customHeight="1" x14ac:dyDescent="0.25"/>
    <row r="1398" s="79" customFormat="1" ht="15" customHeight="1" x14ac:dyDescent="0.25"/>
    <row r="1399" s="79" customFormat="1" ht="15" customHeight="1" x14ac:dyDescent="0.25"/>
    <row r="1400" s="79" customFormat="1" ht="15" customHeight="1" x14ac:dyDescent="0.25"/>
    <row r="1401" s="79" customFormat="1" ht="15" customHeight="1" x14ac:dyDescent="0.25"/>
    <row r="1402" s="79" customFormat="1" ht="15" customHeight="1" x14ac:dyDescent="0.25"/>
    <row r="1403" s="79" customFormat="1" ht="15" customHeight="1" x14ac:dyDescent="0.25"/>
    <row r="1404" s="79" customFormat="1" ht="15" customHeight="1" x14ac:dyDescent="0.25"/>
    <row r="1405" s="79" customFormat="1" ht="15" customHeight="1" x14ac:dyDescent="0.25"/>
    <row r="1406" s="79" customFormat="1" ht="15" customHeight="1" x14ac:dyDescent="0.25"/>
    <row r="1407" s="79" customFormat="1" ht="15" customHeight="1" x14ac:dyDescent="0.25"/>
    <row r="1408" s="79" customFormat="1" ht="15" customHeight="1" x14ac:dyDescent="0.25"/>
    <row r="1409" s="79" customFormat="1" ht="15" customHeight="1" x14ac:dyDescent="0.25"/>
    <row r="1410" s="79" customFormat="1" ht="15" customHeight="1" x14ac:dyDescent="0.25"/>
    <row r="1411" s="79" customFormat="1" ht="15" customHeight="1" x14ac:dyDescent="0.25"/>
    <row r="1412" s="79" customFormat="1" ht="15" customHeight="1" x14ac:dyDescent="0.25"/>
    <row r="1413" s="79" customFormat="1" ht="15" customHeight="1" x14ac:dyDescent="0.25"/>
    <row r="1414" s="79" customFormat="1" ht="15" customHeight="1" x14ac:dyDescent="0.25"/>
    <row r="1415" s="79" customFormat="1" ht="15" customHeight="1" x14ac:dyDescent="0.25"/>
    <row r="1416" s="79" customFormat="1" ht="15" customHeight="1" x14ac:dyDescent="0.25"/>
    <row r="1417" s="79" customFormat="1" ht="15" customHeight="1" x14ac:dyDescent="0.25"/>
    <row r="1418" s="79" customFormat="1" ht="15" customHeight="1" x14ac:dyDescent="0.25"/>
    <row r="1419" s="79" customFormat="1" ht="15" customHeight="1" x14ac:dyDescent="0.25"/>
    <row r="1420" s="79" customFormat="1" ht="15" customHeight="1" x14ac:dyDescent="0.25"/>
    <row r="1421" s="79" customFormat="1" ht="15" customHeight="1" x14ac:dyDescent="0.25"/>
    <row r="1422" s="79" customFormat="1" ht="15" customHeight="1" x14ac:dyDescent="0.25"/>
    <row r="1423" s="79" customFormat="1" ht="15" customHeight="1" x14ac:dyDescent="0.25"/>
    <row r="1424" s="79" customFormat="1" ht="15" customHeight="1" x14ac:dyDescent="0.25"/>
    <row r="1425" s="79" customFormat="1" ht="15" customHeight="1" x14ac:dyDescent="0.25"/>
    <row r="1426" s="79" customFormat="1" ht="15" customHeight="1" x14ac:dyDescent="0.25"/>
    <row r="1427" s="79" customFormat="1" ht="15" customHeight="1" x14ac:dyDescent="0.25"/>
    <row r="1428" s="79" customFormat="1" ht="15" customHeight="1" x14ac:dyDescent="0.25"/>
    <row r="1429" s="79" customFormat="1" ht="15" customHeight="1" x14ac:dyDescent="0.25"/>
    <row r="1430" s="79" customFormat="1" ht="15" customHeight="1" x14ac:dyDescent="0.25"/>
    <row r="1431" s="79" customFormat="1" ht="15" customHeight="1" x14ac:dyDescent="0.25"/>
    <row r="1432" s="79" customFormat="1" ht="15" customHeight="1" x14ac:dyDescent="0.25"/>
    <row r="1433" s="79" customFormat="1" ht="15" customHeight="1" x14ac:dyDescent="0.25"/>
    <row r="1434" s="79" customFormat="1" ht="15" customHeight="1" x14ac:dyDescent="0.25"/>
    <row r="1435" s="79" customFormat="1" ht="15" customHeight="1" x14ac:dyDescent="0.25"/>
    <row r="1436" s="79" customFormat="1" ht="15" customHeight="1" x14ac:dyDescent="0.25"/>
    <row r="1437" s="79" customFormat="1" ht="15" customHeight="1" x14ac:dyDescent="0.25"/>
    <row r="1438" s="79" customFormat="1" ht="15" customHeight="1" x14ac:dyDescent="0.25"/>
    <row r="1439" s="79" customFormat="1" ht="15" customHeight="1" x14ac:dyDescent="0.25"/>
    <row r="1440" s="79" customFormat="1" ht="15" customHeight="1" x14ac:dyDescent="0.25"/>
    <row r="1441" s="79" customFormat="1" ht="15" customHeight="1" x14ac:dyDescent="0.25"/>
    <row r="1442" s="79" customFormat="1" ht="15" customHeight="1" x14ac:dyDescent="0.25"/>
    <row r="1443" s="79" customFormat="1" ht="15" customHeight="1" x14ac:dyDescent="0.25"/>
    <row r="1444" s="79" customFormat="1" ht="15" customHeight="1" x14ac:dyDescent="0.25"/>
    <row r="1445" s="79" customFormat="1" ht="15" customHeight="1" x14ac:dyDescent="0.25"/>
    <row r="1446" s="79" customFormat="1" ht="15" customHeight="1" x14ac:dyDescent="0.25"/>
    <row r="1447" s="79" customFormat="1" ht="15" customHeight="1" x14ac:dyDescent="0.25"/>
    <row r="1448" s="79" customFormat="1" ht="15" customHeight="1" x14ac:dyDescent="0.25"/>
    <row r="1449" s="79" customFormat="1" ht="15" customHeight="1" x14ac:dyDescent="0.25"/>
    <row r="1450" s="79" customFormat="1" ht="15" customHeight="1" x14ac:dyDescent="0.25"/>
    <row r="1451" s="79" customFormat="1" ht="15" customHeight="1" x14ac:dyDescent="0.25"/>
    <row r="1452" s="79" customFormat="1" ht="15" customHeight="1" x14ac:dyDescent="0.25"/>
    <row r="1453" s="79" customFormat="1" ht="15" customHeight="1" x14ac:dyDescent="0.25"/>
    <row r="1454" s="79" customFormat="1" ht="15" customHeight="1" x14ac:dyDescent="0.25"/>
    <row r="1455" s="79" customFormat="1" ht="15" customHeight="1" x14ac:dyDescent="0.25"/>
    <row r="1456" s="79" customFormat="1" ht="15" customHeight="1" x14ac:dyDescent="0.25"/>
    <row r="1457" s="79" customFormat="1" ht="15" customHeight="1" x14ac:dyDescent="0.25"/>
    <row r="1458" s="79" customFormat="1" ht="15" customHeight="1" x14ac:dyDescent="0.25"/>
    <row r="1459" s="79" customFormat="1" ht="15" customHeight="1" x14ac:dyDescent="0.25"/>
    <row r="1460" s="79" customFormat="1" ht="15" customHeight="1" x14ac:dyDescent="0.25"/>
    <row r="1461" s="79" customFormat="1" ht="15" customHeight="1" x14ac:dyDescent="0.25"/>
    <row r="1462" s="79" customFormat="1" ht="15" customHeight="1" x14ac:dyDescent="0.25"/>
    <row r="1463" s="79" customFormat="1" ht="15" customHeight="1" x14ac:dyDescent="0.25"/>
    <row r="1464" s="79" customFormat="1" ht="15" customHeight="1" x14ac:dyDescent="0.25"/>
    <row r="1465" s="79" customFormat="1" ht="15" customHeight="1" x14ac:dyDescent="0.25"/>
    <row r="1466" s="79" customFormat="1" ht="15" customHeight="1" x14ac:dyDescent="0.25"/>
    <row r="1467" s="79" customFormat="1" ht="15" customHeight="1" x14ac:dyDescent="0.25"/>
    <row r="1468" s="79" customFormat="1" ht="15" customHeight="1" x14ac:dyDescent="0.25"/>
    <row r="1469" s="79" customFormat="1" ht="15" customHeight="1" x14ac:dyDescent="0.25"/>
    <row r="1470" s="79" customFormat="1" ht="15" customHeight="1" x14ac:dyDescent="0.25"/>
    <row r="1471" s="79" customFormat="1" ht="15" customHeight="1" x14ac:dyDescent="0.25"/>
    <row r="1472" s="79" customFormat="1" ht="15" customHeight="1" x14ac:dyDescent="0.25"/>
    <row r="1473" s="79" customFormat="1" ht="15" customHeight="1" x14ac:dyDescent="0.25"/>
    <row r="1474" s="79" customFormat="1" ht="15" customHeight="1" x14ac:dyDescent="0.25"/>
    <row r="1475" s="79" customFormat="1" ht="15" customHeight="1" x14ac:dyDescent="0.25"/>
    <row r="1476" s="79" customFormat="1" ht="15" customHeight="1" x14ac:dyDescent="0.25"/>
    <row r="1477" s="79" customFormat="1" ht="15" customHeight="1" x14ac:dyDescent="0.25"/>
    <row r="1478" s="79" customFormat="1" ht="15" customHeight="1" x14ac:dyDescent="0.25"/>
    <row r="1479" s="79" customFormat="1" ht="15" customHeight="1" x14ac:dyDescent="0.25"/>
    <row r="1480" s="79" customFormat="1" ht="15" customHeight="1" x14ac:dyDescent="0.25"/>
    <row r="1481" s="79" customFormat="1" ht="15" customHeight="1" x14ac:dyDescent="0.25"/>
    <row r="1482" s="79" customFormat="1" ht="15" customHeight="1" x14ac:dyDescent="0.25"/>
    <row r="1483" s="79" customFormat="1" ht="15" customHeight="1" x14ac:dyDescent="0.25"/>
    <row r="1484" s="79" customFormat="1" ht="15" customHeight="1" x14ac:dyDescent="0.25"/>
    <row r="1485" s="79" customFormat="1" ht="15" customHeight="1" x14ac:dyDescent="0.25"/>
    <row r="1486" s="79" customFormat="1" ht="15" customHeight="1" x14ac:dyDescent="0.25"/>
    <row r="1487" s="79" customFormat="1" ht="15" customHeight="1" x14ac:dyDescent="0.25"/>
    <row r="1488" s="79" customFormat="1" ht="15" customHeight="1" x14ac:dyDescent="0.25"/>
    <row r="1489" s="79" customFormat="1" ht="15" customHeight="1" x14ac:dyDescent="0.25"/>
    <row r="1490" s="79" customFormat="1" ht="15" customHeight="1" x14ac:dyDescent="0.25"/>
    <row r="1491" s="79" customFormat="1" ht="15" customHeight="1" x14ac:dyDescent="0.25"/>
    <row r="1492" s="79" customFormat="1" ht="15" customHeight="1" x14ac:dyDescent="0.25"/>
    <row r="1493" s="79" customFormat="1" ht="15" customHeight="1" x14ac:dyDescent="0.25"/>
    <row r="1494" s="79" customFormat="1" ht="15" customHeight="1" x14ac:dyDescent="0.25"/>
    <row r="1495" s="79" customFormat="1" ht="15" customHeight="1" x14ac:dyDescent="0.25"/>
    <row r="1496" s="79" customFormat="1" ht="15" customHeight="1" x14ac:dyDescent="0.25"/>
    <row r="1497" s="79" customFormat="1" ht="15" customHeight="1" x14ac:dyDescent="0.25"/>
    <row r="1498" s="79" customFormat="1" ht="15" customHeight="1" x14ac:dyDescent="0.25"/>
    <row r="1499" s="79" customFormat="1" ht="15" customHeight="1" x14ac:dyDescent="0.25"/>
    <row r="1500" s="79" customFormat="1" ht="15" customHeight="1" x14ac:dyDescent="0.25"/>
    <row r="1501" s="79" customFormat="1" ht="15" customHeight="1" x14ac:dyDescent="0.25"/>
    <row r="1502" s="79" customFormat="1" ht="15" customHeight="1" x14ac:dyDescent="0.25"/>
    <row r="1503" s="79" customFormat="1" ht="15" customHeight="1" x14ac:dyDescent="0.25"/>
    <row r="1504" s="79" customFormat="1" ht="15" customHeight="1" x14ac:dyDescent="0.25"/>
    <row r="1505" s="79" customFormat="1" ht="15" customHeight="1" x14ac:dyDescent="0.25"/>
    <row r="1506" s="79" customFormat="1" ht="15" customHeight="1" x14ac:dyDescent="0.25"/>
    <row r="1507" s="79" customFormat="1" ht="15" customHeight="1" x14ac:dyDescent="0.25"/>
    <row r="1508" s="79" customFormat="1" ht="15" customHeight="1" x14ac:dyDescent="0.25"/>
    <row r="1509" s="79" customFormat="1" ht="15" customHeight="1" x14ac:dyDescent="0.25"/>
    <row r="1510" s="79" customFormat="1" ht="15" customHeight="1" x14ac:dyDescent="0.25"/>
    <row r="1511" s="79" customFormat="1" ht="15" customHeight="1" x14ac:dyDescent="0.25"/>
    <row r="1512" s="79" customFormat="1" ht="15" customHeight="1" x14ac:dyDescent="0.25"/>
    <row r="1513" s="79" customFormat="1" ht="15" customHeight="1" x14ac:dyDescent="0.25"/>
    <row r="1514" s="79" customFormat="1" ht="15" customHeight="1" x14ac:dyDescent="0.25"/>
  </sheetData>
  <sheetProtection selectLockedCells="1"/>
  <mergeCells count="5">
    <mergeCell ref="C2:AG2"/>
    <mergeCell ref="AH2:AH3"/>
    <mergeCell ref="AI2:AL3"/>
    <mergeCell ref="AM2:AP3"/>
    <mergeCell ref="AQ2:AR3"/>
  </mergeCells>
  <conditionalFormatting sqref="C17:C18 C9:AG11 C5:AG7">
    <cfRule type="expression" priority="1830" stopIfTrue="1">
      <formula>C5=""</formula>
    </cfRule>
    <cfRule type="expression" dxfId="4624" priority="1831" stopIfTrue="1">
      <formula>C5=CléPersonnalisée2</formula>
    </cfRule>
    <cfRule type="expression" dxfId="4623" priority="1832" stopIfTrue="1">
      <formula>C5=CléPersonnalisée1</formula>
    </cfRule>
    <cfRule type="expression" dxfId="4622" priority="1833" stopIfTrue="1">
      <formula>C5=CléMaladie</formula>
    </cfRule>
    <cfRule type="expression" dxfId="4621" priority="1834" stopIfTrue="1">
      <formula>C5=CléPersonnelle</formula>
    </cfRule>
    <cfRule type="expression" dxfId="4620" priority="1835" stopIfTrue="1">
      <formula>C5=CléCongés</formula>
    </cfRule>
  </conditionalFormatting>
  <conditionalFormatting sqref="AH5:AH6 AH9:AH11">
    <cfRule type="dataBar" priority="1836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{58222F5A-B9C2-494A-AFBB-C55610826C50}</x14:id>
        </ext>
      </extLst>
    </cfRule>
  </conditionalFormatting>
  <conditionalFormatting sqref="AI5:AL6 AI9:AL11">
    <cfRule type="expression" priority="1824" stopIfTrue="1">
      <formula>AI5=""</formula>
    </cfRule>
    <cfRule type="expression" dxfId="4619" priority="1825" stopIfTrue="1">
      <formula>AI5=CléPersonnalisée2</formula>
    </cfRule>
    <cfRule type="expression" dxfId="4618" priority="1826" stopIfTrue="1">
      <formula>AI5=CléPersonnalisée1</formula>
    </cfRule>
    <cfRule type="expression" dxfId="4617" priority="1827" stopIfTrue="1">
      <formula>AI5=CléMaladie</formula>
    </cfRule>
    <cfRule type="expression" dxfId="4616" priority="1828" stopIfTrue="1">
      <formula>AI5=CléPersonnelle</formula>
    </cfRule>
    <cfRule type="expression" dxfId="4615" priority="1829" stopIfTrue="1">
      <formula>AI5=CléCongés</formula>
    </cfRule>
  </conditionalFormatting>
  <conditionalFormatting sqref="AM5:AP6 AM9:AP10">
    <cfRule type="expression" priority="1818" stopIfTrue="1">
      <formula>AM5=""</formula>
    </cfRule>
    <cfRule type="expression" dxfId="4614" priority="1819" stopIfTrue="1">
      <formula>AM5=CléPersonnalisée2</formula>
    </cfRule>
    <cfRule type="expression" dxfId="4613" priority="1820" stopIfTrue="1">
      <formula>AM5=CléPersonnalisée1</formula>
    </cfRule>
    <cfRule type="expression" dxfId="4612" priority="1821" stopIfTrue="1">
      <formula>AM5=CléMaladie</formula>
    </cfRule>
    <cfRule type="expression" dxfId="4611" priority="1822" stopIfTrue="1">
      <formula>AM5=CléPersonnelle</formula>
    </cfRule>
    <cfRule type="expression" dxfId="4610" priority="1823" stopIfTrue="1">
      <formula>AM5=CléCongés</formula>
    </cfRule>
  </conditionalFormatting>
  <conditionalFormatting sqref="AQ5:AR6 AQ9:AR10 AQ32:AR32 AQ44:AR44">
    <cfRule type="expression" priority="1812" stopIfTrue="1">
      <formula>AQ5=""</formula>
    </cfRule>
    <cfRule type="expression" dxfId="4609" priority="1813" stopIfTrue="1">
      <formula>AQ5=CléPersonnalisée2</formula>
    </cfRule>
    <cfRule type="expression" dxfId="4608" priority="1814" stopIfTrue="1">
      <formula>AQ5=CléPersonnalisée1</formula>
    </cfRule>
    <cfRule type="expression" dxfId="4607" priority="1815" stopIfTrue="1">
      <formula>AQ5=CléMaladie</formula>
    </cfRule>
    <cfRule type="expression" dxfId="4606" priority="1816" stopIfTrue="1">
      <formula>AQ5=CléPersonnelle</formula>
    </cfRule>
    <cfRule type="expression" dxfId="4605" priority="1817" stopIfTrue="1">
      <formula>AQ5=CléCongés</formula>
    </cfRule>
  </conditionalFormatting>
  <conditionalFormatting sqref="AP7:AP8">
    <cfRule type="expression" priority="1806" stopIfTrue="1">
      <formula>AP7=""</formula>
    </cfRule>
    <cfRule type="expression" dxfId="4604" priority="1807" stopIfTrue="1">
      <formula>AP7=CléPersonnalisée2</formula>
    </cfRule>
    <cfRule type="expression" dxfId="4603" priority="1808" stopIfTrue="1">
      <formula>AP7=CléPersonnalisée1</formula>
    </cfRule>
    <cfRule type="expression" dxfId="4602" priority="1809" stopIfTrue="1">
      <formula>AP7=CléMaladie</formula>
    </cfRule>
    <cfRule type="expression" dxfId="4601" priority="1810" stopIfTrue="1">
      <formula>AP7=CléPersonnelle</formula>
    </cfRule>
    <cfRule type="expression" dxfId="4600" priority="1811" stopIfTrue="1">
      <formula>AP7=CléCongés</formula>
    </cfRule>
  </conditionalFormatting>
  <conditionalFormatting sqref="AQ8:AR8 AR7">
    <cfRule type="expression" priority="1800" stopIfTrue="1">
      <formula>AQ7=""</formula>
    </cfRule>
    <cfRule type="expression" dxfId="4599" priority="1801" stopIfTrue="1">
      <formula>AQ7=CléPersonnalisée2</formula>
    </cfRule>
    <cfRule type="expression" dxfId="4598" priority="1802" stopIfTrue="1">
      <formula>AQ7=CléPersonnalisée1</formula>
    </cfRule>
    <cfRule type="expression" dxfId="4597" priority="1803" stopIfTrue="1">
      <formula>AQ7=CléMaladie</formula>
    </cfRule>
    <cfRule type="expression" dxfId="4596" priority="1804" stopIfTrue="1">
      <formula>AQ7=CléPersonnelle</formula>
    </cfRule>
    <cfRule type="expression" dxfId="4595" priority="1805" stopIfTrue="1">
      <formula>AQ7=CléCongés</formula>
    </cfRule>
  </conditionalFormatting>
  <conditionalFormatting sqref="AM11 AP11">
    <cfRule type="expression" priority="1794" stopIfTrue="1">
      <formula>AM11=""</formula>
    </cfRule>
    <cfRule type="expression" dxfId="4594" priority="1795" stopIfTrue="1">
      <formula>AM11=CléPersonnalisée2</formula>
    </cfRule>
    <cfRule type="expression" dxfId="4593" priority="1796" stopIfTrue="1">
      <formula>AM11=CléPersonnalisée1</formula>
    </cfRule>
    <cfRule type="expression" dxfId="4592" priority="1797" stopIfTrue="1">
      <formula>AM11=CléMaladie</formula>
    </cfRule>
    <cfRule type="expression" dxfId="4591" priority="1798" stopIfTrue="1">
      <formula>AM11=CléPersonnelle</formula>
    </cfRule>
    <cfRule type="expression" dxfId="4590" priority="1799" stopIfTrue="1">
      <formula>AM11=CléCongés</formula>
    </cfRule>
  </conditionalFormatting>
  <conditionalFormatting sqref="AQ48:AR48">
    <cfRule type="expression" priority="1788" stopIfTrue="1">
      <formula>AQ48=""</formula>
    </cfRule>
    <cfRule type="expression" dxfId="4589" priority="1789" stopIfTrue="1">
      <formula>AQ48=CléPersonnalisée2</formula>
    </cfRule>
    <cfRule type="expression" dxfId="4588" priority="1790" stopIfTrue="1">
      <formula>AQ48=CléPersonnalisée1</formula>
    </cfRule>
    <cfRule type="expression" dxfId="4587" priority="1791" stopIfTrue="1">
      <formula>AQ48=CléMaladie</formula>
    </cfRule>
    <cfRule type="expression" dxfId="4586" priority="1792" stopIfTrue="1">
      <formula>AQ48=CléPersonnelle</formula>
    </cfRule>
    <cfRule type="expression" dxfId="4585" priority="1793" stopIfTrue="1">
      <formula>AQ48=CléCongés</formula>
    </cfRule>
  </conditionalFormatting>
  <conditionalFormatting sqref="AQ52:AR52">
    <cfRule type="expression" priority="1782" stopIfTrue="1">
      <formula>AQ52=""</formula>
    </cfRule>
    <cfRule type="expression" dxfId="4584" priority="1783" stopIfTrue="1">
      <formula>AQ52=CléPersonnalisée2</formula>
    </cfRule>
    <cfRule type="expression" dxfId="4583" priority="1784" stopIfTrue="1">
      <formula>AQ52=CléPersonnalisée1</formula>
    </cfRule>
    <cfRule type="expression" dxfId="4582" priority="1785" stopIfTrue="1">
      <formula>AQ52=CléMaladie</formula>
    </cfRule>
    <cfRule type="expression" dxfId="4581" priority="1786" stopIfTrue="1">
      <formula>AQ52=CléPersonnelle</formula>
    </cfRule>
    <cfRule type="expression" dxfId="4580" priority="1787" stopIfTrue="1">
      <formula>AQ52=CléCongés</formula>
    </cfRule>
  </conditionalFormatting>
  <conditionalFormatting sqref="AQ56:AR56 AQ60:AR60">
    <cfRule type="expression" priority="1776" stopIfTrue="1">
      <formula>AQ56=""</formula>
    </cfRule>
    <cfRule type="expression" dxfId="4579" priority="1777" stopIfTrue="1">
      <formula>AQ56=CléPersonnalisée2</formula>
    </cfRule>
    <cfRule type="expression" dxfId="4578" priority="1778" stopIfTrue="1">
      <formula>AQ56=CléPersonnalisée1</formula>
    </cfRule>
    <cfRule type="expression" dxfId="4577" priority="1779" stopIfTrue="1">
      <formula>AQ56=CléMaladie</formula>
    </cfRule>
    <cfRule type="expression" dxfId="4576" priority="1780" stopIfTrue="1">
      <formula>AQ56=CléPersonnelle</formula>
    </cfRule>
    <cfRule type="expression" dxfId="4575" priority="1781" stopIfTrue="1">
      <formula>AQ56=CléCongés</formula>
    </cfRule>
  </conditionalFormatting>
  <conditionalFormatting sqref="AQ64:AR64 AQ68:AR68">
    <cfRule type="expression" priority="1770" stopIfTrue="1">
      <formula>AQ64=""</formula>
    </cfRule>
    <cfRule type="expression" dxfId="4574" priority="1771" stopIfTrue="1">
      <formula>AQ64=CléPersonnalisée2</formula>
    </cfRule>
    <cfRule type="expression" dxfId="4573" priority="1772" stopIfTrue="1">
      <formula>AQ64=CléPersonnalisée1</formula>
    </cfRule>
    <cfRule type="expression" dxfId="4572" priority="1773" stopIfTrue="1">
      <formula>AQ64=CléMaladie</formula>
    </cfRule>
    <cfRule type="expression" dxfId="4571" priority="1774" stopIfTrue="1">
      <formula>AQ64=CléPersonnelle</formula>
    </cfRule>
    <cfRule type="expression" dxfId="4570" priority="1775" stopIfTrue="1">
      <formula>AQ64=CléCongés</formula>
    </cfRule>
  </conditionalFormatting>
  <conditionalFormatting sqref="AQ72:AR72 AQ76:AR76 AQ84:AR84 AQ88:AR88 AQ92:AR92 AQ80:AR80">
    <cfRule type="expression" priority="1764" stopIfTrue="1">
      <formula>AQ72=""</formula>
    </cfRule>
    <cfRule type="expression" dxfId="4569" priority="1765" stopIfTrue="1">
      <formula>AQ72=CléPersonnalisée2</formula>
    </cfRule>
    <cfRule type="expression" dxfId="4568" priority="1766" stopIfTrue="1">
      <formula>AQ72=CléPersonnalisée1</formula>
    </cfRule>
    <cfRule type="expression" dxfId="4567" priority="1767" stopIfTrue="1">
      <formula>AQ72=CléMaladie</formula>
    </cfRule>
    <cfRule type="expression" dxfId="4566" priority="1768" stopIfTrue="1">
      <formula>AQ72=CléPersonnelle</formula>
    </cfRule>
    <cfRule type="expression" dxfId="4565" priority="1769" stopIfTrue="1">
      <formula>AQ72=CléCongés</formula>
    </cfRule>
  </conditionalFormatting>
  <conditionalFormatting sqref="D17:AG18 C19:AG19">
    <cfRule type="expression" priority="1758" stopIfTrue="1">
      <formula>C17=""</formula>
    </cfRule>
    <cfRule type="expression" dxfId="4564" priority="1759" stopIfTrue="1">
      <formula>C17=CléPersonnalisée2</formula>
    </cfRule>
    <cfRule type="expression" dxfId="4563" priority="1760" stopIfTrue="1">
      <formula>C17=CléPersonnalisée1</formula>
    </cfRule>
    <cfRule type="expression" dxfId="4562" priority="1761" stopIfTrue="1">
      <formula>C17=CléMaladie</formula>
    </cfRule>
    <cfRule type="expression" dxfId="4561" priority="1762" stopIfTrue="1">
      <formula>C17=CléPersonnelle</formula>
    </cfRule>
    <cfRule type="expression" dxfId="4560" priority="1763" stopIfTrue="1">
      <formula>C17=CléCongés</formula>
    </cfRule>
  </conditionalFormatting>
  <conditionalFormatting sqref="AJ17:AL19">
    <cfRule type="expression" priority="1752" stopIfTrue="1">
      <formula>AJ17=""</formula>
    </cfRule>
    <cfRule type="expression" dxfId="4559" priority="1753" stopIfTrue="1">
      <formula>AJ17=CléPersonnalisée2</formula>
    </cfRule>
    <cfRule type="expression" dxfId="4558" priority="1754" stopIfTrue="1">
      <formula>AJ17=CléPersonnalisée1</formula>
    </cfRule>
    <cfRule type="expression" dxfId="4557" priority="1755" stopIfTrue="1">
      <formula>AJ17=CléMaladie</formula>
    </cfRule>
    <cfRule type="expression" dxfId="4556" priority="1756" stopIfTrue="1">
      <formula>AJ17=CléPersonnelle</formula>
    </cfRule>
    <cfRule type="expression" dxfId="4555" priority="1757" stopIfTrue="1">
      <formula>AJ17=CléCongés</formula>
    </cfRule>
  </conditionalFormatting>
  <conditionalFormatting sqref="C21:AG23">
    <cfRule type="expression" priority="1746" stopIfTrue="1">
      <formula>C21=""</formula>
    </cfRule>
    <cfRule type="expression" dxfId="4554" priority="1747" stopIfTrue="1">
      <formula>C21=CléPersonnalisée2</formula>
    </cfRule>
    <cfRule type="expression" dxfId="4553" priority="1748" stopIfTrue="1">
      <formula>C21=CléPersonnalisée1</formula>
    </cfRule>
    <cfRule type="expression" dxfId="4552" priority="1749" stopIfTrue="1">
      <formula>C21=CléMaladie</formula>
    </cfRule>
    <cfRule type="expression" dxfId="4551" priority="1750" stopIfTrue="1">
      <formula>C21=CléPersonnelle</formula>
    </cfRule>
    <cfRule type="expression" dxfId="4550" priority="1751" stopIfTrue="1">
      <formula>C21=CléCongés</formula>
    </cfRule>
  </conditionalFormatting>
  <conditionalFormatting sqref="AJ21:AL23">
    <cfRule type="expression" priority="1740" stopIfTrue="1">
      <formula>AJ21=""</formula>
    </cfRule>
    <cfRule type="expression" dxfId="4549" priority="1741" stopIfTrue="1">
      <formula>AJ21=CléPersonnalisée2</formula>
    </cfRule>
    <cfRule type="expression" dxfId="4548" priority="1742" stopIfTrue="1">
      <formula>AJ21=CléPersonnalisée1</formula>
    </cfRule>
    <cfRule type="expression" dxfId="4547" priority="1743" stopIfTrue="1">
      <formula>AJ21=CléMaladie</formula>
    </cfRule>
    <cfRule type="expression" dxfId="4546" priority="1744" stopIfTrue="1">
      <formula>AJ21=CléPersonnelle</formula>
    </cfRule>
    <cfRule type="expression" dxfId="4545" priority="1745" stopIfTrue="1">
      <formula>AJ21=CléCongés</formula>
    </cfRule>
  </conditionalFormatting>
  <conditionalFormatting sqref="C25:AG27">
    <cfRule type="expression" priority="1733" stopIfTrue="1">
      <formula>C25=""</formula>
    </cfRule>
    <cfRule type="expression" dxfId="4544" priority="1734" stopIfTrue="1">
      <formula>C25=CléPersonnalisée2</formula>
    </cfRule>
    <cfRule type="expression" dxfId="4543" priority="1735" stopIfTrue="1">
      <formula>C25=CléPersonnalisée1</formula>
    </cfRule>
    <cfRule type="expression" dxfId="4542" priority="1736" stopIfTrue="1">
      <formula>C25=CléMaladie</formula>
    </cfRule>
    <cfRule type="expression" dxfId="4541" priority="1737" stopIfTrue="1">
      <formula>C25=CléPersonnelle</formula>
    </cfRule>
    <cfRule type="expression" dxfId="4540" priority="1738" stopIfTrue="1">
      <formula>C25=CléCongés</formula>
    </cfRule>
  </conditionalFormatting>
  <conditionalFormatting sqref="AH27">
    <cfRule type="dataBar" priority="1739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{743710D8-F0F6-4B2D-95AA-9F8D48685A14}</x14:id>
        </ext>
      </extLst>
    </cfRule>
  </conditionalFormatting>
  <conditionalFormatting sqref="AI27:AL27 AJ25:AL26">
    <cfRule type="expression" priority="1727" stopIfTrue="1">
      <formula>AI25=""</formula>
    </cfRule>
    <cfRule type="expression" dxfId="4539" priority="1728" stopIfTrue="1">
      <formula>AI25=CléPersonnalisée2</formula>
    </cfRule>
    <cfRule type="expression" dxfId="4538" priority="1729" stopIfTrue="1">
      <formula>AI25=CléPersonnalisée1</formula>
    </cfRule>
    <cfRule type="expression" dxfId="4537" priority="1730" stopIfTrue="1">
      <formula>AI25=CléMaladie</formula>
    </cfRule>
    <cfRule type="expression" dxfId="4536" priority="1731" stopIfTrue="1">
      <formula>AI25=CléPersonnelle</formula>
    </cfRule>
    <cfRule type="expression" dxfId="4535" priority="1732" stopIfTrue="1">
      <formula>AI25=CléCongés</formula>
    </cfRule>
  </conditionalFormatting>
  <conditionalFormatting sqref="AM25:AP26">
    <cfRule type="expression" priority="1721" stopIfTrue="1">
      <formula>AM25=""</formula>
    </cfRule>
    <cfRule type="expression" dxfId="4534" priority="1722" stopIfTrue="1">
      <formula>AM25=CléPersonnalisée2</formula>
    </cfRule>
    <cfRule type="expression" dxfId="4533" priority="1723" stopIfTrue="1">
      <formula>AM25=CléPersonnalisée1</formula>
    </cfRule>
    <cfRule type="expression" dxfId="4532" priority="1724" stopIfTrue="1">
      <formula>AM25=CléMaladie</formula>
    </cfRule>
    <cfRule type="expression" dxfId="4531" priority="1725" stopIfTrue="1">
      <formula>AM25=CléPersonnelle</formula>
    </cfRule>
    <cfRule type="expression" dxfId="4530" priority="1726" stopIfTrue="1">
      <formula>AM25=CléCongés</formula>
    </cfRule>
  </conditionalFormatting>
  <conditionalFormatting sqref="AQ25:AR26">
    <cfRule type="expression" priority="1715" stopIfTrue="1">
      <formula>AQ25=""</formula>
    </cfRule>
    <cfRule type="expression" dxfId="4529" priority="1716" stopIfTrue="1">
      <formula>AQ25=CléPersonnalisée2</formula>
    </cfRule>
    <cfRule type="expression" dxfId="4528" priority="1717" stopIfTrue="1">
      <formula>AQ25=CléPersonnalisée1</formula>
    </cfRule>
    <cfRule type="expression" dxfId="4527" priority="1718" stopIfTrue="1">
      <formula>AQ25=CléMaladie</formula>
    </cfRule>
    <cfRule type="expression" dxfId="4526" priority="1719" stopIfTrue="1">
      <formula>AQ25=CléPersonnelle</formula>
    </cfRule>
    <cfRule type="expression" dxfId="4525" priority="1720" stopIfTrue="1">
      <formula>AQ25=CléCongés</formula>
    </cfRule>
  </conditionalFormatting>
  <conditionalFormatting sqref="AM27 AP27">
    <cfRule type="expression" priority="1709" stopIfTrue="1">
      <formula>AM27=""</formula>
    </cfRule>
    <cfRule type="expression" dxfId="4524" priority="1710" stopIfTrue="1">
      <formula>AM27=CléPersonnalisée2</formula>
    </cfRule>
    <cfRule type="expression" dxfId="4523" priority="1711" stopIfTrue="1">
      <formula>AM27=CléPersonnalisée1</formula>
    </cfRule>
    <cfRule type="expression" dxfId="4522" priority="1712" stopIfTrue="1">
      <formula>AM27=CléMaladie</formula>
    </cfRule>
    <cfRule type="expression" dxfId="4521" priority="1713" stopIfTrue="1">
      <formula>AM27=CléPersonnelle</formula>
    </cfRule>
    <cfRule type="expression" dxfId="4520" priority="1714" stopIfTrue="1">
      <formula>AM27=CléCongés</formula>
    </cfRule>
  </conditionalFormatting>
  <conditionalFormatting sqref="C29:AG31">
    <cfRule type="expression" priority="1702" stopIfTrue="1">
      <formula>C29=""</formula>
    </cfRule>
    <cfRule type="expression" dxfId="4519" priority="1703" stopIfTrue="1">
      <formula>C29=CléPersonnalisée2</formula>
    </cfRule>
    <cfRule type="expression" dxfId="4518" priority="1704" stopIfTrue="1">
      <formula>C29=CléPersonnalisée1</formula>
    </cfRule>
    <cfRule type="expression" dxfId="4517" priority="1705" stopIfTrue="1">
      <formula>C29=CléMaladie</formula>
    </cfRule>
    <cfRule type="expression" dxfId="4516" priority="1706" stopIfTrue="1">
      <formula>C29=CléPersonnelle</formula>
    </cfRule>
    <cfRule type="expression" dxfId="4515" priority="1707" stopIfTrue="1">
      <formula>C29=CléCongés</formula>
    </cfRule>
  </conditionalFormatting>
  <conditionalFormatting sqref="AH31">
    <cfRule type="dataBar" priority="1708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{E3294D7D-0721-4F36-9165-059EB5CB736C}</x14:id>
        </ext>
      </extLst>
    </cfRule>
  </conditionalFormatting>
  <conditionalFormatting sqref="AI31:AL31 AJ29:AL30">
    <cfRule type="expression" priority="1696" stopIfTrue="1">
      <formula>AI29=""</formula>
    </cfRule>
    <cfRule type="expression" dxfId="4514" priority="1697" stopIfTrue="1">
      <formula>AI29=CléPersonnalisée2</formula>
    </cfRule>
    <cfRule type="expression" dxfId="4513" priority="1698" stopIfTrue="1">
      <formula>AI29=CléPersonnalisée1</formula>
    </cfRule>
    <cfRule type="expression" dxfId="4512" priority="1699" stopIfTrue="1">
      <formula>AI29=CléMaladie</formula>
    </cfRule>
    <cfRule type="expression" dxfId="4511" priority="1700" stopIfTrue="1">
      <formula>AI29=CléPersonnelle</formula>
    </cfRule>
    <cfRule type="expression" dxfId="4510" priority="1701" stopIfTrue="1">
      <formula>AI29=CléCongés</formula>
    </cfRule>
  </conditionalFormatting>
  <conditionalFormatting sqref="AM29:AP30">
    <cfRule type="expression" priority="1690" stopIfTrue="1">
      <formula>AM29=""</formula>
    </cfRule>
    <cfRule type="expression" dxfId="4509" priority="1691" stopIfTrue="1">
      <formula>AM29=CléPersonnalisée2</formula>
    </cfRule>
    <cfRule type="expression" dxfId="4508" priority="1692" stopIfTrue="1">
      <formula>AM29=CléPersonnalisée1</formula>
    </cfRule>
    <cfRule type="expression" dxfId="4507" priority="1693" stopIfTrue="1">
      <formula>AM29=CléMaladie</formula>
    </cfRule>
    <cfRule type="expression" dxfId="4506" priority="1694" stopIfTrue="1">
      <formula>AM29=CléPersonnelle</formula>
    </cfRule>
    <cfRule type="expression" dxfId="4505" priority="1695" stopIfTrue="1">
      <formula>AM29=CléCongés</formula>
    </cfRule>
  </conditionalFormatting>
  <conditionalFormatting sqref="AQ29:AR30">
    <cfRule type="expression" priority="1684" stopIfTrue="1">
      <formula>AQ29=""</formula>
    </cfRule>
    <cfRule type="expression" dxfId="4504" priority="1685" stopIfTrue="1">
      <formula>AQ29=CléPersonnalisée2</formula>
    </cfRule>
    <cfRule type="expression" dxfId="4503" priority="1686" stopIfTrue="1">
      <formula>AQ29=CléPersonnalisée1</formula>
    </cfRule>
    <cfRule type="expression" dxfId="4502" priority="1687" stopIfTrue="1">
      <formula>AQ29=CléMaladie</formula>
    </cfRule>
    <cfRule type="expression" dxfId="4501" priority="1688" stopIfTrue="1">
      <formula>AQ29=CléPersonnelle</formula>
    </cfRule>
    <cfRule type="expression" dxfId="4500" priority="1689" stopIfTrue="1">
      <formula>AQ29=CléCongés</formula>
    </cfRule>
  </conditionalFormatting>
  <conditionalFormatting sqref="AM31 AP31">
    <cfRule type="expression" priority="1678" stopIfTrue="1">
      <formula>AM31=""</formula>
    </cfRule>
    <cfRule type="expression" dxfId="4499" priority="1679" stopIfTrue="1">
      <formula>AM31=CléPersonnalisée2</formula>
    </cfRule>
    <cfRule type="expression" dxfId="4498" priority="1680" stopIfTrue="1">
      <formula>AM31=CléPersonnalisée1</formula>
    </cfRule>
    <cfRule type="expression" dxfId="4497" priority="1681" stopIfTrue="1">
      <formula>AM31=CléMaladie</formula>
    </cfRule>
    <cfRule type="expression" dxfId="4496" priority="1682" stopIfTrue="1">
      <formula>AM31=CléPersonnelle</formula>
    </cfRule>
    <cfRule type="expression" dxfId="4495" priority="1683" stopIfTrue="1">
      <formula>AM31=CléCongés</formula>
    </cfRule>
  </conditionalFormatting>
  <conditionalFormatting sqref="C33:AG35">
    <cfRule type="expression" priority="1671" stopIfTrue="1">
      <formula>C33=""</formula>
    </cfRule>
    <cfRule type="expression" dxfId="4494" priority="1672" stopIfTrue="1">
      <formula>C33=CléPersonnalisée2</formula>
    </cfRule>
    <cfRule type="expression" dxfId="4493" priority="1673" stopIfTrue="1">
      <formula>C33=CléPersonnalisée1</formula>
    </cfRule>
    <cfRule type="expression" dxfId="4492" priority="1674" stopIfTrue="1">
      <formula>C33=CléMaladie</formula>
    </cfRule>
    <cfRule type="expression" dxfId="4491" priority="1675" stopIfTrue="1">
      <formula>C33=CléPersonnelle</formula>
    </cfRule>
    <cfRule type="expression" dxfId="4490" priority="1676" stopIfTrue="1">
      <formula>C33=CléCongés</formula>
    </cfRule>
  </conditionalFormatting>
  <conditionalFormatting sqref="AH35">
    <cfRule type="dataBar" priority="1677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{430EB6FA-A947-47CD-8D35-6A492C36D5B7}</x14:id>
        </ext>
      </extLst>
    </cfRule>
  </conditionalFormatting>
  <conditionalFormatting sqref="AI35:AL35 AJ33:AL34">
    <cfRule type="expression" priority="1665" stopIfTrue="1">
      <formula>AI33=""</formula>
    </cfRule>
    <cfRule type="expression" dxfId="4489" priority="1666" stopIfTrue="1">
      <formula>AI33=CléPersonnalisée2</formula>
    </cfRule>
    <cfRule type="expression" dxfId="4488" priority="1667" stopIfTrue="1">
      <formula>AI33=CléPersonnalisée1</formula>
    </cfRule>
    <cfRule type="expression" dxfId="4487" priority="1668" stopIfTrue="1">
      <formula>AI33=CléMaladie</formula>
    </cfRule>
    <cfRule type="expression" dxfId="4486" priority="1669" stopIfTrue="1">
      <formula>AI33=CléPersonnelle</formula>
    </cfRule>
    <cfRule type="expression" dxfId="4485" priority="1670" stopIfTrue="1">
      <formula>AI33=CléCongés</formula>
    </cfRule>
  </conditionalFormatting>
  <conditionalFormatting sqref="AM33:AP34">
    <cfRule type="expression" priority="1659" stopIfTrue="1">
      <formula>AM33=""</formula>
    </cfRule>
    <cfRule type="expression" dxfId="4484" priority="1660" stopIfTrue="1">
      <formula>AM33=CléPersonnalisée2</formula>
    </cfRule>
    <cfRule type="expression" dxfId="4483" priority="1661" stopIfTrue="1">
      <formula>AM33=CléPersonnalisée1</formula>
    </cfRule>
    <cfRule type="expression" dxfId="4482" priority="1662" stopIfTrue="1">
      <formula>AM33=CléMaladie</formula>
    </cfRule>
    <cfRule type="expression" dxfId="4481" priority="1663" stopIfTrue="1">
      <formula>AM33=CléPersonnelle</formula>
    </cfRule>
    <cfRule type="expression" dxfId="4480" priority="1664" stopIfTrue="1">
      <formula>AM33=CléCongés</formula>
    </cfRule>
  </conditionalFormatting>
  <conditionalFormatting sqref="AQ33:AR34">
    <cfRule type="expression" priority="1653" stopIfTrue="1">
      <formula>AQ33=""</formula>
    </cfRule>
    <cfRule type="expression" dxfId="4479" priority="1654" stopIfTrue="1">
      <formula>AQ33=CléPersonnalisée2</formula>
    </cfRule>
    <cfRule type="expression" dxfId="4478" priority="1655" stopIfTrue="1">
      <formula>AQ33=CléPersonnalisée1</formula>
    </cfRule>
    <cfRule type="expression" dxfId="4477" priority="1656" stopIfTrue="1">
      <formula>AQ33=CléMaladie</formula>
    </cfRule>
    <cfRule type="expression" dxfId="4476" priority="1657" stopIfTrue="1">
      <formula>AQ33=CléPersonnelle</formula>
    </cfRule>
    <cfRule type="expression" dxfId="4475" priority="1658" stopIfTrue="1">
      <formula>AQ33=CléCongés</formula>
    </cfRule>
  </conditionalFormatting>
  <conditionalFormatting sqref="AM35 AP35">
    <cfRule type="expression" priority="1647" stopIfTrue="1">
      <formula>AM35=""</formula>
    </cfRule>
    <cfRule type="expression" dxfId="4474" priority="1648" stopIfTrue="1">
      <formula>AM35=CléPersonnalisée2</formula>
    </cfRule>
    <cfRule type="expression" dxfId="4473" priority="1649" stopIfTrue="1">
      <formula>AM35=CléPersonnalisée1</formula>
    </cfRule>
    <cfRule type="expression" dxfId="4472" priority="1650" stopIfTrue="1">
      <formula>AM35=CléMaladie</formula>
    </cfRule>
    <cfRule type="expression" dxfId="4471" priority="1651" stopIfTrue="1">
      <formula>AM35=CléPersonnelle</formula>
    </cfRule>
    <cfRule type="expression" dxfId="4470" priority="1652" stopIfTrue="1">
      <formula>AM35=CléCongés</formula>
    </cfRule>
  </conditionalFormatting>
  <conditionalFormatting sqref="C37:AG39">
    <cfRule type="expression" priority="1640" stopIfTrue="1">
      <formula>C37=""</formula>
    </cfRule>
    <cfRule type="expression" dxfId="4469" priority="1641" stopIfTrue="1">
      <formula>C37=CléPersonnalisée2</formula>
    </cfRule>
    <cfRule type="expression" dxfId="4468" priority="1642" stopIfTrue="1">
      <formula>C37=CléPersonnalisée1</formula>
    </cfRule>
    <cfRule type="expression" dxfId="4467" priority="1643" stopIfTrue="1">
      <formula>C37=CléMaladie</formula>
    </cfRule>
    <cfRule type="expression" dxfId="4466" priority="1644" stopIfTrue="1">
      <formula>C37=CléPersonnelle</formula>
    </cfRule>
    <cfRule type="expression" dxfId="4465" priority="1645" stopIfTrue="1">
      <formula>C37=CléCongés</formula>
    </cfRule>
  </conditionalFormatting>
  <conditionalFormatting sqref="AH39">
    <cfRule type="dataBar" priority="1646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{549C1FE2-0591-457A-86C7-7CC6B93EC972}</x14:id>
        </ext>
      </extLst>
    </cfRule>
  </conditionalFormatting>
  <conditionalFormatting sqref="AI39:AL39 AJ37:AL38">
    <cfRule type="expression" priority="1634" stopIfTrue="1">
      <formula>AI37=""</formula>
    </cfRule>
    <cfRule type="expression" dxfId="4464" priority="1635" stopIfTrue="1">
      <formula>AI37=CléPersonnalisée2</formula>
    </cfRule>
    <cfRule type="expression" dxfId="4463" priority="1636" stopIfTrue="1">
      <formula>AI37=CléPersonnalisée1</formula>
    </cfRule>
    <cfRule type="expression" dxfId="4462" priority="1637" stopIfTrue="1">
      <formula>AI37=CléMaladie</formula>
    </cfRule>
    <cfRule type="expression" dxfId="4461" priority="1638" stopIfTrue="1">
      <formula>AI37=CléPersonnelle</formula>
    </cfRule>
    <cfRule type="expression" dxfId="4460" priority="1639" stopIfTrue="1">
      <formula>AI37=CléCongés</formula>
    </cfRule>
  </conditionalFormatting>
  <conditionalFormatting sqref="AM37:AP38">
    <cfRule type="expression" priority="1628" stopIfTrue="1">
      <formula>AM37=""</formula>
    </cfRule>
    <cfRule type="expression" dxfId="4459" priority="1629" stopIfTrue="1">
      <formula>AM37=CléPersonnalisée2</formula>
    </cfRule>
    <cfRule type="expression" dxfId="4458" priority="1630" stopIfTrue="1">
      <formula>AM37=CléPersonnalisée1</formula>
    </cfRule>
    <cfRule type="expression" dxfId="4457" priority="1631" stopIfTrue="1">
      <formula>AM37=CléMaladie</formula>
    </cfRule>
    <cfRule type="expression" dxfId="4456" priority="1632" stopIfTrue="1">
      <formula>AM37=CléPersonnelle</formula>
    </cfRule>
    <cfRule type="expression" dxfId="4455" priority="1633" stopIfTrue="1">
      <formula>AM37=CléCongés</formula>
    </cfRule>
  </conditionalFormatting>
  <conditionalFormatting sqref="AQ37:AR38">
    <cfRule type="expression" priority="1622" stopIfTrue="1">
      <formula>AQ37=""</formula>
    </cfRule>
    <cfRule type="expression" dxfId="4454" priority="1623" stopIfTrue="1">
      <formula>AQ37=CléPersonnalisée2</formula>
    </cfRule>
    <cfRule type="expression" dxfId="4453" priority="1624" stopIfTrue="1">
      <formula>AQ37=CléPersonnalisée1</formula>
    </cfRule>
    <cfRule type="expression" dxfId="4452" priority="1625" stopIfTrue="1">
      <formula>AQ37=CléMaladie</formula>
    </cfRule>
    <cfRule type="expression" dxfId="4451" priority="1626" stopIfTrue="1">
      <formula>AQ37=CléPersonnelle</formula>
    </cfRule>
    <cfRule type="expression" dxfId="4450" priority="1627" stopIfTrue="1">
      <formula>AQ37=CléCongés</formula>
    </cfRule>
  </conditionalFormatting>
  <conditionalFormatting sqref="AM39 AP39">
    <cfRule type="expression" priority="1616" stopIfTrue="1">
      <formula>AM39=""</formula>
    </cfRule>
    <cfRule type="expression" dxfId="4449" priority="1617" stopIfTrue="1">
      <formula>AM39=CléPersonnalisée2</formula>
    </cfRule>
    <cfRule type="expression" dxfId="4448" priority="1618" stopIfTrue="1">
      <formula>AM39=CléPersonnalisée1</formula>
    </cfRule>
    <cfRule type="expression" dxfId="4447" priority="1619" stopIfTrue="1">
      <formula>AM39=CléMaladie</formula>
    </cfRule>
    <cfRule type="expression" dxfId="4446" priority="1620" stopIfTrue="1">
      <formula>AM39=CléPersonnelle</formula>
    </cfRule>
    <cfRule type="expression" dxfId="4445" priority="1621" stopIfTrue="1">
      <formula>AM39=CléCongés</formula>
    </cfRule>
  </conditionalFormatting>
  <conditionalFormatting sqref="C41:AG43">
    <cfRule type="expression" priority="1609" stopIfTrue="1">
      <formula>C41=""</formula>
    </cfRule>
    <cfRule type="expression" dxfId="4444" priority="1610" stopIfTrue="1">
      <formula>C41=CléPersonnalisée2</formula>
    </cfRule>
    <cfRule type="expression" dxfId="4443" priority="1611" stopIfTrue="1">
      <formula>C41=CléPersonnalisée1</formula>
    </cfRule>
    <cfRule type="expression" dxfId="4442" priority="1612" stopIfTrue="1">
      <formula>C41=CléMaladie</formula>
    </cfRule>
    <cfRule type="expression" dxfId="4441" priority="1613" stopIfTrue="1">
      <formula>C41=CléPersonnelle</formula>
    </cfRule>
    <cfRule type="expression" dxfId="4440" priority="1614" stopIfTrue="1">
      <formula>C41=CléCongés</formula>
    </cfRule>
  </conditionalFormatting>
  <conditionalFormatting sqref="AH43">
    <cfRule type="dataBar" priority="1615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{3BE81522-F6D4-4111-9C3B-9C15BF991A5B}</x14:id>
        </ext>
      </extLst>
    </cfRule>
  </conditionalFormatting>
  <conditionalFormatting sqref="AI43:AL43 AJ41:AL42">
    <cfRule type="expression" priority="1603" stopIfTrue="1">
      <formula>AI41=""</formula>
    </cfRule>
    <cfRule type="expression" dxfId="4439" priority="1604" stopIfTrue="1">
      <formula>AI41=CléPersonnalisée2</formula>
    </cfRule>
    <cfRule type="expression" dxfId="4438" priority="1605" stopIfTrue="1">
      <formula>AI41=CléPersonnalisée1</formula>
    </cfRule>
    <cfRule type="expression" dxfId="4437" priority="1606" stopIfTrue="1">
      <formula>AI41=CléMaladie</formula>
    </cfRule>
    <cfRule type="expression" dxfId="4436" priority="1607" stopIfTrue="1">
      <formula>AI41=CléPersonnelle</formula>
    </cfRule>
    <cfRule type="expression" dxfId="4435" priority="1608" stopIfTrue="1">
      <formula>AI41=CléCongés</formula>
    </cfRule>
  </conditionalFormatting>
  <conditionalFormatting sqref="AM41:AP42">
    <cfRule type="expression" priority="1597" stopIfTrue="1">
      <formula>AM41=""</formula>
    </cfRule>
    <cfRule type="expression" dxfId="4434" priority="1598" stopIfTrue="1">
      <formula>AM41=CléPersonnalisée2</formula>
    </cfRule>
    <cfRule type="expression" dxfId="4433" priority="1599" stopIfTrue="1">
      <formula>AM41=CléPersonnalisée1</formula>
    </cfRule>
    <cfRule type="expression" dxfId="4432" priority="1600" stopIfTrue="1">
      <formula>AM41=CléMaladie</formula>
    </cfRule>
    <cfRule type="expression" dxfId="4431" priority="1601" stopIfTrue="1">
      <formula>AM41=CléPersonnelle</formula>
    </cfRule>
    <cfRule type="expression" dxfId="4430" priority="1602" stopIfTrue="1">
      <formula>AM41=CléCongés</formula>
    </cfRule>
  </conditionalFormatting>
  <conditionalFormatting sqref="AQ41:AR42">
    <cfRule type="expression" priority="1591" stopIfTrue="1">
      <formula>AQ41=""</formula>
    </cfRule>
    <cfRule type="expression" dxfId="4429" priority="1592" stopIfTrue="1">
      <formula>AQ41=CléPersonnalisée2</formula>
    </cfRule>
    <cfRule type="expression" dxfId="4428" priority="1593" stopIfTrue="1">
      <formula>AQ41=CléPersonnalisée1</formula>
    </cfRule>
    <cfRule type="expression" dxfId="4427" priority="1594" stopIfTrue="1">
      <formula>AQ41=CléMaladie</formula>
    </cfRule>
    <cfRule type="expression" dxfId="4426" priority="1595" stopIfTrue="1">
      <formula>AQ41=CléPersonnelle</formula>
    </cfRule>
    <cfRule type="expression" dxfId="4425" priority="1596" stopIfTrue="1">
      <formula>AQ41=CléCongés</formula>
    </cfRule>
  </conditionalFormatting>
  <conditionalFormatting sqref="AM43 AP43">
    <cfRule type="expression" priority="1585" stopIfTrue="1">
      <formula>AM43=""</formula>
    </cfRule>
    <cfRule type="expression" dxfId="4424" priority="1586" stopIfTrue="1">
      <formula>AM43=CléPersonnalisée2</formula>
    </cfRule>
    <cfRule type="expression" dxfId="4423" priority="1587" stopIfTrue="1">
      <formula>AM43=CléPersonnalisée1</formula>
    </cfRule>
    <cfRule type="expression" dxfId="4422" priority="1588" stopIfTrue="1">
      <formula>AM43=CléMaladie</formula>
    </cfRule>
    <cfRule type="expression" dxfId="4421" priority="1589" stopIfTrue="1">
      <formula>AM43=CléPersonnelle</formula>
    </cfRule>
    <cfRule type="expression" dxfId="4420" priority="1590" stopIfTrue="1">
      <formula>AM43=CléCongés</formula>
    </cfRule>
  </conditionalFormatting>
  <conditionalFormatting sqref="C45:AG47">
    <cfRule type="expression" priority="1578" stopIfTrue="1">
      <formula>C45=""</formula>
    </cfRule>
    <cfRule type="expression" dxfId="4419" priority="1579" stopIfTrue="1">
      <formula>C45=CléPersonnalisée2</formula>
    </cfRule>
    <cfRule type="expression" dxfId="4418" priority="1580" stopIfTrue="1">
      <formula>C45=CléPersonnalisée1</formula>
    </cfRule>
    <cfRule type="expression" dxfId="4417" priority="1581" stopIfTrue="1">
      <formula>C45=CléMaladie</formula>
    </cfRule>
    <cfRule type="expression" dxfId="4416" priority="1582" stopIfTrue="1">
      <formula>C45=CléPersonnelle</formula>
    </cfRule>
    <cfRule type="expression" dxfId="4415" priority="1583" stopIfTrue="1">
      <formula>C45=CléCongés</formula>
    </cfRule>
  </conditionalFormatting>
  <conditionalFormatting sqref="AH47">
    <cfRule type="dataBar" priority="1584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{41080D9F-CD3C-48D8-A89E-1E67879B5784}</x14:id>
        </ext>
      </extLst>
    </cfRule>
  </conditionalFormatting>
  <conditionalFormatting sqref="AI47:AL47 AJ45:AL46">
    <cfRule type="expression" priority="1572" stopIfTrue="1">
      <formula>AI45=""</formula>
    </cfRule>
    <cfRule type="expression" dxfId="4414" priority="1573" stopIfTrue="1">
      <formula>AI45=CléPersonnalisée2</formula>
    </cfRule>
    <cfRule type="expression" dxfId="4413" priority="1574" stopIfTrue="1">
      <formula>AI45=CléPersonnalisée1</formula>
    </cfRule>
    <cfRule type="expression" dxfId="4412" priority="1575" stopIfTrue="1">
      <formula>AI45=CléMaladie</formula>
    </cfRule>
    <cfRule type="expression" dxfId="4411" priority="1576" stopIfTrue="1">
      <formula>AI45=CléPersonnelle</formula>
    </cfRule>
    <cfRule type="expression" dxfId="4410" priority="1577" stopIfTrue="1">
      <formula>AI45=CléCongés</formula>
    </cfRule>
  </conditionalFormatting>
  <conditionalFormatting sqref="AM45:AP46">
    <cfRule type="expression" priority="1566" stopIfTrue="1">
      <formula>AM45=""</formula>
    </cfRule>
    <cfRule type="expression" dxfId="4409" priority="1567" stopIfTrue="1">
      <formula>AM45=CléPersonnalisée2</formula>
    </cfRule>
    <cfRule type="expression" dxfId="4408" priority="1568" stopIfTrue="1">
      <formula>AM45=CléPersonnalisée1</formula>
    </cfRule>
    <cfRule type="expression" dxfId="4407" priority="1569" stopIfTrue="1">
      <formula>AM45=CléMaladie</formula>
    </cfRule>
    <cfRule type="expression" dxfId="4406" priority="1570" stopIfTrue="1">
      <formula>AM45=CléPersonnelle</formula>
    </cfRule>
    <cfRule type="expression" dxfId="4405" priority="1571" stopIfTrue="1">
      <formula>AM45=CléCongés</formula>
    </cfRule>
  </conditionalFormatting>
  <conditionalFormatting sqref="AQ45:AR46">
    <cfRule type="expression" priority="1560" stopIfTrue="1">
      <formula>AQ45=""</formula>
    </cfRule>
    <cfRule type="expression" dxfId="4404" priority="1561" stopIfTrue="1">
      <formula>AQ45=CléPersonnalisée2</formula>
    </cfRule>
    <cfRule type="expression" dxfId="4403" priority="1562" stopIfTrue="1">
      <formula>AQ45=CléPersonnalisée1</formula>
    </cfRule>
    <cfRule type="expression" dxfId="4402" priority="1563" stopIfTrue="1">
      <formula>AQ45=CléMaladie</formula>
    </cfRule>
    <cfRule type="expression" dxfId="4401" priority="1564" stopIfTrue="1">
      <formula>AQ45=CléPersonnelle</formula>
    </cfRule>
    <cfRule type="expression" dxfId="4400" priority="1565" stopIfTrue="1">
      <formula>AQ45=CléCongés</formula>
    </cfRule>
  </conditionalFormatting>
  <conditionalFormatting sqref="AM47 AP47">
    <cfRule type="expression" priority="1554" stopIfTrue="1">
      <formula>AM47=""</formula>
    </cfRule>
    <cfRule type="expression" dxfId="4399" priority="1555" stopIfTrue="1">
      <formula>AM47=CléPersonnalisée2</formula>
    </cfRule>
    <cfRule type="expression" dxfId="4398" priority="1556" stopIfTrue="1">
      <formula>AM47=CléPersonnalisée1</formula>
    </cfRule>
    <cfRule type="expression" dxfId="4397" priority="1557" stopIfTrue="1">
      <formula>AM47=CléMaladie</formula>
    </cfRule>
    <cfRule type="expression" dxfId="4396" priority="1558" stopIfTrue="1">
      <formula>AM47=CléPersonnelle</formula>
    </cfRule>
    <cfRule type="expression" dxfId="4395" priority="1559" stopIfTrue="1">
      <formula>AM47=CléCongés</formula>
    </cfRule>
  </conditionalFormatting>
  <conditionalFormatting sqref="C49:AG51">
    <cfRule type="expression" priority="1547" stopIfTrue="1">
      <formula>C49=""</formula>
    </cfRule>
    <cfRule type="expression" dxfId="4394" priority="1548" stopIfTrue="1">
      <formula>C49=CléPersonnalisée2</formula>
    </cfRule>
    <cfRule type="expression" dxfId="4393" priority="1549" stopIfTrue="1">
      <formula>C49=CléPersonnalisée1</formula>
    </cfRule>
    <cfRule type="expression" dxfId="4392" priority="1550" stopIfTrue="1">
      <formula>C49=CléMaladie</formula>
    </cfRule>
    <cfRule type="expression" dxfId="4391" priority="1551" stopIfTrue="1">
      <formula>C49=CléPersonnelle</formula>
    </cfRule>
    <cfRule type="expression" dxfId="4390" priority="1552" stopIfTrue="1">
      <formula>C49=CléCongés</formula>
    </cfRule>
  </conditionalFormatting>
  <conditionalFormatting sqref="AH51">
    <cfRule type="dataBar" priority="1553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{F56D1D9A-471C-420C-BB32-8797E95DB59E}</x14:id>
        </ext>
      </extLst>
    </cfRule>
  </conditionalFormatting>
  <conditionalFormatting sqref="AI51:AL51 AJ49:AL50">
    <cfRule type="expression" priority="1541" stopIfTrue="1">
      <formula>AI49=""</formula>
    </cfRule>
    <cfRule type="expression" dxfId="4389" priority="1542" stopIfTrue="1">
      <formula>AI49=CléPersonnalisée2</formula>
    </cfRule>
    <cfRule type="expression" dxfId="4388" priority="1543" stopIfTrue="1">
      <formula>AI49=CléPersonnalisée1</formula>
    </cfRule>
    <cfRule type="expression" dxfId="4387" priority="1544" stopIfTrue="1">
      <formula>AI49=CléMaladie</formula>
    </cfRule>
    <cfRule type="expression" dxfId="4386" priority="1545" stopIfTrue="1">
      <formula>AI49=CléPersonnelle</formula>
    </cfRule>
    <cfRule type="expression" dxfId="4385" priority="1546" stopIfTrue="1">
      <formula>AI49=CléCongés</formula>
    </cfRule>
  </conditionalFormatting>
  <conditionalFormatting sqref="AM49:AP50">
    <cfRule type="expression" priority="1535" stopIfTrue="1">
      <formula>AM49=""</formula>
    </cfRule>
    <cfRule type="expression" dxfId="4384" priority="1536" stopIfTrue="1">
      <formula>AM49=CléPersonnalisée2</formula>
    </cfRule>
    <cfRule type="expression" dxfId="4383" priority="1537" stopIfTrue="1">
      <formula>AM49=CléPersonnalisée1</formula>
    </cfRule>
    <cfRule type="expression" dxfId="4382" priority="1538" stopIfTrue="1">
      <formula>AM49=CléMaladie</formula>
    </cfRule>
    <cfRule type="expression" dxfId="4381" priority="1539" stopIfTrue="1">
      <formula>AM49=CléPersonnelle</formula>
    </cfRule>
    <cfRule type="expression" dxfId="4380" priority="1540" stopIfTrue="1">
      <formula>AM49=CléCongés</formula>
    </cfRule>
  </conditionalFormatting>
  <conditionalFormatting sqref="AQ49:AR50">
    <cfRule type="expression" priority="1529" stopIfTrue="1">
      <formula>AQ49=""</formula>
    </cfRule>
    <cfRule type="expression" dxfId="4379" priority="1530" stopIfTrue="1">
      <formula>AQ49=CléPersonnalisée2</formula>
    </cfRule>
    <cfRule type="expression" dxfId="4378" priority="1531" stopIfTrue="1">
      <formula>AQ49=CléPersonnalisée1</formula>
    </cfRule>
    <cfRule type="expression" dxfId="4377" priority="1532" stopIfTrue="1">
      <formula>AQ49=CléMaladie</formula>
    </cfRule>
    <cfRule type="expression" dxfId="4376" priority="1533" stopIfTrue="1">
      <formula>AQ49=CléPersonnelle</formula>
    </cfRule>
    <cfRule type="expression" dxfId="4375" priority="1534" stopIfTrue="1">
      <formula>AQ49=CléCongés</formula>
    </cfRule>
  </conditionalFormatting>
  <conditionalFormatting sqref="AM51 AP51">
    <cfRule type="expression" priority="1523" stopIfTrue="1">
      <formula>AM51=""</formula>
    </cfRule>
    <cfRule type="expression" dxfId="4374" priority="1524" stopIfTrue="1">
      <formula>AM51=CléPersonnalisée2</formula>
    </cfRule>
    <cfRule type="expression" dxfId="4373" priority="1525" stopIfTrue="1">
      <formula>AM51=CléPersonnalisée1</formula>
    </cfRule>
    <cfRule type="expression" dxfId="4372" priority="1526" stopIfTrue="1">
      <formula>AM51=CléMaladie</formula>
    </cfRule>
    <cfRule type="expression" dxfId="4371" priority="1527" stopIfTrue="1">
      <formula>AM51=CléPersonnelle</formula>
    </cfRule>
    <cfRule type="expression" dxfId="4370" priority="1528" stopIfTrue="1">
      <formula>AM51=CléCongés</formula>
    </cfRule>
  </conditionalFormatting>
  <conditionalFormatting sqref="C53:AG55">
    <cfRule type="expression" priority="1516" stopIfTrue="1">
      <formula>C53=""</formula>
    </cfRule>
    <cfRule type="expression" dxfId="4369" priority="1517" stopIfTrue="1">
      <formula>C53=CléPersonnalisée2</formula>
    </cfRule>
    <cfRule type="expression" dxfId="4368" priority="1518" stopIfTrue="1">
      <formula>C53=CléPersonnalisée1</formula>
    </cfRule>
    <cfRule type="expression" dxfId="4367" priority="1519" stopIfTrue="1">
      <formula>C53=CléMaladie</formula>
    </cfRule>
    <cfRule type="expression" dxfId="4366" priority="1520" stopIfTrue="1">
      <formula>C53=CléPersonnelle</formula>
    </cfRule>
    <cfRule type="expression" dxfId="4365" priority="1521" stopIfTrue="1">
      <formula>C53=CléCongés</formula>
    </cfRule>
  </conditionalFormatting>
  <conditionalFormatting sqref="AH55">
    <cfRule type="dataBar" priority="1522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{AFD4323E-4079-4C28-909D-5CF314CF30B7}</x14:id>
        </ext>
      </extLst>
    </cfRule>
  </conditionalFormatting>
  <conditionalFormatting sqref="AI55:AL55 AJ53:AL54">
    <cfRule type="expression" priority="1510" stopIfTrue="1">
      <formula>AI53=""</formula>
    </cfRule>
    <cfRule type="expression" dxfId="4364" priority="1511" stopIfTrue="1">
      <formula>AI53=CléPersonnalisée2</formula>
    </cfRule>
    <cfRule type="expression" dxfId="4363" priority="1512" stopIfTrue="1">
      <formula>AI53=CléPersonnalisée1</formula>
    </cfRule>
    <cfRule type="expression" dxfId="4362" priority="1513" stopIfTrue="1">
      <formula>AI53=CléMaladie</formula>
    </cfRule>
    <cfRule type="expression" dxfId="4361" priority="1514" stopIfTrue="1">
      <formula>AI53=CléPersonnelle</formula>
    </cfRule>
    <cfRule type="expression" dxfId="4360" priority="1515" stopIfTrue="1">
      <formula>AI53=CléCongés</formula>
    </cfRule>
  </conditionalFormatting>
  <conditionalFormatting sqref="AM53:AP54">
    <cfRule type="expression" priority="1504" stopIfTrue="1">
      <formula>AM53=""</formula>
    </cfRule>
    <cfRule type="expression" dxfId="4359" priority="1505" stopIfTrue="1">
      <formula>AM53=CléPersonnalisée2</formula>
    </cfRule>
    <cfRule type="expression" dxfId="4358" priority="1506" stopIfTrue="1">
      <formula>AM53=CléPersonnalisée1</formula>
    </cfRule>
    <cfRule type="expression" dxfId="4357" priority="1507" stopIfTrue="1">
      <formula>AM53=CléMaladie</formula>
    </cfRule>
    <cfRule type="expression" dxfId="4356" priority="1508" stopIfTrue="1">
      <formula>AM53=CléPersonnelle</formula>
    </cfRule>
    <cfRule type="expression" dxfId="4355" priority="1509" stopIfTrue="1">
      <formula>AM53=CléCongés</formula>
    </cfRule>
  </conditionalFormatting>
  <conditionalFormatting sqref="AQ53:AR54">
    <cfRule type="expression" priority="1498" stopIfTrue="1">
      <formula>AQ53=""</formula>
    </cfRule>
    <cfRule type="expression" dxfId="4354" priority="1499" stopIfTrue="1">
      <formula>AQ53=CléPersonnalisée2</formula>
    </cfRule>
    <cfRule type="expression" dxfId="4353" priority="1500" stopIfTrue="1">
      <formula>AQ53=CléPersonnalisée1</formula>
    </cfRule>
    <cfRule type="expression" dxfId="4352" priority="1501" stopIfTrue="1">
      <formula>AQ53=CléMaladie</formula>
    </cfRule>
    <cfRule type="expression" dxfId="4351" priority="1502" stopIfTrue="1">
      <formula>AQ53=CléPersonnelle</formula>
    </cfRule>
    <cfRule type="expression" dxfId="4350" priority="1503" stopIfTrue="1">
      <formula>AQ53=CléCongés</formula>
    </cfRule>
  </conditionalFormatting>
  <conditionalFormatting sqref="AM55 AP55">
    <cfRule type="expression" priority="1492" stopIfTrue="1">
      <formula>AM55=""</formula>
    </cfRule>
    <cfRule type="expression" dxfId="4349" priority="1493" stopIfTrue="1">
      <formula>AM55=CléPersonnalisée2</formula>
    </cfRule>
    <cfRule type="expression" dxfId="4348" priority="1494" stopIfTrue="1">
      <formula>AM55=CléPersonnalisée1</formula>
    </cfRule>
    <cfRule type="expression" dxfId="4347" priority="1495" stopIfTrue="1">
      <formula>AM55=CléMaladie</formula>
    </cfRule>
    <cfRule type="expression" dxfId="4346" priority="1496" stopIfTrue="1">
      <formula>AM55=CléPersonnelle</formula>
    </cfRule>
    <cfRule type="expression" dxfId="4345" priority="1497" stopIfTrue="1">
      <formula>AM55=CléCongés</formula>
    </cfRule>
  </conditionalFormatting>
  <conditionalFormatting sqref="C61:AG63">
    <cfRule type="expression" priority="1485" stopIfTrue="1">
      <formula>C61=""</formula>
    </cfRule>
    <cfRule type="expression" dxfId="4344" priority="1486" stopIfTrue="1">
      <formula>C61=CléPersonnalisée2</formula>
    </cfRule>
    <cfRule type="expression" dxfId="4343" priority="1487" stopIfTrue="1">
      <formula>C61=CléPersonnalisée1</formula>
    </cfRule>
    <cfRule type="expression" dxfId="4342" priority="1488" stopIfTrue="1">
      <formula>C61=CléMaladie</formula>
    </cfRule>
    <cfRule type="expression" dxfId="4341" priority="1489" stopIfTrue="1">
      <formula>C61=CléPersonnelle</formula>
    </cfRule>
    <cfRule type="expression" dxfId="4340" priority="1490" stopIfTrue="1">
      <formula>C61=CléCongés</formula>
    </cfRule>
  </conditionalFormatting>
  <conditionalFormatting sqref="AH63">
    <cfRule type="dataBar" priority="1491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{38A148BB-16F3-4F5D-9547-41227A89B736}</x14:id>
        </ext>
      </extLst>
    </cfRule>
  </conditionalFormatting>
  <conditionalFormatting sqref="AI63:AL63 AJ61:AL62">
    <cfRule type="expression" priority="1479" stopIfTrue="1">
      <formula>AI61=""</formula>
    </cfRule>
    <cfRule type="expression" dxfId="4339" priority="1480" stopIfTrue="1">
      <formula>AI61=CléPersonnalisée2</formula>
    </cfRule>
    <cfRule type="expression" dxfId="4338" priority="1481" stopIfTrue="1">
      <formula>AI61=CléPersonnalisée1</formula>
    </cfRule>
    <cfRule type="expression" dxfId="4337" priority="1482" stopIfTrue="1">
      <formula>AI61=CléMaladie</formula>
    </cfRule>
    <cfRule type="expression" dxfId="4336" priority="1483" stopIfTrue="1">
      <formula>AI61=CléPersonnelle</formula>
    </cfRule>
    <cfRule type="expression" dxfId="4335" priority="1484" stopIfTrue="1">
      <formula>AI61=CléCongés</formula>
    </cfRule>
  </conditionalFormatting>
  <conditionalFormatting sqref="AM61:AP62">
    <cfRule type="expression" priority="1473" stopIfTrue="1">
      <formula>AM61=""</formula>
    </cfRule>
    <cfRule type="expression" dxfId="4334" priority="1474" stopIfTrue="1">
      <formula>AM61=CléPersonnalisée2</formula>
    </cfRule>
    <cfRule type="expression" dxfId="4333" priority="1475" stopIfTrue="1">
      <formula>AM61=CléPersonnalisée1</formula>
    </cfRule>
    <cfRule type="expression" dxfId="4332" priority="1476" stopIfTrue="1">
      <formula>AM61=CléMaladie</formula>
    </cfRule>
    <cfRule type="expression" dxfId="4331" priority="1477" stopIfTrue="1">
      <formula>AM61=CléPersonnelle</formula>
    </cfRule>
    <cfRule type="expression" dxfId="4330" priority="1478" stopIfTrue="1">
      <formula>AM61=CléCongés</formula>
    </cfRule>
  </conditionalFormatting>
  <conditionalFormatting sqref="AQ61:AR62">
    <cfRule type="expression" priority="1467" stopIfTrue="1">
      <formula>AQ61=""</formula>
    </cfRule>
    <cfRule type="expression" dxfId="4329" priority="1468" stopIfTrue="1">
      <formula>AQ61=CléPersonnalisée2</formula>
    </cfRule>
    <cfRule type="expression" dxfId="4328" priority="1469" stopIfTrue="1">
      <formula>AQ61=CléPersonnalisée1</formula>
    </cfRule>
    <cfRule type="expression" dxfId="4327" priority="1470" stopIfTrue="1">
      <formula>AQ61=CléMaladie</formula>
    </cfRule>
    <cfRule type="expression" dxfId="4326" priority="1471" stopIfTrue="1">
      <formula>AQ61=CléPersonnelle</formula>
    </cfRule>
    <cfRule type="expression" dxfId="4325" priority="1472" stopIfTrue="1">
      <formula>AQ61=CléCongés</formula>
    </cfRule>
  </conditionalFormatting>
  <conditionalFormatting sqref="AM63 AP63">
    <cfRule type="expression" priority="1461" stopIfTrue="1">
      <formula>AM63=""</formula>
    </cfRule>
    <cfRule type="expression" dxfId="4324" priority="1462" stopIfTrue="1">
      <formula>AM63=CléPersonnalisée2</formula>
    </cfRule>
    <cfRule type="expression" dxfId="4323" priority="1463" stopIfTrue="1">
      <formula>AM63=CléPersonnalisée1</formula>
    </cfRule>
    <cfRule type="expression" dxfId="4322" priority="1464" stopIfTrue="1">
      <formula>AM63=CléMaladie</formula>
    </cfRule>
    <cfRule type="expression" dxfId="4321" priority="1465" stopIfTrue="1">
      <formula>AM63=CléPersonnelle</formula>
    </cfRule>
    <cfRule type="expression" dxfId="4320" priority="1466" stopIfTrue="1">
      <formula>AM63=CléCongés</formula>
    </cfRule>
  </conditionalFormatting>
  <conditionalFormatting sqref="AO39">
    <cfRule type="expression" priority="1326" stopIfTrue="1">
      <formula>AO39=""</formula>
    </cfRule>
    <cfRule type="expression" dxfId="4319" priority="1327" stopIfTrue="1">
      <formula>AO39=CléPersonnalisée2</formula>
    </cfRule>
    <cfRule type="expression" dxfId="4318" priority="1328" stopIfTrue="1">
      <formula>AO39=CléPersonnalisée1</formula>
    </cfRule>
    <cfRule type="expression" dxfId="4317" priority="1329" stopIfTrue="1">
      <formula>AO39=CléMaladie</formula>
    </cfRule>
    <cfRule type="expression" dxfId="4316" priority="1330" stopIfTrue="1">
      <formula>AO39=CléPersonnelle</formula>
    </cfRule>
    <cfRule type="expression" dxfId="4315" priority="1331" stopIfTrue="1">
      <formula>AO39=CléCongés</formula>
    </cfRule>
  </conditionalFormatting>
  <conditionalFormatting sqref="C69:AG71">
    <cfRule type="expression" priority="1454" stopIfTrue="1">
      <formula>C69=""</formula>
    </cfRule>
    <cfRule type="expression" dxfId="4314" priority="1455" stopIfTrue="1">
      <formula>C69=CléPersonnalisée2</formula>
    </cfRule>
    <cfRule type="expression" dxfId="4313" priority="1456" stopIfTrue="1">
      <formula>C69=CléPersonnalisée1</formula>
    </cfRule>
    <cfRule type="expression" dxfId="4312" priority="1457" stopIfTrue="1">
      <formula>C69=CléMaladie</formula>
    </cfRule>
    <cfRule type="expression" dxfId="4311" priority="1458" stopIfTrue="1">
      <formula>C69=CléPersonnelle</formula>
    </cfRule>
    <cfRule type="expression" dxfId="4310" priority="1459" stopIfTrue="1">
      <formula>C69=CléCongés</formula>
    </cfRule>
  </conditionalFormatting>
  <conditionalFormatting sqref="AH71">
    <cfRule type="dataBar" priority="1460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{D0FA172C-7B6C-441F-90DE-228C9DDE3E1D}</x14:id>
        </ext>
      </extLst>
    </cfRule>
  </conditionalFormatting>
  <conditionalFormatting sqref="AI71:AL71 AJ69:AL70">
    <cfRule type="expression" priority="1448" stopIfTrue="1">
      <formula>AI69=""</formula>
    </cfRule>
    <cfRule type="expression" dxfId="4309" priority="1449" stopIfTrue="1">
      <formula>AI69=CléPersonnalisée2</formula>
    </cfRule>
    <cfRule type="expression" dxfId="4308" priority="1450" stopIfTrue="1">
      <formula>AI69=CléPersonnalisée1</formula>
    </cfRule>
    <cfRule type="expression" dxfId="4307" priority="1451" stopIfTrue="1">
      <formula>AI69=CléMaladie</formula>
    </cfRule>
    <cfRule type="expression" dxfId="4306" priority="1452" stopIfTrue="1">
      <formula>AI69=CléPersonnelle</formula>
    </cfRule>
    <cfRule type="expression" dxfId="4305" priority="1453" stopIfTrue="1">
      <formula>AI69=CléCongés</formula>
    </cfRule>
  </conditionalFormatting>
  <conditionalFormatting sqref="AM69:AP70">
    <cfRule type="expression" priority="1442" stopIfTrue="1">
      <formula>AM69=""</formula>
    </cfRule>
    <cfRule type="expression" dxfId="4304" priority="1443" stopIfTrue="1">
      <formula>AM69=CléPersonnalisée2</formula>
    </cfRule>
    <cfRule type="expression" dxfId="4303" priority="1444" stopIfTrue="1">
      <formula>AM69=CléPersonnalisée1</formula>
    </cfRule>
    <cfRule type="expression" dxfId="4302" priority="1445" stopIfTrue="1">
      <formula>AM69=CléMaladie</formula>
    </cfRule>
    <cfRule type="expression" dxfId="4301" priority="1446" stopIfTrue="1">
      <formula>AM69=CléPersonnelle</formula>
    </cfRule>
    <cfRule type="expression" dxfId="4300" priority="1447" stopIfTrue="1">
      <formula>AM69=CléCongés</formula>
    </cfRule>
  </conditionalFormatting>
  <conditionalFormatting sqref="AQ69:AR70">
    <cfRule type="expression" priority="1436" stopIfTrue="1">
      <formula>AQ69=""</formula>
    </cfRule>
    <cfRule type="expression" dxfId="4299" priority="1437" stopIfTrue="1">
      <formula>AQ69=CléPersonnalisée2</formula>
    </cfRule>
    <cfRule type="expression" dxfId="4298" priority="1438" stopIfTrue="1">
      <formula>AQ69=CléPersonnalisée1</formula>
    </cfRule>
    <cfRule type="expression" dxfId="4297" priority="1439" stopIfTrue="1">
      <formula>AQ69=CléMaladie</formula>
    </cfRule>
    <cfRule type="expression" dxfId="4296" priority="1440" stopIfTrue="1">
      <formula>AQ69=CléPersonnelle</formula>
    </cfRule>
    <cfRule type="expression" dxfId="4295" priority="1441" stopIfTrue="1">
      <formula>AQ69=CléCongés</formula>
    </cfRule>
  </conditionalFormatting>
  <conditionalFormatting sqref="AM71 AP71">
    <cfRule type="expression" priority="1430" stopIfTrue="1">
      <formula>AM71=""</formula>
    </cfRule>
    <cfRule type="expression" dxfId="4294" priority="1431" stopIfTrue="1">
      <formula>AM71=CléPersonnalisée2</formula>
    </cfRule>
    <cfRule type="expression" dxfId="4293" priority="1432" stopIfTrue="1">
      <formula>AM71=CléPersonnalisée1</formula>
    </cfRule>
    <cfRule type="expression" dxfId="4292" priority="1433" stopIfTrue="1">
      <formula>AM71=CléMaladie</formula>
    </cfRule>
    <cfRule type="expression" dxfId="4291" priority="1434" stopIfTrue="1">
      <formula>AM71=CléPersonnelle</formula>
    </cfRule>
    <cfRule type="expression" dxfId="4290" priority="1435" stopIfTrue="1">
      <formula>AM71=CléCongés</formula>
    </cfRule>
  </conditionalFormatting>
  <conditionalFormatting sqref="AI23">
    <cfRule type="expression" priority="1418" stopIfTrue="1">
      <formula>AI23=""</formula>
    </cfRule>
    <cfRule type="expression" dxfId="4289" priority="1419" stopIfTrue="1">
      <formula>AI23=CléPersonnalisée2</formula>
    </cfRule>
    <cfRule type="expression" dxfId="4288" priority="1420" stopIfTrue="1">
      <formula>AI23=CléPersonnalisée1</formula>
    </cfRule>
    <cfRule type="expression" dxfId="4287" priority="1421" stopIfTrue="1">
      <formula>AI23=CléMaladie</formula>
    </cfRule>
    <cfRule type="expression" dxfId="4286" priority="1422" stopIfTrue="1">
      <formula>AI23=CléPersonnelle</formula>
    </cfRule>
    <cfRule type="expression" dxfId="4285" priority="1423" stopIfTrue="1">
      <formula>AI23=CléCongés</formula>
    </cfRule>
  </conditionalFormatting>
  <conditionalFormatting sqref="AI19">
    <cfRule type="expression" priority="1424" stopIfTrue="1">
      <formula>AI19=""</formula>
    </cfRule>
    <cfRule type="expression" dxfId="4284" priority="1425" stopIfTrue="1">
      <formula>AI19=CléPersonnalisée2</formula>
    </cfRule>
    <cfRule type="expression" dxfId="4283" priority="1426" stopIfTrue="1">
      <formula>AI19=CléPersonnalisée1</formula>
    </cfRule>
    <cfRule type="expression" dxfId="4282" priority="1427" stopIfTrue="1">
      <formula>AI19=CléMaladie</formula>
    </cfRule>
    <cfRule type="expression" dxfId="4281" priority="1428" stopIfTrue="1">
      <formula>AI19=CléPersonnelle</formula>
    </cfRule>
    <cfRule type="expression" dxfId="4280" priority="1429" stopIfTrue="1">
      <formula>AI19=CléCongés</formula>
    </cfRule>
  </conditionalFormatting>
  <conditionalFormatting sqref="AI25:AI26">
    <cfRule type="expression" priority="1272" stopIfTrue="1">
      <formula>AI25=""</formula>
    </cfRule>
    <cfRule type="expression" dxfId="4279" priority="1273" stopIfTrue="1">
      <formula>AI25=CléPersonnalisée2</formula>
    </cfRule>
    <cfRule type="expression" dxfId="4278" priority="1274" stopIfTrue="1">
      <formula>AI25=CléPersonnalisée1</formula>
    </cfRule>
    <cfRule type="expression" dxfId="4277" priority="1275" stopIfTrue="1">
      <formula>AI25=CléMaladie</formula>
    </cfRule>
    <cfRule type="expression" dxfId="4276" priority="1276" stopIfTrue="1">
      <formula>AI25=CléPersonnelle</formula>
    </cfRule>
    <cfRule type="expression" dxfId="4275" priority="1277" stopIfTrue="1">
      <formula>AI25=CléCongés</formula>
    </cfRule>
  </conditionalFormatting>
  <conditionalFormatting sqref="AH19">
    <cfRule type="dataBar" priority="1417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{36556E24-69E7-4DBE-9F06-68891F568D5E}</x14:id>
        </ext>
      </extLst>
    </cfRule>
  </conditionalFormatting>
  <conditionalFormatting sqref="AH23">
    <cfRule type="dataBar" priority="1416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{77DD790A-DF9C-4ED8-BAE1-6E88DE7C96A7}</x14:id>
        </ext>
      </extLst>
    </cfRule>
  </conditionalFormatting>
  <conditionalFormatting sqref="AM17:AP18">
    <cfRule type="expression" priority="1410" stopIfTrue="1">
      <formula>AM17=""</formula>
    </cfRule>
    <cfRule type="expression" dxfId="4274" priority="1411" stopIfTrue="1">
      <formula>AM17=CléPersonnalisée2</formula>
    </cfRule>
    <cfRule type="expression" dxfId="4273" priority="1412" stopIfTrue="1">
      <formula>AM17=CléPersonnalisée1</formula>
    </cfRule>
    <cfRule type="expression" dxfId="4272" priority="1413" stopIfTrue="1">
      <formula>AM17=CléMaladie</formula>
    </cfRule>
    <cfRule type="expression" dxfId="4271" priority="1414" stopIfTrue="1">
      <formula>AM17=CléPersonnelle</formula>
    </cfRule>
    <cfRule type="expression" dxfId="4270" priority="1415" stopIfTrue="1">
      <formula>AM17=CléCongés</formula>
    </cfRule>
  </conditionalFormatting>
  <conditionalFormatting sqref="AQ17:AR18">
    <cfRule type="expression" priority="1404" stopIfTrue="1">
      <formula>AQ17=""</formula>
    </cfRule>
    <cfRule type="expression" dxfId="4269" priority="1405" stopIfTrue="1">
      <formula>AQ17=CléPersonnalisée2</formula>
    </cfRule>
    <cfRule type="expression" dxfId="4268" priority="1406" stopIfTrue="1">
      <formula>AQ17=CléPersonnalisée1</formula>
    </cfRule>
    <cfRule type="expression" dxfId="4267" priority="1407" stopIfTrue="1">
      <formula>AQ17=CléMaladie</formula>
    </cfRule>
    <cfRule type="expression" dxfId="4266" priority="1408" stopIfTrue="1">
      <formula>AQ17=CléPersonnelle</formula>
    </cfRule>
    <cfRule type="expression" dxfId="4265" priority="1409" stopIfTrue="1">
      <formula>AQ17=CléCongés</formula>
    </cfRule>
  </conditionalFormatting>
  <conditionalFormatting sqref="AM19 AP19">
    <cfRule type="expression" priority="1398" stopIfTrue="1">
      <formula>AM19=""</formula>
    </cfRule>
    <cfRule type="expression" dxfId="4264" priority="1399" stopIfTrue="1">
      <formula>AM19=CléPersonnalisée2</formula>
    </cfRule>
    <cfRule type="expression" dxfId="4263" priority="1400" stopIfTrue="1">
      <formula>AM19=CléPersonnalisée1</formula>
    </cfRule>
    <cfRule type="expression" dxfId="4262" priority="1401" stopIfTrue="1">
      <formula>AM19=CléMaladie</formula>
    </cfRule>
    <cfRule type="expression" dxfId="4261" priority="1402" stopIfTrue="1">
      <formula>AM19=CléPersonnelle</formula>
    </cfRule>
    <cfRule type="expression" dxfId="4260" priority="1403" stopIfTrue="1">
      <formula>AM19=CléCongés</formula>
    </cfRule>
  </conditionalFormatting>
  <conditionalFormatting sqref="AO31">
    <cfRule type="expression" priority="1338" stopIfTrue="1">
      <formula>AO31=""</formula>
    </cfRule>
    <cfRule type="expression" dxfId="4259" priority="1339" stopIfTrue="1">
      <formula>AO31=CléPersonnalisée2</formula>
    </cfRule>
    <cfRule type="expression" dxfId="4258" priority="1340" stopIfTrue="1">
      <formula>AO31=CléPersonnalisée1</formula>
    </cfRule>
    <cfRule type="expression" dxfId="4257" priority="1341" stopIfTrue="1">
      <formula>AO31=CléMaladie</formula>
    </cfRule>
    <cfRule type="expression" dxfId="4256" priority="1342" stopIfTrue="1">
      <formula>AO31=CléPersonnelle</formula>
    </cfRule>
    <cfRule type="expression" dxfId="4255" priority="1343" stopIfTrue="1">
      <formula>AO31=CléCongés</formula>
    </cfRule>
  </conditionalFormatting>
  <conditionalFormatting sqref="AM21:AP22">
    <cfRule type="expression" priority="1392" stopIfTrue="1">
      <formula>AM21=""</formula>
    </cfRule>
    <cfRule type="expression" dxfId="4254" priority="1393" stopIfTrue="1">
      <formula>AM21=CléPersonnalisée2</formula>
    </cfRule>
    <cfRule type="expression" dxfId="4253" priority="1394" stopIfTrue="1">
      <formula>AM21=CléPersonnalisée1</formula>
    </cfRule>
    <cfRule type="expression" dxfId="4252" priority="1395" stopIfTrue="1">
      <formula>AM21=CléMaladie</formula>
    </cfRule>
    <cfRule type="expression" dxfId="4251" priority="1396" stopIfTrue="1">
      <formula>AM21=CléPersonnelle</formula>
    </cfRule>
    <cfRule type="expression" dxfId="4250" priority="1397" stopIfTrue="1">
      <formula>AM21=CléCongés</formula>
    </cfRule>
  </conditionalFormatting>
  <conditionalFormatting sqref="AQ21:AR22">
    <cfRule type="expression" priority="1386" stopIfTrue="1">
      <formula>AQ21=""</formula>
    </cfRule>
    <cfRule type="expression" dxfId="4249" priority="1387" stopIfTrue="1">
      <formula>AQ21=CléPersonnalisée2</formula>
    </cfRule>
    <cfRule type="expression" dxfId="4248" priority="1388" stopIfTrue="1">
      <formula>AQ21=CléPersonnalisée1</formula>
    </cfRule>
    <cfRule type="expression" dxfId="4247" priority="1389" stopIfTrue="1">
      <formula>AQ21=CléMaladie</formula>
    </cfRule>
    <cfRule type="expression" dxfId="4246" priority="1390" stopIfTrue="1">
      <formula>AQ21=CléPersonnelle</formula>
    </cfRule>
    <cfRule type="expression" dxfId="4245" priority="1391" stopIfTrue="1">
      <formula>AQ21=CléCongés</formula>
    </cfRule>
  </conditionalFormatting>
  <conditionalFormatting sqref="AM23 AP23">
    <cfRule type="expression" priority="1380" stopIfTrue="1">
      <formula>AM23=""</formula>
    </cfRule>
    <cfRule type="expression" dxfId="4244" priority="1381" stopIfTrue="1">
      <formula>AM23=CléPersonnalisée2</formula>
    </cfRule>
    <cfRule type="expression" dxfId="4243" priority="1382" stopIfTrue="1">
      <formula>AM23=CléPersonnalisée1</formula>
    </cfRule>
    <cfRule type="expression" dxfId="4242" priority="1383" stopIfTrue="1">
      <formula>AM23=CléMaladie</formula>
    </cfRule>
    <cfRule type="expression" dxfId="4241" priority="1384" stopIfTrue="1">
      <formula>AM23=CléPersonnelle</formula>
    </cfRule>
    <cfRule type="expression" dxfId="4240" priority="1385" stopIfTrue="1">
      <formula>AM23=CléCongés</formula>
    </cfRule>
  </conditionalFormatting>
  <conditionalFormatting sqref="AH17:AH18">
    <cfRule type="dataBar" priority="1379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{7BA6A603-8E29-44A4-9A41-7324652C7DC2}</x14:id>
        </ext>
      </extLst>
    </cfRule>
  </conditionalFormatting>
  <conditionalFormatting sqref="AH21:AH22">
    <cfRule type="dataBar" priority="1378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{AF24F1A1-12C6-4E6C-979B-4886FCB54AB2}</x14:id>
        </ext>
      </extLst>
    </cfRule>
  </conditionalFormatting>
  <conditionalFormatting sqref="AH25:AH26">
    <cfRule type="dataBar" priority="1377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{F7C929FD-2C26-4B72-B9F4-80871E8447A8}</x14:id>
        </ext>
      </extLst>
    </cfRule>
  </conditionalFormatting>
  <conditionalFormatting sqref="AH29:AH30">
    <cfRule type="dataBar" priority="1376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{3DB024ED-D985-4264-8822-C95FFAA61023}</x14:id>
        </ext>
      </extLst>
    </cfRule>
  </conditionalFormatting>
  <conditionalFormatting sqref="AH33:AH34">
    <cfRule type="dataBar" priority="1375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{DF243291-CBE3-48CA-ADC0-1BF32DC04868}</x14:id>
        </ext>
      </extLst>
    </cfRule>
  </conditionalFormatting>
  <conditionalFormatting sqref="AH37:AH38">
    <cfRule type="dataBar" priority="1374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{29079932-B4D4-4BEB-9EFD-CCB0D733FC08}</x14:id>
        </ext>
      </extLst>
    </cfRule>
  </conditionalFormatting>
  <conditionalFormatting sqref="AH41:AH42">
    <cfRule type="dataBar" priority="1373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{CCA00E7E-D0E2-4847-A1AA-4ADD4E7EE19A}</x14:id>
        </ext>
      </extLst>
    </cfRule>
  </conditionalFormatting>
  <conditionalFormatting sqref="AH45:AH46">
    <cfRule type="dataBar" priority="1372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{EC5853C2-2C3C-4D65-93A5-59645DE668EB}</x14:id>
        </ext>
      </extLst>
    </cfRule>
  </conditionalFormatting>
  <conditionalFormatting sqref="AH49:AH50">
    <cfRule type="dataBar" priority="1371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{81921D9E-F889-441C-BB1B-7624BA1B7C07}</x14:id>
        </ext>
      </extLst>
    </cfRule>
  </conditionalFormatting>
  <conditionalFormatting sqref="AH53:AH54">
    <cfRule type="dataBar" priority="1370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{C4714220-B890-4171-A5C0-FBCA968466BF}</x14:id>
        </ext>
      </extLst>
    </cfRule>
  </conditionalFormatting>
  <conditionalFormatting sqref="AH61:AH62">
    <cfRule type="dataBar" priority="1369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{AA0107E0-084F-40D9-8043-8A81635BE838}</x14:id>
        </ext>
      </extLst>
    </cfRule>
  </conditionalFormatting>
  <conditionalFormatting sqref="AH69:AH70">
    <cfRule type="dataBar" priority="1368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{3AC99FD9-CB2F-44C8-91D3-0F4B67F902EF}</x14:id>
        </ext>
      </extLst>
    </cfRule>
  </conditionalFormatting>
  <conditionalFormatting sqref="AO11">
    <cfRule type="expression" priority="1362" stopIfTrue="1">
      <formula>AO11=""</formula>
    </cfRule>
    <cfRule type="expression" dxfId="4239" priority="1363" stopIfTrue="1">
      <formula>AO11=CléPersonnalisée2</formula>
    </cfRule>
    <cfRule type="expression" dxfId="4238" priority="1364" stopIfTrue="1">
      <formula>AO11=CléPersonnalisée1</formula>
    </cfRule>
    <cfRule type="expression" dxfId="4237" priority="1365" stopIfTrue="1">
      <formula>AO11=CléMaladie</formula>
    </cfRule>
    <cfRule type="expression" dxfId="4236" priority="1366" stopIfTrue="1">
      <formula>AO11=CléPersonnelle</formula>
    </cfRule>
    <cfRule type="expression" dxfId="4235" priority="1367" stopIfTrue="1">
      <formula>AO11=CléCongés</formula>
    </cfRule>
  </conditionalFormatting>
  <conditionalFormatting sqref="AO19">
    <cfRule type="expression" priority="1356" stopIfTrue="1">
      <formula>AO19=""</formula>
    </cfRule>
    <cfRule type="expression" dxfId="4234" priority="1357" stopIfTrue="1">
      <formula>AO19=CléPersonnalisée2</formula>
    </cfRule>
    <cfRule type="expression" dxfId="4233" priority="1358" stopIfTrue="1">
      <formula>AO19=CléPersonnalisée1</formula>
    </cfRule>
    <cfRule type="expression" dxfId="4232" priority="1359" stopIfTrue="1">
      <formula>AO19=CléMaladie</formula>
    </cfRule>
    <cfRule type="expression" dxfId="4231" priority="1360" stopIfTrue="1">
      <formula>AO19=CléPersonnelle</formula>
    </cfRule>
    <cfRule type="expression" dxfId="4230" priority="1361" stopIfTrue="1">
      <formula>AO19=CléCongés</formula>
    </cfRule>
  </conditionalFormatting>
  <conditionalFormatting sqref="AO23">
    <cfRule type="expression" priority="1350" stopIfTrue="1">
      <formula>AO23=""</formula>
    </cfRule>
    <cfRule type="expression" dxfId="4229" priority="1351" stopIfTrue="1">
      <formula>AO23=CléPersonnalisée2</formula>
    </cfRule>
    <cfRule type="expression" dxfId="4228" priority="1352" stopIfTrue="1">
      <formula>AO23=CléPersonnalisée1</formula>
    </cfRule>
    <cfRule type="expression" dxfId="4227" priority="1353" stopIfTrue="1">
      <formula>AO23=CléMaladie</formula>
    </cfRule>
    <cfRule type="expression" dxfId="4226" priority="1354" stopIfTrue="1">
      <formula>AO23=CléPersonnelle</formula>
    </cfRule>
    <cfRule type="expression" dxfId="4225" priority="1355" stopIfTrue="1">
      <formula>AO23=CléCongés</formula>
    </cfRule>
  </conditionalFormatting>
  <conditionalFormatting sqref="AO27">
    <cfRule type="expression" priority="1344" stopIfTrue="1">
      <formula>AO27=""</formula>
    </cfRule>
    <cfRule type="expression" dxfId="4224" priority="1345" stopIfTrue="1">
      <formula>AO27=CléPersonnalisée2</formula>
    </cfRule>
    <cfRule type="expression" dxfId="4223" priority="1346" stopIfTrue="1">
      <formula>AO27=CléPersonnalisée1</formula>
    </cfRule>
    <cfRule type="expression" dxfId="4222" priority="1347" stopIfTrue="1">
      <formula>AO27=CléMaladie</formula>
    </cfRule>
    <cfRule type="expression" dxfId="4221" priority="1348" stopIfTrue="1">
      <formula>AO27=CléPersonnelle</formula>
    </cfRule>
    <cfRule type="expression" dxfId="4220" priority="1349" stopIfTrue="1">
      <formula>AO27=CléCongés</formula>
    </cfRule>
  </conditionalFormatting>
  <conditionalFormatting sqref="AM65:AP66">
    <cfRule type="expression" priority="1096" stopIfTrue="1">
      <formula>AM65=""</formula>
    </cfRule>
    <cfRule type="expression" dxfId="4219" priority="1097" stopIfTrue="1">
      <formula>AM65=CléPersonnalisée2</formula>
    </cfRule>
    <cfRule type="expression" dxfId="4218" priority="1098" stopIfTrue="1">
      <formula>AM65=CléPersonnalisée1</formula>
    </cfRule>
    <cfRule type="expression" dxfId="4217" priority="1099" stopIfTrue="1">
      <formula>AM65=CléMaladie</formula>
    </cfRule>
    <cfRule type="expression" dxfId="4216" priority="1100" stopIfTrue="1">
      <formula>AM65=CléPersonnelle</formula>
    </cfRule>
    <cfRule type="expression" dxfId="4215" priority="1101" stopIfTrue="1">
      <formula>AM65=CléCongés</formula>
    </cfRule>
  </conditionalFormatting>
  <conditionalFormatting sqref="AO35">
    <cfRule type="expression" priority="1332" stopIfTrue="1">
      <formula>AO35=""</formula>
    </cfRule>
    <cfRule type="expression" dxfId="4214" priority="1333" stopIfTrue="1">
      <formula>AO35=CléPersonnalisée2</formula>
    </cfRule>
    <cfRule type="expression" dxfId="4213" priority="1334" stopIfTrue="1">
      <formula>AO35=CléPersonnalisée1</formula>
    </cfRule>
    <cfRule type="expression" dxfId="4212" priority="1335" stopIfTrue="1">
      <formula>AO35=CléMaladie</formula>
    </cfRule>
    <cfRule type="expression" dxfId="4211" priority="1336" stopIfTrue="1">
      <formula>AO35=CléPersonnelle</formula>
    </cfRule>
    <cfRule type="expression" dxfId="4210" priority="1337" stopIfTrue="1">
      <formula>AO35=CléCongés</formula>
    </cfRule>
  </conditionalFormatting>
  <conditionalFormatting sqref="AM67 AP67">
    <cfRule type="expression" priority="1084" stopIfTrue="1">
      <formula>AM67=""</formula>
    </cfRule>
    <cfRule type="expression" dxfId="4209" priority="1085" stopIfTrue="1">
      <formula>AM67=CléPersonnalisée2</formula>
    </cfRule>
    <cfRule type="expression" dxfId="4208" priority="1086" stopIfTrue="1">
      <formula>AM67=CléPersonnalisée1</formula>
    </cfRule>
    <cfRule type="expression" dxfId="4207" priority="1087" stopIfTrue="1">
      <formula>AM67=CléMaladie</formula>
    </cfRule>
    <cfRule type="expression" dxfId="4206" priority="1088" stopIfTrue="1">
      <formula>AM67=CléPersonnelle</formula>
    </cfRule>
    <cfRule type="expression" dxfId="4205" priority="1089" stopIfTrue="1">
      <formula>AM67=CléCongés</formula>
    </cfRule>
  </conditionalFormatting>
  <conditionalFormatting sqref="AO43">
    <cfRule type="expression" priority="1320" stopIfTrue="1">
      <formula>AO43=""</formula>
    </cfRule>
    <cfRule type="expression" dxfId="4204" priority="1321" stopIfTrue="1">
      <formula>AO43=CléPersonnalisée2</formula>
    </cfRule>
    <cfRule type="expression" dxfId="4203" priority="1322" stopIfTrue="1">
      <formula>AO43=CléPersonnalisée1</formula>
    </cfRule>
    <cfRule type="expression" dxfId="4202" priority="1323" stopIfTrue="1">
      <formula>AO43=CléMaladie</formula>
    </cfRule>
    <cfRule type="expression" dxfId="4201" priority="1324" stopIfTrue="1">
      <formula>AO43=CléPersonnelle</formula>
    </cfRule>
    <cfRule type="expression" dxfId="4200" priority="1325" stopIfTrue="1">
      <formula>AO43=CléCongés</formula>
    </cfRule>
  </conditionalFormatting>
  <conditionalFormatting sqref="AO47">
    <cfRule type="expression" priority="1314" stopIfTrue="1">
      <formula>AO47=""</formula>
    </cfRule>
    <cfRule type="expression" dxfId="4199" priority="1315" stopIfTrue="1">
      <formula>AO47=CléPersonnalisée2</formula>
    </cfRule>
    <cfRule type="expression" dxfId="4198" priority="1316" stopIfTrue="1">
      <formula>AO47=CléPersonnalisée1</formula>
    </cfRule>
    <cfRule type="expression" dxfId="4197" priority="1317" stopIfTrue="1">
      <formula>AO47=CléMaladie</formula>
    </cfRule>
    <cfRule type="expression" dxfId="4196" priority="1318" stopIfTrue="1">
      <formula>AO47=CléPersonnelle</formula>
    </cfRule>
    <cfRule type="expression" dxfId="4195" priority="1319" stopIfTrue="1">
      <formula>AO47=CléCongés</formula>
    </cfRule>
  </conditionalFormatting>
  <conditionalFormatting sqref="AO51">
    <cfRule type="expression" priority="1308" stopIfTrue="1">
      <formula>AO51=""</formula>
    </cfRule>
    <cfRule type="expression" dxfId="4194" priority="1309" stopIfTrue="1">
      <formula>AO51=CléPersonnalisée2</formula>
    </cfRule>
    <cfRule type="expression" dxfId="4193" priority="1310" stopIfTrue="1">
      <formula>AO51=CléPersonnalisée1</formula>
    </cfRule>
    <cfRule type="expression" dxfId="4192" priority="1311" stopIfTrue="1">
      <formula>AO51=CléMaladie</formula>
    </cfRule>
    <cfRule type="expression" dxfId="4191" priority="1312" stopIfTrue="1">
      <formula>AO51=CléPersonnelle</formula>
    </cfRule>
    <cfRule type="expression" dxfId="4190" priority="1313" stopIfTrue="1">
      <formula>AO51=CléCongés</formula>
    </cfRule>
  </conditionalFormatting>
  <conditionalFormatting sqref="AO55">
    <cfRule type="expression" priority="1302" stopIfTrue="1">
      <formula>AO55=""</formula>
    </cfRule>
    <cfRule type="expression" dxfId="4189" priority="1303" stopIfTrue="1">
      <formula>AO55=CléPersonnalisée2</formula>
    </cfRule>
    <cfRule type="expression" dxfId="4188" priority="1304" stopIfTrue="1">
      <formula>AO55=CléPersonnalisée1</formula>
    </cfRule>
    <cfRule type="expression" dxfId="4187" priority="1305" stopIfTrue="1">
      <formula>AO55=CléMaladie</formula>
    </cfRule>
    <cfRule type="expression" dxfId="4186" priority="1306" stopIfTrue="1">
      <formula>AO55=CléPersonnelle</formula>
    </cfRule>
    <cfRule type="expression" dxfId="4185" priority="1307" stopIfTrue="1">
      <formula>AO55=CléCongés</formula>
    </cfRule>
  </conditionalFormatting>
  <conditionalFormatting sqref="AO63">
    <cfRule type="expression" priority="1296" stopIfTrue="1">
      <formula>AO63=""</formula>
    </cfRule>
    <cfRule type="expression" dxfId="4184" priority="1297" stopIfTrue="1">
      <formula>AO63=CléPersonnalisée2</formula>
    </cfRule>
    <cfRule type="expression" dxfId="4183" priority="1298" stopIfTrue="1">
      <formula>AO63=CléPersonnalisée1</formula>
    </cfRule>
    <cfRule type="expression" dxfId="4182" priority="1299" stopIfTrue="1">
      <formula>AO63=CléMaladie</formula>
    </cfRule>
    <cfRule type="expression" dxfId="4181" priority="1300" stopIfTrue="1">
      <formula>AO63=CléPersonnelle</formula>
    </cfRule>
    <cfRule type="expression" dxfId="4180" priority="1301" stopIfTrue="1">
      <formula>AO63=CléCongés</formula>
    </cfRule>
  </conditionalFormatting>
  <conditionalFormatting sqref="AO71">
    <cfRule type="expression" priority="1290" stopIfTrue="1">
      <formula>AO71=""</formula>
    </cfRule>
    <cfRule type="expression" dxfId="4179" priority="1291" stopIfTrue="1">
      <formula>AO71=CléPersonnalisée2</formula>
    </cfRule>
    <cfRule type="expression" dxfId="4178" priority="1292" stopIfTrue="1">
      <formula>AO71=CléPersonnalisée1</formula>
    </cfRule>
    <cfRule type="expression" dxfId="4177" priority="1293" stopIfTrue="1">
      <formula>AO71=CléMaladie</formula>
    </cfRule>
    <cfRule type="expression" dxfId="4176" priority="1294" stopIfTrue="1">
      <formula>AO71=CléPersonnelle</formula>
    </cfRule>
    <cfRule type="expression" dxfId="4175" priority="1295" stopIfTrue="1">
      <formula>AO71=CléCongés</formula>
    </cfRule>
  </conditionalFormatting>
  <conditionalFormatting sqref="AI17:AI18">
    <cfRule type="expression" priority="1284" stopIfTrue="1">
      <formula>AI17=""</formula>
    </cfRule>
    <cfRule type="expression" dxfId="4174" priority="1285" stopIfTrue="1">
      <formula>AI17=CléPersonnalisée2</formula>
    </cfRule>
    <cfRule type="expression" dxfId="4173" priority="1286" stopIfTrue="1">
      <formula>AI17=CléPersonnalisée1</formula>
    </cfRule>
    <cfRule type="expression" dxfId="4172" priority="1287" stopIfTrue="1">
      <formula>AI17=CléMaladie</formula>
    </cfRule>
    <cfRule type="expression" dxfId="4171" priority="1288" stopIfTrue="1">
      <formula>AI17=CléPersonnelle</formula>
    </cfRule>
    <cfRule type="expression" dxfId="4170" priority="1289" stopIfTrue="1">
      <formula>AI17=CléCongés</formula>
    </cfRule>
  </conditionalFormatting>
  <conditionalFormatting sqref="AI21:AI22">
    <cfRule type="expression" priority="1278" stopIfTrue="1">
      <formula>AI21=""</formula>
    </cfRule>
    <cfRule type="expression" dxfId="4169" priority="1279" stopIfTrue="1">
      <formula>AI21=CléPersonnalisée2</formula>
    </cfRule>
    <cfRule type="expression" dxfId="4168" priority="1280" stopIfTrue="1">
      <formula>AI21=CléPersonnalisée1</formula>
    </cfRule>
    <cfRule type="expression" dxfId="4167" priority="1281" stopIfTrue="1">
      <formula>AI21=CléMaladie</formula>
    </cfRule>
    <cfRule type="expression" dxfId="4166" priority="1282" stopIfTrue="1">
      <formula>AI21=CléPersonnelle</formula>
    </cfRule>
    <cfRule type="expression" dxfId="4165" priority="1283" stopIfTrue="1">
      <formula>AI21=CléCongés</formula>
    </cfRule>
  </conditionalFormatting>
  <conditionalFormatting sqref="AI29:AI30">
    <cfRule type="expression" priority="1266" stopIfTrue="1">
      <formula>AI29=""</formula>
    </cfRule>
    <cfRule type="expression" dxfId="4164" priority="1267" stopIfTrue="1">
      <formula>AI29=CléPersonnalisée2</formula>
    </cfRule>
    <cfRule type="expression" dxfId="4163" priority="1268" stopIfTrue="1">
      <formula>AI29=CléPersonnalisée1</formula>
    </cfRule>
    <cfRule type="expression" dxfId="4162" priority="1269" stopIfTrue="1">
      <formula>AI29=CléMaladie</formula>
    </cfRule>
    <cfRule type="expression" dxfId="4161" priority="1270" stopIfTrue="1">
      <formula>AI29=CléPersonnelle</formula>
    </cfRule>
    <cfRule type="expression" dxfId="4160" priority="1271" stopIfTrue="1">
      <formula>AI29=CléCongés</formula>
    </cfRule>
  </conditionalFormatting>
  <conditionalFormatting sqref="AI33:AI34">
    <cfRule type="expression" priority="1260" stopIfTrue="1">
      <formula>AI33=""</formula>
    </cfRule>
    <cfRule type="expression" dxfId="4159" priority="1261" stopIfTrue="1">
      <formula>AI33=CléPersonnalisée2</formula>
    </cfRule>
    <cfRule type="expression" dxfId="4158" priority="1262" stopIfTrue="1">
      <formula>AI33=CléPersonnalisée1</formula>
    </cfRule>
    <cfRule type="expression" dxfId="4157" priority="1263" stopIfTrue="1">
      <formula>AI33=CléMaladie</formula>
    </cfRule>
    <cfRule type="expression" dxfId="4156" priority="1264" stopIfTrue="1">
      <formula>AI33=CléPersonnelle</formula>
    </cfRule>
    <cfRule type="expression" dxfId="4155" priority="1265" stopIfTrue="1">
      <formula>AI33=CléCongés</formula>
    </cfRule>
  </conditionalFormatting>
  <conditionalFormatting sqref="AI37:AI38">
    <cfRule type="expression" priority="1254" stopIfTrue="1">
      <formula>AI37=""</formula>
    </cfRule>
    <cfRule type="expression" dxfId="4154" priority="1255" stopIfTrue="1">
      <formula>AI37=CléPersonnalisée2</formula>
    </cfRule>
    <cfRule type="expression" dxfId="4153" priority="1256" stopIfTrue="1">
      <formula>AI37=CléPersonnalisée1</formula>
    </cfRule>
    <cfRule type="expression" dxfId="4152" priority="1257" stopIfTrue="1">
      <formula>AI37=CléMaladie</formula>
    </cfRule>
    <cfRule type="expression" dxfId="4151" priority="1258" stopIfTrue="1">
      <formula>AI37=CléPersonnelle</formula>
    </cfRule>
    <cfRule type="expression" dxfId="4150" priority="1259" stopIfTrue="1">
      <formula>AI37=CléCongés</formula>
    </cfRule>
  </conditionalFormatting>
  <conditionalFormatting sqref="AI41:AI42">
    <cfRule type="expression" priority="1248" stopIfTrue="1">
      <formula>AI41=""</formula>
    </cfRule>
    <cfRule type="expression" dxfId="4149" priority="1249" stopIfTrue="1">
      <formula>AI41=CléPersonnalisée2</formula>
    </cfRule>
    <cfRule type="expression" dxfId="4148" priority="1250" stopIfTrue="1">
      <formula>AI41=CléPersonnalisée1</formula>
    </cfRule>
    <cfRule type="expression" dxfId="4147" priority="1251" stopIfTrue="1">
      <formula>AI41=CléMaladie</formula>
    </cfRule>
    <cfRule type="expression" dxfId="4146" priority="1252" stopIfTrue="1">
      <formula>AI41=CléPersonnelle</formula>
    </cfRule>
    <cfRule type="expression" dxfId="4145" priority="1253" stopIfTrue="1">
      <formula>AI41=CléCongés</formula>
    </cfRule>
  </conditionalFormatting>
  <conditionalFormatting sqref="AI45:AI46">
    <cfRule type="expression" priority="1242" stopIfTrue="1">
      <formula>AI45=""</formula>
    </cfRule>
    <cfRule type="expression" dxfId="4144" priority="1243" stopIfTrue="1">
      <formula>AI45=CléPersonnalisée2</formula>
    </cfRule>
    <cfRule type="expression" dxfId="4143" priority="1244" stopIfTrue="1">
      <formula>AI45=CléPersonnalisée1</formula>
    </cfRule>
    <cfRule type="expression" dxfId="4142" priority="1245" stopIfTrue="1">
      <formula>AI45=CléMaladie</formula>
    </cfRule>
    <cfRule type="expression" dxfId="4141" priority="1246" stopIfTrue="1">
      <formula>AI45=CléPersonnelle</formula>
    </cfRule>
    <cfRule type="expression" dxfId="4140" priority="1247" stopIfTrue="1">
      <formula>AI45=CléCongés</formula>
    </cfRule>
  </conditionalFormatting>
  <conditionalFormatting sqref="AI49:AI50">
    <cfRule type="expression" priority="1236" stopIfTrue="1">
      <formula>AI49=""</formula>
    </cfRule>
    <cfRule type="expression" dxfId="4139" priority="1237" stopIfTrue="1">
      <formula>AI49=CléPersonnalisée2</formula>
    </cfRule>
    <cfRule type="expression" dxfId="4138" priority="1238" stopIfTrue="1">
      <formula>AI49=CléPersonnalisée1</formula>
    </cfRule>
    <cfRule type="expression" dxfId="4137" priority="1239" stopIfTrue="1">
      <formula>AI49=CléMaladie</formula>
    </cfRule>
    <cfRule type="expression" dxfId="4136" priority="1240" stopIfTrue="1">
      <formula>AI49=CléPersonnelle</formula>
    </cfRule>
    <cfRule type="expression" dxfId="4135" priority="1241" stopIfTrue="1">
      <formula>AI49=CléCongés</formula>
    </cfRule>
  </conditionalFormatting>
  <conditionalFormatting sqref="AI53:AI54">
    <cfRule type="expression" priority="1230" stopIfTrue="1">
      <formula>AI53=""</formula>
    </cfRule>
    <cfRule type="expression" dxfId="4134" priority="1231" stopIfTrue="1">
      <formula>AI53=CléPersonnalisée2</formula>
    </cfRule>
    <cfRule type="expression" dxfId="4133" priority="1232" stopIfTrue="1">
      <formula>AI53=CléPersonnalisée1</formula>
    </cfRule>
    <cfRule type="expression" dxfId="4132" priority="1233" stopIfTrue="1">
      <formula>AI53=CléMaladie</formula>
    </cfRule>
    <cfRule type="expression" dxfId="4131" priority="1234" stopIfTrue="1">
      <formula>AI53=CléPersonnelle</formula>
    </cfRule>
    <cfRule type="expression" dxfId="4130" priority="1235" stopIfTrue="1">
      <formula>AI53=CléCongés</formula>
    </cfRule>
  </conditionalFormatting>
  <conditionalFormatting sqref="AI61:AI62">
    <cfRule type="expression" priority="1224" stopIfTrue="1">
      <formula>AI61=""</formula>
    </cfRule>
    <cfRule type="expression" dxfId="4129" priority="1225" stopIfTrue="1">
      <formula>AI61=CléPersonnalisée2</formula>
    </cfRule>
    <cfRule type="expression" dxfId="4128" priority="1226" stopIfTrue="1">
      <formula>AI61=CléPersonnalisée1</formula>
    </cfRule>
    <cfRule type="expression" dxfId="4127" priority="1227" stopIfTrue="1">
      <formula>AI61=CléMaladie</formula>
    </cfRule>
    <cfRule type="expression" dxfId="4126" priority="1228" stopIfTrue="1">
      <formula>AI61=CléPersonnelle</formula>
    </cfRule>
    <cfRule type="expression" dxfId="4125" priority="1229" stopIfTrue="1">
      <formula>AI61=CléCongés</formula>
    </cfRule>
  </conditionalFormatting>
  <conditionalFormatting sqref="AI69:AI70">
    <cfRule type="expression" priority="1218" stopIfTrue="1">
      <formula>AI69=""</formula>
    </cfRule>
    <cfRule type="expression" dxfId="4124" priority="1219" stopIfTrue="1">
      <formula>AI69=CléPersonnalisée2</formula>
    </cfRule>
    <cfRule type="expression" dxfId="4123" priority="1220" stopIfTrue="1">
      <formula>AI69=CléPersonnalisée1</formula>
    </cfRule>
    <cfRule type="expression" dxfId="4122" priority="1221" stopIfTrue="1">
      <formula>AI69=CléMaladie</formula>
    </cfRule>
    <cfRule type="expression" dxfId="4121" priority="1222" stopIfTrue="1">
      <formula>AI69=CléPersonnelle</formula>
    </cfRule>
    <cfRule type="expression" dxfId="4120" priority="1223" stopIfTrue="1">
      <formula>AI69=CléCongés</formula>
    </cfRule>
  </conditionalFormatting>
  <conditionalFormatting sqref="AN11">
    <cfRule type="expression" priority="1212" stopIfTrue="1">
      <formula>AN11=""</formula>
    </cfRule>
    <cfRule type="expression" dxfId="4119" priority="1213" stopIfTrue="1">
      <formula>AN11=CléPersonnalisée2</formula>
    </cfRule>
    <cfRule type="expression" dxfId="4118" priority="1214" stopIfTrue="1">
      <formula>AN11=CléPersonnalisée1</formula>
    </cfRule>
    <cfRule type="expression" dxfId="4117" priority="1215" stopIfTrue="1">
      <formula>AN11=CléMaladie</formula>
    </cfRule>
    <cfRule type="expression" dxfId="4116" priority="1216" stopIfTrue="1">
      <formula>AN11=CléPersonnelle</formula>
    </cfRule>
    <cfRule type="expression" dxfId="4115" priority="1217" stopIfTrue="1">
      <formula>AN11=CléCongés</formula>
    </cfRule>
  </conditionalFormatting>
  <conditionalFormatting sqref="AN19">
    <cfRule type="expression" priority="1206" stopIfTrue="1">
      <formula>AN19=""</formula>
    </cfRule>
    <cfRule type="expression" dxfId="4114" priority="1207" stopIfTrue="1">
      <formula>AN19=CléPersonnalisée2</formula>
    </cfRule>
    <cfRule type="expression" dxfId="4113" priority="1208" stopIfTrue="1">
      <formula>AN19=CléPersonnalisée1</formula>
    </cfRule>
    <cfRule type="expression" dxfId="4112" priority="1209" stopIfTrue="1">
      <formula>AN19=CléMaladie</formula>
    </cfRule>
    <cfRule type="expression" dxfId="4111" priority="1210" stopIfTrue="1">
      <formula>AN19=CléPersonnelle</formula>
    </cfRule>
    <cfRule type="expression" dxfId="4110" priority="1211" stopIfTrue="1">
      <formula>AN19=CléCongés</formula>
    </cfRule>
  </conditionalFormatting>
  <conditionalFormatting sqref="AN23">
    <cfRule type="expression" priority="1200" stopIfTrue="1">
      <formula>AN23=""</formula>
    </cfRule>
    <cfRule type="expression" dxfId="4109" priority="1201" stopIfTrue="1">
      <formula>AN23=CléPersonnalisée2</formula>
    </cfRule>
    <cfRule type="expression" dxfId="4108" priority="1202" stopIfTrue="1">
      <formula>AN23=CléPersonnalisée1</formula>
    </cfRule>
    <cfRule type="expression" dxfId="4107" priority="1203" stopIfTrue="1">
      <formula>AN23=CléMaladie</formula>
    </cfRule>
    <cfRule type="expression" dxfId="4106" priority="1204" stopIfTrue="1">
      <formula>AN23=CléPersonnelle</formula>
    </cfRule>
    <cfRule type="expression" dxfId="4105" priority="1205" stopIfTrue="1">
      <formula>AN23=CléCongés</formula>
    </cfRule>
  </conditionalFormatting>
  <conditionalFormatting sqref="AN27">
    <cfRule type="expression" priority="1194" stopIfTrue="1">
      <formula>AN27=""</formula>
    </cfRule>
    <cfRule type="expression" dxfId="4104" priority="1195" stopIfTrue="1">
      <formula>AN27=CléPersonnalisée2</formula>
    </cfRule>
    <cfRule type="expression" dxfId="4103" priority="1196" stopIfTrue="1">
      <formula>AN27=CléPersonnalisée1</formula>
    </cfRule>
    <cfRule type="expression" dxfId="4102" priority="1197" stopIfTrue="1">
      <formula>AN27=CléMaladie</formula>
    </cfRule>
    <cfRule type="expression" dxfId="4101" priority="1198" stopIfTrue="1">
      <formula>AN27=CléPersonnelle</formula>
    </cfRule>
    <cfRule type="expression" dxfId="4100" priority="1199" stopIfTrue="1">
      <formula>AN27=CléCongés</formula>
    </cfRule>
  </conditionalFormatting>
  <conditionalFormatting sqref="AN31">
    <cfRule type="expression" priority="1188" stopIfTrue="1">
      <formula>AN31=""</formula>
    </cfRule>
    <cfRule type="expression" dxfId="4099" priority="1189" stopIfTrue="1">
      <formula>AN31=CléPersonnalisée2</formula>
    </cfRule>
    <cfRule type="expression" dxfId="4098" priority="1190" stopIfTrue="1">
      <formula>AN31=CléPersonnalisée1</formula>
    </cfRule>
    <cfRule type="expression" dxfId="4097" priority="1191" stopIfTrue="1">
      <formula>AN31=CléMaladie</formula>
    </cfRule>
    <cfRule type="expression" dxfId="4096" priority="1192" stopIfTrue="1">
      <formula>AN31=CléPersonnelle</formula>
    </cfRule>
    <cfRule type="expression" dxfId="4095" priority="1193" stopIfTrue="1">
      <formula>AN31=CléCongés</formula>
    </cfRule>
  </conditionalFormatting>
  <conditionalFormatting sqref="AN35">
    <cfRule type="expression" priority="1182" stopIfTrue="1">
      <formula>AN35=""</formula>
    </cfRule>
    <cfRule type="expression" dxfId="4094" priority="1183" stopIfTrue="1">
      <formula>AN35=CléPersonnalisée2</formula>
    </cfRule>
    <cfRule type="expression" dxfId="4093" priority="1184" stopIfTrue="1">
      <formula>AN35=CléPersonnalisée1</formula>
    </cfRule>
    <cfRule type="expression" dxfId="4092" priority="1185" stopIfTrue="1">
      <formula>AN35=CléMaladie</formula>
    </cfRule>
    <cfRule type="expression" dxfId="4091" priority="1186" stopIfTrue="1">
      <formula>AN35=CléPersonnelle</formula>
    </cfRule>
    <cfRule type="expression" dxfId="4090" priority="1187" stopIfTrue="1">
      <formula>AN35=CléCongés</formula>
    </cfRule>
  </conditionalFormatting>
  <conditionalFormatting sqref="AN39">
    <cfRule type="expression" priority="1176" stopIfTrue="1">
      <formula>AN39=""</formula>
    </cfRule>
    <cfRule type="expression" dxfId="4089" priority="1177" stopIfTrue="1">
      <formula>AN39=CléPersonnalisée2</formula>
    </cfRule>
    <cfRule type="expression" dxfId="4088" priority="1178" stopIfTrue="1">
      <formula>AN39=CléPersonnalisée1</formula>
    </cfRule>
    <cfRule type="expression" dxfId="4087" priority="1179" stopIfTrue="1">
      <formula>AN39=CléMaladie</formula>
    </cfRule>
    <cfRule type="expression" dxfId="4086" priority="1180" stopIfTrue="1">
      <formula>AN39=CléPersonnelle</formula>
    </cfRule>
    <cfRule type="expression" dxfId="4085" priority="1181" stopIfTrue="1">
      <formula>AN39=CléCongés</formula>
    </cfRule>
  </conditionalFormatting>
  <conditionalFormatting sqref="AN43">
    <cfRule type="expression" priority="1170" stopIfTrue="1">
      <formula>AN43=""</formula>
    </cfRule>
    <cfRule type="expression" dxfId="4084" priority="1171" stopIfTrue="1">
      <formula>AN43=CléPersonnalisée2</formula>
    </cfRule>
    <cfRule type="expression" dxfId="4083" priority="1172" stopIfTrue="1">
      <formula>AN43=CléPersonnalisée1</formula>
    </cfRule>
    <cfRule type="expression" dxfId="4082" priority="1173" stopIfTrue="1">
      <formula>AN43=CléMaladie</formula>
    </cfRule>
    <cfRule type="expression" dxfId="4081" priority="1174" stopIfTrue="1">
      <formula>AN43=CléPersonnelle</formula>
    </cfRule>
    <cfRule type="expression" dxfId="4080" priority="1175" stopIfTrue="1">
      <formula>AN43=CléCongés</formula>
    </cfRule>
  </conditionalFormatting>
  <conditionalFormatting sqref="AN47">
    <cfRule type="expression" priority="1164" stopIfTrue="1">
      <formula>AN47=""</formula>
    </cfRule>
    <cfRule type="expression" dxfId="4079" priority="1165" stopIfTrue="1">
      <formula>AN47=CléPersonnalisée2</formula>
    </cfRule>
    <cfRule type="expression" dxfId="4078" priority="1166" stopIfTrue="1">
      <formula>AN47=CléPersonnalisée1</formula>
    </cfRule>
    <cfRule type="expression" dxfId="4077" priority="1167" stopIfTrue="1">
      <formula>AN47=CléMaladie</formula>
    </cfRule>
    <cfRule type="expression" dxfId="4076" priority="1168" stopIfTrue="1">
      <formula>AN47=CléPersonnelle</formula>
    </cfRule>
    <cfRule type="expression" dxfId="4075" priority="1169" stopIfTrue="1">
      <formula>AN47=CléCongés</formula>
    </cfRule>
  </conditionalFormatting>
  <conditionalFormatting sqref="AN51">
    <cfRule type="expression" priority="1158" stopIfTrue="1">
      <formula>AN51=""</formula>
    </cfRule>
    <cfRule type="expression" dxfId="4074" priority="1159" stopIfTrue="1">
      <formula>AN51=CléPersonnalisée2</formula>
    </cfRule>
    <cfRule type="expression" dxfId="4073" priority="1160" stopIfTrue="1">
      <formula>AN51=CléPersonnalisée1</formula>
    </cfRule>
    <cfRule type="expression" dxfId="4072" priority="1161" stopIfTrue="1">
      <formula>AN51=CléMaladie</formula>
    </cfRule>
    <cfRule type="expression" dxfId="4071" priority="1162" stopIfTrue="1">
      <formula>AN51=CléPersonnelle</formula>
    </cfRule>
    <cfRule type="expression" dxfId="4070" priority="1163" stopIfTrue="1">
      <formula>AN51=CléCongés</formula>
    </cfRule>
  </conditionalFormatting>
  <conditionalFormatting sqref="AN55">
    <cfRule type="expression" priority="1152" stopIfTrue="1">
      <formula>AN55=""</formula>
    </cfRule>
    <cfRule type="expression" dxfId="4069" priority="1153" stopIfTrue="1">
      <formula>AN55=CléPersonnalisée2</formula>
    </cfRule>
    <cfRule type="expression" dxfId="4068" priority="1154" stopIfTrue="1">
      <formula>AN55=CléPersonnalisée1</formula>
    </cfRule>
    <cfRule type="expression" dxfId="4067" priority="1155" stopIfTrue="1">
      <formula>AN55=CléMaladie</formula>
    </cfRule>
    <cfRule type="expression" dxfId="4066" priority="1156" stopIfTrue="1">
      <formula>AN55=CléPersonnelle</formula>
    </cfRule>
    <cfRule type="expression" dxfId="4065" priority="1157" stopIfTrue="1">
      <formula>AN55=CléCongés</formula>
    </cfRule>
  </conditionalFormatting>
  <conditionalFormatting sqref="AN63">
    <cfRule type="expression" priority="1146" stopIfTrue="1">
      <formula>AN63=""</formula>
    </cfRule>
    <cfRule type="expression" dxfId="4064" priority="1147" stopIfTrue="1">
      <formula>AN63=CléPersonnalisée2</formula>
    </cfRule>
    <cfRule type="expression" dxfId="4063" priority="1148" stopIfTrue="1">
      <formula>AN63=CléPersonnalisée1</formula>
    </cfRule>
    <cfRule type="expression" dxfId="4062" priority="1149" stopIfTrue="1">
      <formula>AN63=CléMaladie</formula>
    </cfRule>
    <cfRule type="expression" dxfId="4061" priority="1150" stopIfTrue="1">
      <formula>AN63=CléPersonnelle</formula>
    </cfRule>
    <cfRule type="expression" dxfId="4060" priority="1151" stopIfTrue="1">
      <formula>AN63=CléCongés</formula>
    </cfRule>
  </conditionalFormatting>
  <conditionalFormatting sqref="AN71">
    <cfRule type="expression" priority="1140" stopIfTrue="1">
      <formula>AN71=""</formula>
    </cfRule>
    <cfRule type="expression" dxfId="4059" priority="1141" stopIfTrue="1">
      <formula>AN71=CléPersonnalisée2</formula>
    </cfRule>
    <cfRule type="expression" dxfId="4058" priority="1142" stopIfTrue="1">
      <formula>AN71=CléPersonnalisée1</formula>
    </cfRule>
    <cfRule type="expression" dxfId="4057" priority="1143" stopIfTrue="1">
      <formula>AN71=CléMaladie</formula>
    </cfRule>
    <cfRule type="expression" dxfId="4056" priority="1144" stopIfTrue="1">
      <formula>AN71=CléPersonnelle</formula>
    </cfRule>
    <cfRule type="expression" dxfId="4055" priority="1145" stopIfTrue="1">
      <formula>AN71=CléCongés</formula>
    </cfRule>
  </conditionalFormatting>
  <conditionalFormatting sqref="AH7">
    <cfRule type="dataBar" priority="1139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{157EF524-D505-482C-AAEF-2F276A0FB03B}</x14:id>
        </ext>
      </extLst>
    </cfRule>
  </conditionalFormatting>
  <conditionalFormatting sqref="AI7:AL7">
    <cfRule type="expression" priority="1133" stopIfTrue="1">
      <formula>AI7=""</formula>
    </cfRule>
    <cfRule type="expression" dxfId="4054" priority="1134" stopIfTrue="1">
      <formula>AI7=CléPersonnalisée2</formula>
    </cfRule>
    <cfRule type="expression" dxfId="4053" priority="1135" stopIfTrue="1">
      <formula>AI7=CléPersonnalisée1</formula>
    </cfRule>
    <cfRule type="expression" dxfId="4052" priority="1136" stopIfTrue="1">
      <formula>AI7=CléMaladie</formula>
    </cfRule>
    <cfRule type="expression" dxfId="4051" priority="1137" stopIfTrue="1">
      <formula>AI7=CléPersonnelle</formula>
    </cfRule>
    <cfRule type="expression" dxfId="4050" priority="1138" stopIfTrue="1">
      <formula>AI7=CléCongés</formula>
    </cfRule>
  </conditionalFormatting>
  <conditionalFormatting sqref="AM7">
    <cfRule type="expression" priority="1127" stopIfTrue="1">
      <formula>AM7=""</formula>
    </cfRule>
    <cfRule type="expression" dxfId="4049" priority="1128" stopIfTrue="1">
      <formula>AM7=CléPersonnalisée2</formula>
    </cfRule>
    <cfRule type="expression" dxfId="4048" priority="1129" stopIfTrue="1">
      <formula>AM7=CléPersonnalisée1</formula>
    </cfRule>
    <cfRule type="expression" dxfId="4047" priority="1130" stopIfTrue="1">
      <formula>AM7=CléMaladie</formula>
    </cfRule>
    <cfRule type="expression" dxfId="4046" priority="1131" stopIfTrue="1">
      <formula>AM7=CléPersonnelle</formula>
    </cfRule>
    <cfRule type="expression" dxfId="4045" priority="1132" stopIfTrue="1">
      <formula>AM7=CléCongés</formula>
    </cfRule>
  </conditionalFormatting>
  <conditionalFormatting sqref="AN7">
    <cfRule type="expression" priority="1121" stopIfTrue="1">
      <formula>AN7=""</formula>
    </cfRule>
    <cfRule type="expression" dxfId="4044" priority="1122" stopIfTrue="1">
      <formula>AN7=CléPersonnalisée2</formula>
    </cfRule>
    <cfRule type="expression" dxfId="4043" priority="1123" stopIfTrue="1">
      <formula>AN7=CléPersonnalisée1</formula>
    </cfRule>
    <cfRule type="expression" dxfId="4042" priority="1124" stopIfTrue="1">
      <formula>AN7=CléMaladie</formula>
    </cfRule>
    <cfRule type="expression" dxfId="4041" priority="1125" stopIfTrue="1">
      <formula>AN7=CléPersonnelle</formula>
    </cfRule>
    <cfRule type="expression" dxfId="4040" priority="1126" stopIfTrue="1">
      <formula>AN7=CléCongés</formula>
    </cfRule>
  </conditionalFormatting>
  <conditionalFormatting sqref="AQ7">
    <cfRule type="expression" priority="1115" stopIfTrue="1">
      <formula>AQ7=""</formula>
    </cfRule>
    <cfRule type="expression" dxfId="4039" priority="1116" stopIfTrue="1">
      <formula>AQ7=CléPersonnalisée2</formula>
    </cfRule>
    <cfRule type="expression" dxfId="4038" priority="1117" stopIfTrue="1">
      <formula>AQ7=CléPersonnalisée1</formula>
    </cfRule>
    <cfRule type="expression" dxfId="4037" priority="1118" stopIfTrue="1">
      <formula>AQ7=CléMaladie</formula>
    </cfRule>
    <cfRule type="expression" dxfId="4036" priority="1119" stopIfTrue="1">
      <formula>AQ7=CléPersonnelle</formula>
    </cfRule>
    <cfRule type="expression" dxfId="4035" priority="1120" stopIfTrue="1">
      <formula>AQ7=CléCongés</formula>
    </cfRule>
  </conditionalFormatting>
  <conditionalFormatting sqref="AQ71">
    <cfRule type="expression" priority="897" stopIfTrue="1">
      <formula>AQ71=""</formula>
    </cfRule>
    <cfRule type="expression" dxfId="4034" priority="898" stopIfTrue="1">
      <formula>AQ71=CléPersonnalisée2</formula>
    </cfRule>
    <cfRule type="expression" dxfId="4033" priority="899" stopIfTrue="1">
      <formula>AQ71=CléPersonnalisée1</formula>
    </cfRule>
    <cfRule type="expression" dxfId="4032" priority="900" stopIfTrue="1">
      <formula>AQ71=CléMaladie</formula>
    </cfRule>
    <cfRule type="expression" dxfId="4031" priority="901" stopIfTrue="1">
      <formula>AQ71=CléPersonnelle</formula>
    </cfRule>
    <cfRule type="expression" dxfId="4030" priority="902" stopIfTrue="1">
      <formula>AQ71=CléCongés</formula>
    </cfRule>
  </conditionalFormatting>
  <conditionalFormatting sqref="AQ75">
    <cfRule type="expression" priority="847" stopIfTrue="1">
      <formula>AQ75=""</formula>
    </cfRule>
    <cfRule type="expression" dxfId="4029" priority="848" stopIfTrue="1">
      <formula>AQ75=CléPersonnalisée2</formula>
    </cfRule>
    <cfRule type="expression" dxfId="4028" priority="849" stopIfTrue="1">
      <formula>AQ75=CléPersonnalisée1</formula>
    </cfRule>
    <cfRule type="expression" dxfId="4027" priority="850" stopIfTrue="1">
      <formula>AQ75=CléMaladie</formula>
    </cfRule>
    <cfRule type="expression" dxfId="4026" priority="851" stopIfTrue="1">
      <formula>AQ75=CléPersonnelle</formula>
    </cfRule>
    <cfRule type="expression" dxfId="4025" priority="852" stopIfTrue="1">
      <formula>AQ75=CléCongés</formula>
    </cfRule>
  </conditionalFormatting>
  <conditionalFormatting sqref="AQ83">
    <cfRule type="expression" priority="785" stopIfTrue="1">
      <formula>AQ83=""</formula>
    </cfRule>
    <cfRule type="expression" dxfId="4024" priority="786" stopIfTrue="1">
      <formula>AQ83=CléPersonnalisée2</formula>
    </cfRule>
    <cfRule type="expression" dxfId="4023" priority="787" stopIfTrue="1">
      <formula>AQ83=CléPersonnalisée1</formula>
    </cfRule>
    <cfRule type="expression" dxfId="4022" priority="788" stopIfTrue="1">
      <formula>AQ83=CléMaladie</formula>
    </cfRule>
    <cfRule type="expression" dxfId="4021" priority="789" stopIfTrue="1">
      <formula>AQ83=CléPersonnelle</formula>
    </cfRule>
    <cfRule type="expression" dxfId="4020" priority="790" stopIfTrue="1">
      <formula>AQ83=CléCongés</formula>
    </cfRule>
  </conditionalFormatting>
  <conditionalFormatting sqref="AQ91">
    <cfRule type="expression" priority="661" stopIfTrue="1">
      <formula>AQ91=""</formula>
    </cfRule>
    <cfRule type="expression" dxfId="4019" priority="662" stopIfTrue="1">
      <formula>AQ91=CléPersonnalisée2</formula>
    </cfRule>
    <cfRule type="expression" dxfId="4018" priority="663" stopIfTrue="1">
      <formula>AQ91=CléPersonnalisée1</formula>
    </cfRule>
    <cfRule type="expression" dxfId="4017" priority="664" stopIfTrue="1">
      <formula>AQ91=CléMaladie</formula>
    </cfRule>
    <cfRule type="expression" dxfId="4016" priority="665" stopIfTrue="1">
      <formula>AQ91=CléPersonnelle</formula>
    </cfRule>
    <cfRule type="expression" dxfId="4015" priority="666" stopIfTrue="1">
      <formula>AQ91=CléCongés</formula>
    </cfRule>
  </conditionalFormatting>
  <conditionalFormatting sqref="C65:AG67">
    <cfRule type="expression" priority="1108" stopIfTrue="1">
      <formula>C65=""</formula>
    </cfRule>
    <cfRule type="expression" dxfId="4014" priority="1109" stopIfTrue="1">
      <formula>C65=CléPersonnalisée2</formula>
    </cfRule>
    <cfRule type="expression" dxfId="4013" priority="1110" stopIfTrue="1">
      <formula>C65=CléPersonnalisée1</formula>
    </cfRule>
    <cfRule type="expression" dxfId="4012" priority="1111" stopIfTrue="1">
      <formula>C65=CléMaladie</formula>
    </cfRule>
    <cfRule type="expression" dxfId="4011" priority="1112" stopIfTrue="1">
      <formula>C65=CléPersonnelle</formula>
    </cfRule>
    <cfRule type="expression" dxfId="4010" priority="1113" stopIfTrue="1">
      <formula>C65=CléCongés</formula>
    </cfRule>
  </conditionalFormatting>
  <conditionalFormatting sqref="AH67">
    <cfRule type="dataBar" priority="1114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{6C4C88E4-FAAC-4CDB-9ABD-650C5FE56742}</x14:id>
        </ext>
      </extLst>
    </cfRule>
  </conditionalFormatting>
  <conditionalFormatting sqref="AI67:AL67 AJ65:AL66">
    <cfRule type="expression" priority="1102" stopIfTrue="1">
      <formula>AI65=""</formula>
    </cfRule>
    <cfRule type="expression" dxfId="4009" priority="1103" stopIfTrue="1">
      <formula>AI65=CléPersonnalisée2</formula>
    </cfRule>
    <cfRule type="expression" dxfId="4008" priority="1104" stopIfTrue="1">
      <formula>AI65=CléPersonnalisée1</formula>
    </cfRule>
    <cfRule type="expression" dxfId="4007" priority="1105" stopIfTrue="1">
      <formula>AI65=CléMaladie</formula>
    </cfRule>
    <cfRule type="expression" dxfId="4006" priority="1106" stopIfTrue="1">
      <formula>AI65=CléPersonnelle</formula>
    </cfRule>
    <cfRule type="expression" dxfId="4005" priority="1107" stopIfTrue="1">
      <formula>AI65=CléCongés</formula>
    </cfRule>
  </conditionalFormatting>
  <conditionalFormatting sqref="AQ65:AR66">
    <cfRule type="expression" priority="1090" stopIfTrue="1">
      <formula>AQ65=""</formula>
    </cfRule>
    <cfRule type="expression" dxfId="4004" priority="1091" stopIfTrue="1">
      <formula>AQ65=CléPersonnalisée2</formula>
    </cfRule>
    <cfRule type="expression" dxfId="4003" priority="1092" stopIfTrue="1">
      <formula>AQ65=CléPersonnalisée1</formula>
    </cfRule>
    <cfRule type="expression" dxfId="4002" priority="1093" stopIfTrue="1">
      <formula>AQ65=CléMaladie</formula>
    </cfRule>
    <cfRule type="expression" dxfId="4001" priority="1094" stopIfTrue="1">
      <formula>AQ65=CléPersonnelle</formula>
    </cfRule>
    <cfRule type="expression" dxfId="4000" priority="1095" stopIfTrue="1">
      <formula>AQ65=CléCongés</formula>
    </cfRule>
  </conditionalFormatting>
  <conditionalFormatting sqref="AH65:AH66">
    <cfRule type="dataBar" priority="1083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{BEBD3AD6-A1C5-491E-9A33-9871687A33D0}</x14:id>
        </ext>
      </extLst>
    </cfRule>
  </conditionalFormatting>
  <conditionalFormatting sqref="AO67">
    <cfRule type="expression" priority="1077" stopIfTrue="1">
      <formula>AO67=""</formula>
    </cfRule>
    <cfRule type="expression" dxfId="3999" priority="1078" stopIfTrue="1">
      <formula>AO67=CléPersonnalisée2</formula>
    </cfRule>
    <cfRule type="expression" dxfId="3998" priority="1079" stopIfTrue="1">
      <formula>AO67=CléPersonnalisée1</formula>
    </cfRule>
    <cfRule type="expression" dxfId="3997" priority="1080" stopIfTrue="1">
      <formula>AO67=CléMaladie</formula>
    </cfRule>
    <cfRule type="expression" dxfId="3996" priority="1081" stopIfTrue="1">
      <formula>AO67=CléPersonnelle</formula>
    </cfRule>
    <cfRule type="expression" dxfId="3995" priority="1082" stopIfTrue="1">
      <formula>AO67=CléCongés</formula>
    </cfRule>
  </conditionalFormatting>
  <conditionalFormatting sqref="AI65:AI66">
    <cfRule type="expression" priority="1071" stopIfTrue="1">
      <formula>AI65=""</formula>
    </cfRule>
    <cfRule type="expression" dxfId="3994" priority="1072" stopIfTrue="1">
      <formula>AI65=CléPersonnalisée2</formula>
    </cfRule>
    <cfRule type="expression" dxfId="3993" priority="1073" stopIfTrue="1">
      <formula>AI65=CléPersonnalisée1</formula>
    </cfRule>
    <cfRule type="expression" dxfId="3992" priority="1074" stopIfTrue="1">
      <formula>AI65=CléMaladie</formula>
    </cfRule>
    <cfRule type="expression" dxfId="3991" priority="1075" stopIfTrue="1">
      <formula>AI65=CléPersonnelle</formula>
    </cfRule>
    <cfRule type="expression" dxfId="3990" priority="1076" stopIfTrue="1">
      <formula>AI65=CléCongés</formula>
    </cfRule>
  </conditionalFormatting>
  <conditionalFormatting sqref="AN67">
    <cfRule type="expression" priority="1065" stopIfTrue="1">
      <formula>AN67=""</formula>
    </cfRule>
    <cfRule type="expression" dxfId="3989" priority="1066" stopIfTrue="1">
      <formula>AN67=CléPersonnalisée2</formula>
    </cfRule>
    <cfRule type="expression" dxfId="3988" priority="1067" stopIfTrue="1">
      <formula>AN67=CléPersonnalisée1</formula>
    </cfRule>
    <cfRule type="expression" dxfId="3987" priority="1068" stopIfTrue="1">
      <formula>AN67=CléMaladie</formula>
    </cfRule>
    <cfRule type="expression" dxfId="3986" priority="1069" stopIfTrue="1">
      <formula>AN67=CléPersonnelle</formula>
    </cfRule>
    <cfRule type="expression" dxfId="3985" priority="1070" stopIfTrue="1">
      <formula>AN67=CléCongés</formula>
    </cfRule>
  </conditionalFormatting>
  <conditionalFormatting sqref="AR11">
    <cfRule type="expression" priority="1059" stopIfTrue="1">
      <formula>AR11=""</formula>
    </cfRule>
    <cfRule type="expression" dxfId="3984" priority="1060" stopIfTrue="1">
      <formula>AR11=CléPersonnalisée2</formula>
    </cfRule>
    <cfRule type="expression" dxfId="3983" priority="1061" stopIfTrue="1">
      <formula>AR11=CléPersonnalisée1</formula>
    </cfRule>
    <cfRule type="expression" dxfId="3982" priority="1062" stopIfTrue="1">
      <formula>AR11=CléMaladie</formula>
    </cfRule>
    <cfRule type="expression" dxfId="3981" priority="1063" stopIfTrue="1">
      <formula>AR11=CléPersonnelle</formula>
    </cfRule>
    <cfRule type="expression" dxfId="3980" priority="1064" stopIfTrue="1">
      <formula>AR11=CléCongés</formula>
    </cfRule>
  </conditionalFormatting>
  <conditionalFormatting sqref="AQ11">
    <cfRule type="expression" priority="1053" stopIfTrue="1">
      <formula>AQ11=""</formula>
    </cfRule>
    <cfRule type="expression" dxfId="3979" priority="1054" stopIfTrue="1">
      <formula>AQ11=CléPersonnalisée2</formula>
    </cfRule>
    <cfRule type="expression" dxfId="3978" priority="1055" stopIfTrue="1">
      <formula>AQ11=CléPersonnalisée1</formula>
    </cfRule>
    <cfRule type="expression" dxfId="3977" priority="1056" stopIfTrue="1">
      <formula>AQ11=CléMaladie</formula>
    </cfRule>
    <cfRule type="expression" dxfId="3976" priority="1057" stopIfTrue="1">
      <formula>AQ11=CléPersonnelle</formula>
    </cfRule>
    <cfRule type="expression" dxfId="3975" priority="1058" stopIfTrue="1">
      <formula>AQ11=CléCongés</formula>
    </cfRule>
  </conditionalFormatting>
  <conditionalFormatting sqref="AR19">
    <cfRule type="expression" priority="1047" stopIfTrue="1">
      <formula>AR19=""</formula>
    </cfRule>
    <cfRule type="expression" dxfId="3974" priority="1048" stopIfTrue="1">
      <formula>AR19=CléPersonnalisée2</formula>
    </cfRule>
    <cfRule type="expression" dxfId="3973" priority="1049" stopIfTrue="1">
      <formula>AR19=CléPersonnalisée1</formula>
    </cfRule>
    <cfRule type="expression" dxfId="3972" priority="1050" stopIfTrue="1">
      <formula>AR19=CléMaladie</formula>
    </cfRule>
    <cfRule type="expression" dxfId="3971" priority="1051" stopIfTrue="1">
      <formula>AR19=CléPersonnelle</formula>
    </cfRule>
    <cfRule type="expression" dxfId="3970" priority="1052" stopIfTrue="1">
      <formula>AR19=CléCongés</formula>
    </cfRule>
  </conditionalFormatting>
  <conditionalFormatting sqref="AQ19">
    <cfRule type="expression" priority="1041" stopIfTrue="1">
      <formula>AQ19=""</formula>
    </cfRule>
    <cfRule type="expression" dxfId="3969" priority="1042" stopIfTrue="1">
      <formula>AQ19=CléPersonnalisée2</formula>
    </cfRule>
    <cfRule type="expression" dxfId="3968" priority="1043" stopIfTrue="1">
      <formula>AQ19=CléPersonnalisée1</formula>
    </cfRule>
    <cfRule type="expression" dxfId="3967" priority="1044" stopIfTrue="1">
      <formula>AQ19=CléMaladie</formula>
    </cfRule>
    <cfRule type="expression" dxfId="3966" priority="1045" stopIfTrue="1">
      <formula>AQ19=CléPersonnelle</formula>
    </cfRule>
    <cfRule type="expression" dxfId="3965" priority="1046" stopIfTrue="1">
      <formula>AQ19=CléCongés</formula>
    </cfRule>
  </conditionalFormatting>
  <conditionalFormatting sqref="AR23">
    <cfRule type="expression" priority="1035" stopIfTrue="1">
      <formula>AR23=""</formula>
    </cfRule>
    <cfRule type="expression" dxfId="3964" priority="1036" stopIfTrue="1">
      <formula>AR23=CléPersonnalisée2</formula>
    </cfRule>
    <cfRule type="expression" dxfId="3963" priority="1037" stopIfTrue="1">
      <formula>AR23=CléPersonnalisée1</formula>
    </cfRule>
    <cfRule type="expression" dxfId="3962" priority="1038" stopIfTrue="1">
      <formula>AR23=CléMaladie</formula>
    </cfRule>
    <cfRule type="expression" dxfId="3961" priority="1039" stopIfTrue="1">
      <formula>AR23=CléPersonnelle</formula>
    </cfRule>
    <cfRule type="expression" dxfId="3960" priority="1040" stopIfTrue="1">
      <formula>AR23=CléCongés</formula>
    </cfRule>
  </conditionalFormatting>
  <conditionalFormatting sqref="AQ23">
    <cfRule type="expression" priority="1029" stopIfTrue="1">
      <formula>AQ23=""</formula>
    </cfRule>
    <cfRule type="expression" dxfId="3959" priority="1030" stopIfTrue="1">
      <formula>AQ23=CléPersonnalisée2</formula>
    </cfRule>
    <cfRule type="expression" dxfId="3958" priority="1031" stopIfTrue="1">
      <formula>AQ23=CléPersonnalisée1</formula>
    </cfRule>
    <cfRule type="expression" dxfId="3957" priority="1032" stopIfTrue="1">
      <formula>AQ23=CléMaladie</formula>
    </cfRule>
    <cfRule type="expression" dxfId="3956" priority="1033" stopIfTrue="1">
      <formula>AQ23=CléPersonnelle</formula>
    </cfRule>
    <cfRule type="expression" dxfId="3955" priority="1034" stopIfTrue="1">
      <formula>AQ23=CléCongés</formula>
    </cfRule>
  </conditionalFormatting>
  <conditionalFormatting sqref="AR27">
    <cfRule type="expression" priority="1023" stopIfTrue="1">
      <formula>AR27=""</formula>
    </cfRule>
    <cfRule type="expression" dxfId="3954" priority="1024" stopIfTrue="1">
      <formula>AR27=CléPersonnalisée2</formula>
    </cfRule>
    <cfRule type="expression" dxfId="3953" priority="1025" stopIfTrue="1">
      <formula>AR27=CléPersonnalisée1</formula>
    </cfRule>
    <cfRule type="expression" dxfId="3952" priority="1026" stopIfTrue="1">
      <formula>AR27=CléMaladie</formula>
    </cfRule>
    <cfRule type="expression" dxfId="3951" priority="1027" stopIfTrue="1">
      <formula>AR27=CléPersonnelle</formula>
    </cfRule>
    <cfRule type="expression" dxfId="3950" priority="1028" stopIfTrue="1">
      <formula>AR27=CléCongés</formula>
    </cfRule>
  </conditionalFormatting>
  <conditionalFormatting sqref="AQ27">
    <cfRule type="expression" priority="1017" stopIfTrue="1">
      <formula>AQ27=""</formula>
    </cfRule>
    <cfRule type="expression" dxfId="3949" priority="1018" stopIfTrue="1">
      <formula>AQ27=CléPersonnalisée2</formula>
    </cfRule>
    <cfRule type="expression" dxfId="3948" priority="1019" stopIfTrue="1">
      <formula>AQ27=CléPersonnalisée1</formula>
    </cfRule>
    <cfRule type="expression" dxfId="3947" priority="1020" stopIfTrue="1">
      <formula>AQ27=CléMaladie</formula>
    </cfRule>
    <cfRule type="expression" dxfId="3946" priority="1021" stopIfTrue="1">
      <formula>AQ27=CléPersonnelle</formula>
    </cfRule>
    <cfRule type="expression" dxfId="3945" priority="1022" stopIfTrue="1">
      <formula>AQ27=CléCongés</formula>
    </cfRule>
  </conditionalFormatting>
  <conditionalFormatting sqref="AR31">
    <cfRule type="expression" priority="1011" stopIfTrue="1">
      <formula>AR31=""</formula>
    </cfRule>
    <cfRule type="expression" dxfId="3944" priority="1012" stopIfTrue="1">
      <formula>AR31=CléPersonnalisée2</formula>
    </cfRule>
    <cfRule type="expression" dxfId="3943" priority="1013" stopIfTrue="1">
      <formula>AR31=CléPersonnalisée1</formula>
    </cfRule>
    <cfRule type="expression" dxfId="3942" priority="1014" stopIfTrue="1">
      <formula>AR31=CléMaladie</formula>
    </cfRule>
    <cfRule type="expression" dxfId="3941" priority="1015" stopIfTrue="1">
      <formula>AR31=CléPersonnelle</formula>
    </cfRule>
    <cfRule type="expression" dxfId="3940" priority="1016" stopIfTrue="1">
      <formula>AR31=CléCongés</formula>
    </cfRule>
  </conditionalFormatting>
  <conditionalFormatting sqref="AQ31">
    <cfRule type="expression" priority="1005" stopIfTrue="1">
      <formula>AQ31=""</formula>
    </cfRule>
    <cfRule type="expression" dxfId="3939" priority="1006" stopIfTrue="1">
      <formula>AQ31=CléPersonnalisée2</formula>
    </cfRule>
    <cfRule type="expression" dxfId="3938" priority="1007" stopIfTrue="1">
      <formula>AQ31=CléPersonnalisée1</formula>
    </cfRule>
    <cfRule type="expression" dxfId="3937" priority="1008" stopIfTrue="1">
      <formula>AQ31=CléMaladie</formula>
    </cfRule>
    <cfRule type="expression" dxfId="3936" priority="1009" stopIfTrue="1">
      <formula>AQ31=CléPersonnelle</formula>
    </cfRule>
    <cfRule type="expression" dxfId="3935" priority="1010" stopIfTrue="1">
      <formula>AQ31=CléCongés</formula>
    </cfRule>
  </conditionalFormatting>
  <conditionalFormatting sqref="AR35">
    <cfRule type="expression" priority="999" stopIfTrue="1">
      <formula>AR35=""</formula>
    </cfRule>
    <cfRule type="expression" dxfId="3934" priority="1000" stopIfTrue="1">
      <formula>AR35=CléPersonnalisée2</formula>
    </cfRule>
    <cfRule type="expression" dxfId="3933" priority="1001" stopIfTrue="1">
      <formula>AR35=CléPersonnalisée1</formula>
    </cfRule>
    <cfRule type="expression" dxfId="3932" priority="1002" stopIfTrue="1">
      <formula>AR35=CléMaladie</formula>
    </cfRule>
    <cfRule type="expression" dxfId="3931" priority="1003" stopIfTrue="1">
      <formula>AR35=CléPersonnelle</formula>
    </cfRule>
    <cfRule type="expression" dxfId="3930" priority="1004" stopIfTrue="1">
      <formula>AR35=CléCongés</formula>
    </cfRule>
  </conditionalFormatting>
  <conditionalFormatting sqref="AQ35">
    <cfRule type="expression" priority="993" stopIfTrue="1">
      <formula>AQ35=""</formula>
    </cfRule>
    <cfRule type="expression" dxfId="3929" priority="994" stopIfTrue="1">
      <formula>AQ35=CléPersonnalisée2</formula>
    </cfRule>
    <cfRule type="expression" dxfId="3928" priority="995" stopIfTrue="1">
      <formula>AQ35=CléPersonnalisée1</formula>
    </cfRule>
    <cfRule type="expression" dxfId="3927" priority="996" stopIfTrue="1">
      <formula>AQ35=CléMaladie</formula>
    </cfRule>
    <cfRule type="expression" dxfId="3926" priority="997" stopIfTrue="1">
      <formula>AQ35=CléPersonnelle</formula>
    </cfRule>
    <cfRule type="expression" dxfId="3925" priority="998" stopIfTrue="1">
      <formula>AQ35=CléCongés</formula>
    </cfRule>
  </conditionalFormatting>
  <conditionalFormatting sqref="AR39">
    <cfRule type="expression" priority="987" stopIfTrue="1">
      <formula>AR39=""</formula>
    </cfRule>
    <cfRule type="expression" dxfId="3924" priority="988" stopIfTrue="1">
      <formula>AR39=CléPersonnalisée2</formula>
    </cfRule>
    <cfRule type="expression" dxfId="3923" priority="989" stopIfTrue="1">
      <formula>AR39=CléPersonnalisée1</formula>
    </cfRule>
    <cfRule type="expression" dxfId="3922" priority="990" stopIfTrue="1">
      <formula>AR39=CléMaladie</formula>
    </cfRule>
    <cfRule type="expression" dxfId="3921" priority="991" stopIfTrue="1">
      <formula>AR39=CléPersonnelle</formula>
    </cfRule>
    <cfRule type="expression" dxfId="3920" priority="992" stopIfTrue="1">
      <formula>AR39=CléCongés</formula>
    </cfRule>
  </conditionalFormatting>
  <conditionalFormatting sqref="AQ39">
    <cfRule type="expression" priority="981" stopIfTrue="1">
      <formula>AQ39=""</formula>
    </cfRule>
    <cfRule type="expression" dxfId="3919" priority="982" stopIfTrue="1">
      <formula>AQ39=CléPersonnalisée2</formula>
    </cfRule>
    <cfRule type="expression" dxfId="3918" priority="983" stopIfTrue="1">
      <formula>AQ39=CléPersonnalisée1</formula>
    </cfRule>
    <cfRule type="expression" dxfId="3917" priority="984" stopIfTrue="1">
      <formula>AQ39=CléMaladie</formula>
    </cfRule>
    <cfRule type="expression" dxfId="3916" priority="985" stopIfTrue="1">
      <formula>AQ39=CléPersonnelle</formula>
    </cfRule>
    <cfRule type="expression" dxfId="3915" priority="986" stopIfTrue="1">
      <formula>AQ39=CléCongés</formula>
    </cfRule>
  </conditionalFormatting>
  <conditionalFormatting sqref="AR43">
    <cfRule type="expression" priority="975" stopIfTrue="1">
      <formula>AR43=""</formula>
    </cfRule>
    <cfRule type="expression" dxfId="3914" priority="976" stopIfTrue="1">
      <formula>AR43=CléPersonnalisée2</formula>
    </cfRule>
    <cfRule type="expression" dxfId="3913" priority="977" stopIfTrue="1">
      <formula>AR43=CléPersonnalisée1</formula>
    </cfRule>
    <cfRule type="expression" dxfId="3912" priority="978" stopIfTrue="1">
      <formula>AR43=CléMaladie</formula>
    </cfRule>
    <cfRule type="expression" dxfId="3911" priority="979" stopIfTrue="1">
      <formula>AR43=CléPersonnelle</formula>
    </cfRule>
    <cfRule type="expression" dxfId="3910" priority="980" stopIfTrue="1">
      <formula>AR43=CléCongés</formula>
    </cfRule>
  </conditionalFormatting>
  <conditionalFormatting sqref="AQ43">
    <cfRule type="expression" priority="969" stopIfTrue="1">
      <formula>AQ43=""</formula>
    </cfRule>
    <cfRule type="expression" dxfId="3909" priority="970" stopIfTrue="1">
      <formula>AQ43=CléPersonnalisée2</formula>
    </cfRule>
    <cfRule type="expression" dxfId="3908" priority="971" stopIfTrue="1">
      <formula>AQ43=CléPersonnalisée1</formula>
    </cfRule>
    <cfRule type="expression" dxfId="3907" priority="972" stopIfTrue="1">
      <formula>AQ43=CléMaladie</formula>
    </cfRule>
    <cfRule type="expression" dxfId="3906" priority="973" stopIfTrue="1">
      <formula>AQ43=CléPersonnelle</formula>
    </cfRule>
    <cfRule type="expression" dxfId="3905" priority="974" stopIfTrue="1">
      <formula>AQ43=CléCongés</formula>
    </cfRule>
  </conditionalFormatting>
  <conditionalFormatting sqref="AR47">
    <cfRule type="expression" priority="963" stopIfTrue="1">
      <formula>AR47=""</formula>
    </cfRule>
    <cfRule type="expression" dxfId="3904" priority="964" stopIfTrue="1">
      <formula>AR47=CléPersonnalisée2</formula>
    </cfRule>
    <cfRule type="expression" dxfId="3903" priority="965" stopIfTrue="1">
      <formula>AR47=CléPersonnalisée1</formula>
    </cfRule>
    <cfRule type="expression" dxfId="3902" priority="966" stopIfTrue="1">
      <formula>AR47=CléMaladie</formula>
    </cfRule>
    <cfRule type="expression" dxfId="3901" priority="967" stopIfTrue="1">
      <formula>AR47=CléPersonnelle</formula>
    </cfRule>
    <cfRule type="expression" dxfId="3900" priority="968" stopIfTrue="1">
      <formula>AR47=CléCongés</formula>
    </cfRule>
  </conditionalFormatting>
  <conditionalFormatting sqref="AQ47">
    <cfRule type="expression" priority="957" stopIfTrue="1">
      <formula>AQ47=""</formula>
    </cfRule>
    <cfRule type="expression" dxfId="3899" priority="958" stopIfTrue="1">
      <formula>AQ47=CléPersonnalisée2</formula>
    </cfRule>
    <cfRule type="expression" dxfId="3898" priority="959" stopIfTrue="1">
      <formula>AQ47=CléPersonnalisée1</formula>
    </cfRule>
    <cfRule type="expression" dxfId="3897" priority="960" stopIfTrue="1">
      <formula>AQ47=CléMaladie</formula>
    </cfRule>
    <cfRule type="expression" dxfId="3896" priority="961" stopIfTrue="1">
      <formula>AQ47=CléPersonnelle</formula>
    </cfRule>
    <cfRule type="expression" dxfId="3895" priority="962" stopIfTrue="1">
      <formula>AQ47=CléCongés</formula>
    </cfRule>
  </conditionalFormatting>
  <conditionalFormatting sqref="AR51">
    <cfRule type="expression" priority="951" stopIfTrue="1">
      <formula>AR51=""</formula>
    </cfRule>
    <cfRule type="expression" dxfId="3894" priority="952" stopIfTrue="1">
      <formula>AR51=CléPersonnalisée2</formula>
    </cfRule>
    <cfRule type="expression" dxfId="3893" priority="953" stopIfTrue="1">
      <formula>AR51=CléPersonnalisée1</formula>
    </cfRule>
    <cfRule type="expression" dxfId="3892" priority="954" stopIfTrue="1">
      <formula>AR51=CléMaladie</formula>
    </cfRule>
    <cfRule type="expression" dxfId="3891" priority="955" stopIfTrue="1">
      <formula>AR51=CléPersonnelle</formula>
    </cfRule>
    <cfRule type="expression" dxfId="3890" priority="956" stopIfTrue="1">
      <formula>AR51=CléCongés</formula>
    </cfRule>
  </conditionalFormatting>
  <conditionalFormatting sqref="AQ51">
    <cfRule type="expression" priority="945" stopIfTrue="1">
      <formula>AQ51=""</formula>
    </cfRule>
    <cfRule type="expression" dxfId="3889" priority="946" stopIfTrue="1">
      <formula>AQ51=CléPersonnalisée2</formula>
    </cfRule>
    <cfRule type="expression" dxfId="3888" priority="947" stopIfTrue="1">
      <formula>AQ51=CléPersonnalisée1</formula>
    </cfRule>
    <cfRule type="expression" dxfId="3887" priority="948" stopIfTrue="1">
      <formula>AQ51=CléMaladie</formula>
    </cfRule>
    <cfRule type="expression" dxfId="3886" priority="949" stopIfTrue="1">
      <formula>AQ51=CléPersonnelle</formula>
    </cfRule>
    <cfRule type="expression" dxfId="3885" priority="950" stopIfTrue="1">
      <formula>AQ51=CléCongés</formula>
    </cfRule>
  </conditionalFormatting>
  <conditionalFormatting sqref="AR55">
    <cfRule type="expression" priority="939" stopIfTrue="1">
      <formula>AR55=""</formula>
    </cfRule>
    <cfRule type="expression" dxfId="3884" priority="940" stopIfTrue="1">
      <formula>AR55=CléPersonnalisée2</formula>
    </cfRule>
    <cfRule type="expression" dxfId="3883" priority="941" stopIfTrue="1">
      <formula>AR55=CléPersonnalisée1</formula>
    </cfRule>
    <cfRule type="expression" dxfId="3882" priority="942" stopIfTrue="1">
      <formula>AR55=CléMaladie</formula>
    </cfRule>
    <cfRule type="expression" dxfId="3881" priority="943" stopIfTrue="1">
      <formula>AR55=CléPersonnelle</formula>
    </cfRule>
    <cfRule type="expression" dxfId="3880" priority="944" stopIfTrue="1">
      <formula>AR55=CléCongés</formula>
    </cfRule>
  </conditionalFormatting>
  <conditionalFormatting sqref="AQ55">
    <cfRule type="expression" priority="933" stopIfTrue="1">
      <formula>AQ55=""</formula>
    </cfRule>
    <cfRule type="expression" dxfId="3879" priority="934" stopIfTrue="1">
      <formula>AQ55=CléPersonnalisée2</formula>
    </cfRule>
    <cfRule type="expression" dxfId="3878" priority="935" stopIfTrue="1">
      <formula>AQ55=CléPersonnalisée1</formula>
    </cfRule>
    <cfRule type="expression" dxfId="3877" priority="936" stopIfTrue="1">
      <formula>AQ55=CléMaladie</formula>
    </cfRule>
    <cfRule type="expression" dxfId="3876" priority="937" stopIfTrue="1">
      <formula>AQ55=CléPersonnelle</formula>
    </cfRule>
    <cfRule type="expression" dxfId="3875" priority="938" stopIfTrue="1">
      <formula>AQ55=CléCongés</formula>
    </cfRule>
  </conditionalFormatting>
  <conditionalFormatting sqref="AR63">
    <cfRule type="expression" priority="927" stopIfTrue="1">
      <formula>AR63=""</formula>
    </cfRule>
    <cfRule type="expression" dxfId="3874" priority="928" stopIfTrue="1">
      <formula>AR63=CléPersonnalisée2</formula>
    </cfRule>
    <cfRule type="expression" dxfId="3873" priority="929" stopIfTrue="1">
      <formula>AR63=CléPersonnalisée1</formula>
    </cfRule>
    <cfRule type="expression" dxfId="3872" priority="930" stopIfTrue="1">
      <formula>AR63=CléMaladie</formula>
    </cfRule>
    <cfRule type="expression" dxfId="3871" priority="931" stopIfTrue="1">
      <formula>AR63=CléPersonnelle</formula>
    </cfRule>
    <cfRule type="expression" dxfId="3870" priority="932" stopIfTrue="1">
      <formula>AR63=CléCongés</formula>
    </cfRule>
  </conditionalFormatting>
  <conditionalFormatting sqref="AQ63">
    <cfRule type="expression" priority="921" stopIfTrue="1">
      <formula>AQ63=""</formula>
    </cfRule>
    <cfRule type="expression" dxfId="3869" priority="922" stopIfTrue="1">
      <formula>AQ63=CléPersonnalisée2</formula>
    </cfRule>
    <cfRule type="expression" dxfId="3868" priority="923" stopIfTrue="1">
      <formula>AQ63=CléPersonnalisée1</formula>
    </cfRule>
    <cfRule type="expression" dxfId="3867" priority="924" stopIfTrue="1">
      <formula>AQ63=CléMaladie</formula>
    </cfRule>
    <cfRule type="expression" dxfId="3866" priority="925" stopIfTrue="1">
      <formula>AQ63=CléPersonnelle</formula>
    </cfRule>
    <cfRule type="expression" dxfId="3865" priority="926" stopIfTrue="1">
      <formula>AQ63=CléCongés</formula>
    </cfRule>
  </conditionalFormatting>
  <conditionalFormatting sqref="AR67">
    <cfRule type="expression" priority="915" stopIfTrue="1">
      <formula>AR67=""</formula>
    </cfRule>
    <cfRule type="expression" dxfId="3864" priority="916" stopIfTrue="1">
      <formula>AR67=CléPersonnalisée2</formula>
    </cfRule>
    <cfRule type="expression" dxfId="3863" priority="917" stopIfTrue="1">
      <formula>AR67=CléPersonnalisée1</formula>
    </cfRule>
    <cfRule type="expression" dxfId="3862" priority="918" stopIfTrue="1">
      <formula>AR67=CléMaladie</formula>
    </cfRule>
    <cfRule type="expression" dxfId="3861" priority="919" stopIfTrue="1">
      <formula>AR67=CléPersonnelle</formula>
    </cfRule>
    <cfRule type="expression" dxfId="3860" priority="920" stopIfTrue="1">
      <formula>AR67=CléCongés</formula>
    </cfRule>
  </conditionalFormatting>
  <conditionalFormatting sqref="AQ67">
    <cfRule type="expression" priority="909" stopIfTrue="1">
      <formula>AQ67=""</formula>
    </cfRule>
    <cfRule type="expression" dxfId="3859" priority="910" stopIfTrue="1">
      <formula>AQ67=CléPersonnalisée2</formula>
    </cfRule>
    <cfRule type="expression" dxfId="3858" priority="911" stopIfTrue="1">
      <formula>AQ67=CléPersonnalisée1</formula>
    </cfRule>
    <cfRule type="expression" dxfId="3857" priority="912" stopIfTrue="1">
      <formula>AQ67=CléMaladie</formula>
    </cfRule>
    <cfRule type="expression" dxfId="3856" priority="913" stopIfTrue="1">
      <formula>AQ67=CléPersonnelle</formula>
    </cfRule>
    <cfRule type="expression" dxfId="3855" priority="914" stopIfTrue="1">
      <formula>AQ67=CléCongés</formula>
    </cfRule>
  </conditionalFormatting>
  <conditionalFormatting sqref="AR71">
    <cfRule type="expression" priority="903" stopIfTrue="1">
      <formula>AR71=""</formula>
    </cfRule>
    <cfRule type="expression" dxfId="3854" priority="904" stopIfTrue="1">
      <formula>AR71=CléPersonnalisée2</formula>
    </cfRule>
    <cfRule type="expression" dxfId="3853" priority="905" stopIfTrue="1">
      <formula>AR71=CléPersonnalisée1</formula>
    </cfRule>
    <cfRule type="expression" dxfId="3852" priority="906" stopIfTrue="1">
      <formula>AR71=CléMaladie</formula>
    </cfRule>
    <cfRule type="expression" dxfId="3851" priority="907" stopIfTrue="1">
      <formula>AR71=CléPersonnelle</formula>
    </cfRule>
    <cfRule type="expression" dxfId="3850" priority="908" stopIfTrue="1">
      <formula>AR71=CléCongés</formula>
    </cfRule>
  </conditionalFormatting>
  <conditionalFormatting sqref="C73:AG75">
    <cfRule type="expression" priority="890" stopIfTrue="1">
      <formula>C73=""</formula>
    </cfRule>
    <cfRule type="expression" dxfId="3849" priority="891" stopIfTrue="1">
      <formula>C73=CléPersonnalisée2</formula>
    </cfRule>
    <cfRule type="expression" dxfId="3848" priority="892" stopIfTrue="1">
      <formula>C73=CléPersonnalisée1</formula>
    </cfRule>
    <cfRule type="expression" dxfId="3847" priority="893" stopIfTrue="1">
      <formula>C73=CléMaladie</formula>
    </cfRule>
    <cfRule type="expression" dxfId="3846" priority="894" stopIfTrue="1">
      <formula>C73=CléPersonnelle</formula>
    </cfRule>
    <cfRule type="expression" dxfId="3845" priority="895" stopIfTrue="1">
      <formula>C73=CléCongés</formula>
    </cfRule>
  </conditionalFormatting>
  <conditionalFormatting sqref="AH75">
    <cfRule type="dataBar" priority="896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{245F2DE7-D08A-493D-A7B4-7A583F3F7494}</x14:id>
        </ext>
      </extLst>
    </cfRule>
  </conditionalFormatting>
  <conditionalFormatting sqref="AI75:AL75 AJ73:AL74">
    <cfRule type="expression" priority="884" stopIfTrue="1">
      <formula>AI73=""</formula>
    </cfRule>
    <cfRule type="expression" dxfId="3844" priority="885" stopIfTrue="1">
      <formula>AI73=CléPersonnalisée2</formula>
    </cfRule>
    <cfRule type="expression" dxfId="3843" priority="886" stopIfTrue="1">
      <formula>AI73=CléPersonnalisée1</formula>
    </cfRule>
    <cfRule type="expression" dxfId="3842" priority="887" stopIfTrue="1">
      <formula>AI73=CléMaladie</formula>
    </cfRule>
    <cfRule type="expression" dxfId="3841" priority="888" stopIfTrue="1">
      <formula>AI73=CléPersonnelle</formula>
    </cfRule>
    <cfRule type="expression" dxfId="3840" priority="889" stopIfTrue="1">
      <formula>AI73=CléCongés</formula>
    </cfRule>
  </conditionalFormatting>
  <conditionalFormatting sqref="AM73:AP74">
    <cfRule type="expression" priority="878" stopIfTrue="1">
      <formula>AM73=""</formula>
    </cfRule>
    <cfRule type="expression" dxfId="3839" priority="879" stopIfTrue="1">
      <formula>AM73=CléPersonnalisée2</formula>
    </cfRule>
    <cfRule type="expression" dxfId="3838" priority="880" stopIfTrue="1">
      <formula>AM73=CléPersonnalisée1</formula>
    </cfRule>
    <cfRule type="expression" dxfId="3837" priority="881" stopIfTrue="1">
      <formula>AM73=CléMaladie</formula>
    </cfRule>
    <cfRule type="expression" dxfId="3836" priority="882" stopIfTrue="1">
      <formula>AM73=CléPersonnelle</formula>
    </cfRule>
    <cfRule type="expression" dxfId="3835" priority="883" stopIfTrue="1">
      <formula>AM73=CléCongés</formula>
    </cfRule>
  </conditionalFormatting>
  <conditionalFormatting sqref="AQ73:AR74">
    <cfRule type="expression" priority="872" stopIfTrue="1">
      <formula>AQ73=""</formula>
    </cfRule>
    <cfRule type="expression" dxfId="3834" priority="873" stopIfTrue="1">
      <formula>AQ73=CléPersonnalisée2</formula>
    </cfRule>
    <cfRule type="expression" dxfId="3833" priority="874" stopIfTrue="1">
      <formula>AQ73=CléPersonnalisée1</formula>
    </cfRule>
    <cfRule type="expression" dxfId="3832" priority="875" stopIfTrue="1">
      <formula>AQ73=CléMaladie</formula>
    </cfRule>
    <cfRule type="expression" dxfId="3831" priority="876" stopIfTrue="1">
      <formula>AQ73=CléPersonnelle</formula>
    </cfRule>
    <cfRule type="expression" dxfId="3830" priority="877" stopIfTrue="1">
      <formula>AQ73=CléCongés</formula>
    </cfRule>
  </conditionalFormatting>
  <conditionalFormatting sqref="AM75 AP75">
    <cfRule type="expression" priority="866" stopIfTrue="1">
      <formula>AM75=""</formula>
    </cfRule>
    <cfRule type="expression" dxfId="3829" priority="867" stopIfTrue="1">
      <formula>AM75=CléPersonnalisée2</formula>
    </cfRule>
    <cfRule type="expression" dxfId="3828" priority="868" stopIfTrue="1">
      <formula>AM75=CléPersonnalisée1</formula>
    </cfRule>
    <cfRule type="expression" dxfId="3827" priority="869" stopIfTrue="1">
      <formula>AM75=CléMaladie</formula>
    </cfRule>
    <cfRule type="expression" dxfId="3826" priority="870" stopIfTrue="1">
      <formula>AM75=CléPersonnelle</formula>
    </cfRule>
    <cfRule type="expression" dxfId="3825" priority="871" stopIfTrue="1">
      <formula>AM75=CléCongés</formula>
    </cfRule>
  </conditionalFormatting>
  <conditionalFormatting sqref="AH73:AH74">
    <cfRule type="dataBar" priority="865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{3CB2A147-4D25-43D6-B49B-132F3B5B145E}</x14:id>
        </ext>
      </extLst>
    </cfRule>
  </conditionalFormatting>
  <conditionalFormatting sqref="AI73:AI74">
    <cfRule type="expression" priority="859" stopIfTrue="1">
      <formula>AI73=""</formula>
    </cfRule>
    <cfRule type="expression" dxfId="3824" priority="860" stopIfTrue="1">
      <formula>AI73=CléPersonnalisée2</formula>
    </cfRule>
    <cfRule type="expression" dxfId="3823" priority="861" stopIfTrue="1">
      <formula>AI73=CléPersonnalisée1</formula>
    </cfRule>
    <cfRule type="expression" dxfId="3822" priority="862" stopIfTrue="1">
      <formula>AI73=CléMaladie</formula>
    </cfRule>
    <cfRule type="expression" dxfId="3821" priority="863" stopIfTrue="1">
      <formula>AI73=CléPersonnelle</formula>
    </cfRule>
    <cfRule type="expression" dxfId="3820" priority="864" stopIfTrue="1">
      <formula>AI73=CléCongés</formula>
    </cfRule>
  </conditionalFormatting>
  <conditionalFormatting sqref="AR75">
    <cfRule type="expression" priority="853" stopIfTrue="1">
      <formula>AR75=""</formula>
    </cfRule>
    <cfRule type="expression" dxfId="3819" priority="854" stopIfTrue="1">
      <formula>AR75=CléPersonnalisée2</formula>
    </cfRule>
    <cfRule type="expression" dxfId="3818" priority="855" stopIfTrue="1">
      <formula>AR75=CléPersonnalisée1</formula>
    </cfRule>
    <cfRule type="expression" dxfId="3817" priority="856" stopIfTrue="1">
      <formula>AR75=CléMaladie</formula>
    </cfRule>
    <cfRule type="expression" dxfId="3816" priority="857" stopIfTrue="1">
      <formula>AR75=CléPersonnelle</formula>
    </cfRule>
    <cfRule type="expression" dxfId="3815" priority="858" stopIfTrue="1">
      <formula>AR75=CléCongés</formula>
    </cfRule>
  </conditionalFormatting>
  <conditionalFormatting sqref="C81:AG83">
    <cfRule type="expression" priority="840" stopIfTrue="1">
      <formula>C81=""</formula>
    </cfRule>
    <cfRule type="expression" dxfId="3814" priority="841" stopIfTrue="1">
      <formula>C81=CléPersonnalisée2</formula>
    </cfRule>
    <cfRule type="expression" dxfId="3813" priority="842" stopIfTrue="1">
      <formula>C81=CléPersonnalisée1</formula>
    </cfRule>
    <cfRule type="expression" dxfId="3812" priority="843" stopIfTrue="1">
      <formula>C81=CléMaladie</formula>
    </cfRule>
    <cfRule type="expression" dxfId="3811" priority="844" stopIfTrue="1">
      <formula>C81=CléPersonnelle</formula>
    </cfRule>
    <cfRule type="expression" dxfId="3810" priority="845" stopIfTrue="1">
      <formula>C81=CléCongés</formula>
    </cfRule>
  </conditionalFormatting>
  <conditionalFormatting sqref="AH83">
    <cfRule type="dataBar" priority="846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{8FE21EFC-C8BC-4202-A360-0ADAE34EB5D5}</x14:id>
        </ext>
      </extLst>
    </cfRule>
  </conditionalFormatting>
  <conditionalFormatting sqref="AI83:AL83 AJ81:AL82">
    <cfRule type="expression" priority="834" stopIfTrue="1">
      <formula>AI81=""</formula>
    </cfRule>
    <cfRule type="expression" dxfId="3809" priority="835" stopIfTrue="1">
      <formula>AI81=CléPersonnalisée2</formula>
    </cfRule>
    <cfRule type="expression" dxfId="3808" priority="836" stopIfTrue="1">
      <formula>AI81=CléPersonnalisée1</formula>
    </cfRule>
    <cfRule type="expression" dxfId="3807" priority="837" stopIfTrue="1">
      <formula>AI81=CléMaladie</formula>
    </cfRule>
    <cfRule type="expression" dxfId="3806" priority="838" stopIfTrue="1">
      <formula>AI81=CléPersonnelle</formula>
    </cfRule>
    <cfRule type="expression" dxfId="3805" priority="839" stopIfTrue="1">
      <formula>AI81=CléCongés</formula>
    </cfRule>
  </conditionalFormatting>
  <conditionalFormatting sqref="AM81:AP82">
    <cfRule type="expression" priority="828" stopIfTrue="1">
      <formula>AM81=""</formula>
    </cfRule>
    <cfRule type="expression" dxfId="3804" priority="829" stopIfTrue="1">
      <formula>AM81=CléPersonnalisée2</formula>
    </cfRule>
    <cfRule type="expression" dxfId="3803" priority="830" stopIfTrue="1">
      <formula>AM81=CléPersonnalisée1</formula>
    </cfRule>
    <cfRule type="expression" dxfId="3802" priority="831" stopIfTrue="1">
      <formula>AM81=CléMaladie</formula>
    </cfRule>
    <cfRule type="expression" dxfId="3801" priority="832" stopIfTrue="1">
      <formula>AM81=CléPersonnelle</formula>
    </cfRule>
    <cfRule type="expression" dxfId="3800" priority="833" stopIfTrue="1">
      <formula>AM81=CléCongés</formula>
    </cfRule>
  </conditionalFormatting>
  <conditionalFormatting sqref="AQ81:AR82">
    <cfRule type="expression" priority="822" stopIfTrue="1">
      <formula>AQ81=""</formula>
    </cfRule>
    <cfRule type="expression" dxfId="3799" priority="823" stopIfTrue="1">
      <formula>AQ81=CléPersonnalisée2</formula>
    </cfRule>
    <cfRule type="expression" dxfId="3798" priority="824" stopIfTrue="1">
      <formula>AQ81=CléPersonnalisée1</formula>
    </cfRule>
    <cfRule type="expression" dxfId="3797" priority="825" stopIfTrue="1">
      <formula>AQ81=CléMaladie</formula>
    </cfRule>
    <cfRule type="expression" dxfId="3796" priority="826" stopIfTrue="1">
      <formula>AQ81=CléPersonnelle</formula>
    </cfRule>
    <cfRule type="expression" dxfId="3795" priority="827" stopIfTrue="1">
      <formula>AQ81=CléCongés</formula>
    </cfRule>
  </conditionalFormatting>
  <conditionalFormatting sqref="AM83 AP83">
    <cfRule type="expression" priority="816" stopIfTrue="1">
      <formula>AM83=""</formula>
    </cfRule>
    <cfRule type="expression" dxfId="3794" priority="817" stopIfTrue="1">
      <formula>AM83=CléPersonnalisée2</formula>
    </cfRule>
    <cfRule type="expression" dxfId="3793" priority="818" stopIfTrue="1">
      <formula>AM83=CléPersonnalisée1</formula>
    </cfRule>
    <cfRule type="expression" dxfId="3792" priority="819" stopIfTrue="1">
      <formula>AM83=CléMaladie</formula>
    </cfRule>
    <cfRule type="expression" dxfId="3791" priority="820" stopIfTrue="1">
      <formula>AM83=CléPersonnelle</formula>
    </cfRule>
    <cfRule type="expression" dxfId="3790" priority="821" stopIfTrue="1">
      <formula>AM83=CléCongés</formula>
    </cfRule>
  </conditionalFormatting>
  <conditionalFormatting sqref="AH81:AH82">
    <cfRule type="dataBar" priority="815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{F4384525-D5E4-4A9D-9617-A2A8E081218D}</x14:id>
        </ext>
      </extLst>
    </cfRule>
  </conditionalFormatting>
  <conditionalFormatting sqref="AO83">
    <cfRule type="expression" priority="809" stopIfTrue="1">
      <formula>AO83=""</formula>
    </cfRule>
    <cfRule type="expression" dxfId="3789" priority="810" stopIfTrue="1">
      <formula>AO83=CléPersonnalisée2</formula>
    </cfRule>
    <cfRule type="expression" dxfId="3788" priority="811" stopIfTrue="1">
      <formula>AO83=CléPersonnalisée1</formula>
    </cfRule>
    <cfRule type="expression" dxfId="3787" priority="812" stopIfTrue="1">
      <formula>AO83=CléMaladie</formula>
    </cfRule>
    <cfRule type="expression" dxfId="3786" priority="813" stopIfTrue="1">
      <formula>AO83=CléPersonnelle</formula>
    </cfRule>
    <cfRule type="expression" dxfId="3785" priority="814" stopIfTrue="1">
      <formula>AO83=CléCongés</formula>
    </cfRule>
  </conditionalFormatting>
  <conditionalFormatting sqref="AI81:AI82">
    <cfRule type="expression" priority="803" stopIfTrue="1">
      <formula>AI81=""</formula>
    </cfRule>
    <cfRule type="expression" dxfId="3784" priority="804" stopIfTrue="1">
      <formula>AI81=CléPersonnalisée2</formula>
    </cfRule>
    <cfRule type="expression" dxfId="3783" priority="805" stopIfTrue="1">
      <formula>AI81=CléPersonnalisée1</formula>
    </cfRule>
    <cfRule type="expression" dxfId="3782" priority="806" stopIfTrue="1">
      <formula>AI81=CléMaladie</formula>
    </cfRule>
    <cfRule type="expression" dxfId="3781" priority="807" stopIfTrue="1">
      <formula>AI81=CléPersonnelle</formula>
    </cfRule>
    <cfRule type="expression" dxfId="3780" priority="808" stopIfTrue="1">
      <formula>AI81=CléCongés</formula>
    </cfRule>
  </conditionalFormatting>
  <conditionalFormatting sqref="AN83">
    <cfRule type="expression" priority="797" stopIfTrue="1">
      <formula>AN83=""</formula>
    </cfRule>
    <cfRule type="expression" dxfId="3779" priority="798" stopIfTrue="1">
      <formula>AN83=CléPersonnalisée2</formula>
    </cfRule>
    <cfRule type="expression" dxfId="3778" priority="799" stopIfTrue="1">
      <formula>AN83=CléPersonnalisée1</formula>
    </cfRule>
    <cfRule type="expression" dxfId="3777" priority="800" stopIfTrue="1">
      <formula>AN83=CléMaladie</formula>
    </cfRule>
    <cfRule type="expression" dxfId="3776" priority="801" stopIfTrue="1">
      <formula>AN83=CléPersonnelle</formula>
    </cfRule>
    <cfRule type="expression" dxfId="3775" priority="802" stopIfTrue="1">
      <formula>AN83=CléCongés</formula>
    </cfRule>
  </conditionalFormatting>
  <conditionalFormatting sqref="AR83">
    <cfRule type="expression" priority="791" stopIfTrue="1">
      <formula>AR83=""</formula>
    </cfRule>
    <cfRule type="expression" dxfId="3774" priority="792" stopIfTrue="1">
      <formula>AR83=CléPersonnalisée2</formula>
    </cfRule>
    <cfRule type="expression" dxfId="3773" priority="793" stopIfTrue="1">
      <formula>AR83=CléPersonnalisée1</formula>
    </cfRule>
    <cfRule type="expression" dxfId="3772" priority="794" stopIfTrue="1">
      <formula>AR83=CléMaladie</formula>
    </cfRule>
    <cfRule type="expression" dxfId="3771" priority="795" stopIfTrue="1">
      <formula>AR83=CléPersonnelle</formula>
    </cfRule>
    <cfRule type="expression" dxfId="3770" priority="796" stopIfTrue="1">
      <formula>AR83=CléCongés</formula>
    </cfRule>
  </conditionalFormatting>
  <conditionalFormatting sqref="AQ87">
    <cfRule type="expression" priority="723" stopIfTrue="1">
      <formula>AQ87=""</formula>
    </cfRule>
    <cfRule type="expression" dxfId="3769" priority="724" stopIfTrue="1">
      <formula>AQ87=CléPersonnalisée2</formula>
    </cfRule>
    <cfRule type="expression" dxfId="3768" priority="725" stopIfTrue="1">
      <formula>AQ87=CléPersonnalisée1</formula>
    </cfRule>
    <cfRule type="expression" dxfId="3767" priority="726" stopIfTrue="1">
      <formula>AQ87=CléMaladie</formula>
    </cfRule>
    <cfRule type="expression" dxfId="3766" priority="727" stopIfTrue="1">
      <formula>AQ87=CléPersonnelle</formula>
    </cfRule>
    <cfRule type="expression" dxfId="3765" priority="728" stopIfTrue="1">
      <formula>AQ87=CléCongés</formula>
    </cfRule>
  </conditionalFormatting>
  <conditionalFormatting sqref="C85:AG87">
    <cfRule type="expression" priority="778" stopIfTrue="1">
      <formula>C85=""</formula>
    </cfRule>
    <cfRule type="expression" dxfId="3764" priority="779" stopIfTrue="1">
      <formula>C85=CléPersonnalisée2</formula>
    </cfRule>
    <cfRule type="expression" dxfId="3763" priority="780" stopIfTrue="1">
      <formula>C85=CléPersonnalisée1</formula>
    </cfRule>
    <cfRule type="expression" dxfId="3762" priority="781" stopIfTrue="1">
      <formula>C85=CléMaladie</formula>
    </cfRule>
    <cfRule type="expression" dxfId="3761" priority="782" stopIfTrue="1">
      <formula>C85=CléPersonnelle</formula>
    </cfRule>
    <cfRule type="expression" dxfId="3760" priority="783" stopIfTrue="1">
      <formula>C85=CléCongés</formula>
    </cfRule>
  </conditionalFormatting>
  <conditionalFormatting sqref="AH87">
    <cfRule type="dataBar" priority="784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{F49BD338-313A-41C1-9ED8-E84663AAF58D}</x14:id>
        </ext>
      </extLst>
    </cfRule>
  </conditionalFormatting>
  <conditionalFormatting sqref="AI87:AL87 AJ85:AL86">
    <cfRule type="expression" priority="772" stopIfTrue="1">
      <formula>AI85=""</formula>
    </cfRule>
    <cfRule type="expression" dxfId="3759" priority="773" stopIfTrue="1">
      <formula>AI85=CléPersonnalisée2</formula>
    </cfRule>
    <cfRule type="expression" dxfId="3758" priority="774" stopIfTrue="1">
      <formula>AI85=CléPersonnalisée1</formula>
    </cfRule>
    <cfRule type="expression" dxfId="3757" priority="775" stopIfTrue="1">
      <formula>AI85=CléMaladie</formula>
    </cfRule>
    <cfRule type="expression" dxfId="3756" priority="776" stopIfTrue="1">
      <formula>AI85=CléPersonnelle</formula>
    </cfRule>
    <cfRule type="expression" dxfId="3755" priority="777" stopIfTrue="1">
      <formula>AI85=CléCongés</formula>
    </cfRule>
  </conditionalFormatting>
  <conditionalFormatting sqref="AM85:AP86">
    <cfRule type="expression" priority="766" stopIfTrue="1">
      <formula>AM85=""</formula>
    </cfRule>
    <cfRule type="expression" dxfId="3754" priority="767" stopIfTrue="1">
      <formula>AM85=CléPersonnalisée2</formula>
    </cfRule>
    <cfRule type="expression" dxfId="3753" priority="768" stopIfTrue="1">
      <formula>AM85=CléPersonnalisée1</formula>
    </cfRule>
    <cfRule type="expression" dxfId="3752" priority="769" stopIfTrue="1">
      <formula>AM85=CléMaladie</formula>
    </cfRule>
    <cfRule type="expression" dxfId="3751" priority="770" stopIfTrue="1">
      <formula>AM85=CléPersonnelle</formula>
    </cfRule>
    <cfRule type="expression" dxfId="3750" priority="771" stopIfTrue="1">
      <formula>AM85=CléCongés</formula>
    </cfRule>
  </conditionalFormatting>
  <conditionalFormatting sqref="AQ85:AR86">
    <cfRule type="expression" priority="760" stopIfTrue="1">
      <formula>AQ85=""</formula>
    </cfRule>
    <cfRule type="expression" dxfId="3749" priority="761" stopIfTrue="1">
      <formula>AQ85=CléPersonnalisée2</formula>
    </cfRule>
    <cfRule type="expression" dxfId="3748" priority="762" stopIfTrue="1">
      <formula>AQ85=CléPersonnalisée1</formula>
    </cfRule>
    <cfRule type="expression" dxfId="3747" priority="763" stopIfTrue="1">
      <formula>AQ85=CléMaladie</formula>
    </cfRule>
    <cfRule type="expression" dxfId="3746" priority="764" stopIfTrue="1">
      <formula>AQ85=CléPersonnelle</formula>
    </cfRule>
    <cfRule type="expression" dxfId="3745" priority="765" stopIfTrue="1">
      <formula>AQ85=CléCongés</formula>
    </cfRule>
  </conditionalFormatting>
  <conditionalFormatting sqref="AM87 AP87">
    <cfRule type="expression" priority="754" stopIfTrue="1">
      <formula>AM87=""</formula>
    </cfRule>
    <cfRule type="expression" dxfId="3744" priority="755" stopIfTrue="1">
      <formula>AM87=CléPersonnalisée2</formula>
    </cfRule>
    <cfRule type="expression" dxfId="3743" priority="756" stopIfTrue="1">
      <formula>AM87=CléPersonnalisée1</formula>
    </cfRule>
    <cfRule type="expression" dxfId="3742" priority="757" stopIfTrue="1">
      <formula>AM87=CléMaladie</formula>
    </cfRule>
    <cfRule type="expression" dxfId="3741" priority="758" stopIfTrue="1">
      <formula>AM87=CléPersonnelle</formula>
    </cfRule>
    <cfRule type="expression" dxfId="3740" priority="759" stopIfTrue="1">
      <formula>AM87=CléCongés</formula>
    </cfRule>
  </conditionalFormatting>
  <conditionalFormatting sqref="AH85:AH86">
    <cfRule type="dataBar" priority="753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{3830C050-35A0-4849-98B5-52FC3D0E1199}</x14:id>
        </ext>
      </extLst>
    </cfRule>
  </conditionalFormatting>
  <conditionalFormatting sqref="AO87">
    <cfRule type="expression" priority="747" stopIfTrue="1">
      <formula>AO87=""</formula>
    </cfRule>
    <cfRule type="expression" dxfId="3739" priority="748" stopIfTrue="1">
      <formula>AO87=CléPersonnalisée2</formula>
    </cfRule>
    <cfRule type="expression" dxfId="3738" priority="749" stopIfTrue="1">
      <formula>AO87=CléPersonnalisée1</formula>
    </cfRule>
    <cfRule type="expression" dxfId="3737" priority="750" stopIfTrue="1">
      <formula>AO87=CléMaladie</formula>
    </cfRule>
    <cfRule type="expression" dxfId="3736" priority="751" stopIfTrue="1">
      <formula>AO87=CléPersonnelle</formula>
    </cfRule>
    <cfRule type="expression" dxfId="3735" priority="752" stopIfTrue="1">
      <formula>AO87=CléCongés</formula>
    </cfRule>
  </conditionalFormatting>
  <conditionalFormatting sqref="AI85:AI86">
    <cfRule type="expression" priority="741" stopIfTrue="1">
      <formula>AI85=""</formula>
    </cfRule>
    <cfRule type="expression" dxfId="3734" priority="742" stopIfTrue="1">
      <formula>AI85=CléPersonnalisée2</formula>
    </cfRule>
    <cfRule type="expression" dxfId="3733" priority="743" stopIfTrue="1">
      <formula>AI85=CléPersonnalisée1</formula>
    </cfRule>
    <cfRule type="expression" dxfId="3732" priority="744" stopIfTrue="1">
      <formula>AI85=CléMaladie</formula>
    </cfRule>
    <cfRule type="expression" dxfId="3731" priority="745" stopIfTrue="1">
      <formula>AI85=CléPersonnelle</formula>
    </cfRule>
    <cfRule type="expression" dxfId="3730" priority="746" stopIfTrue="1">
      <formula>AI85=CléCongés</formula>
    </cfRule>
  </conditionalFormatting>
  <conditionalFormatting sqref="AN87">
    <cfRule type="expression" priority="735" stopIfTrue="1">
      <formula>AN87=""</formula>
    </cfRule>
    <cfRule type="expression" dxfId="3729" priority="736" stopIfTrue="1">
      <formula>AN87=CléPersonnalisée2</formula>
    </cfRule>
    <cfRule type="expression" dxfId="3728" priority="737" stopIfTrue="1">
      <formula>AN87=CléPersonnalisée1</formula>
    </cfRule>
    <cfRule type="expression" dxfId="3727" priority="738" stopIfTrue="1">
      <formula>AN87=CléMaladie</formula>
    </cfRule>
    <cfRule type="expression" dxfId="3726" priority="739" stopIfTrue="1">
      <formula>AN87=CléPersonnelle</formula>
    </cfRule>
    <cfRule type="expression" dxfId="3725" priority="740" stopIfTrue="1">
      <formula>AN87=CléCongés</formula>
    </cfRule>
  </conditionalFormatting>
  <conditionalFormatting sqref="AR87">
    <cfRule type="expression" priority="729" stopIfTrue="1">
      <formula>AR87=""</formula>
    </cfRule>
    <cfRule type="expression" dxfId="3724" priority="730" stopIfTrue="1">
      <formula>AR87=CléPersonnalisée2</formula>
    </cfRule>
    <cfRule type="expression" dxfId="3723" priority="731" stopIfTrue="1">
      <formula>AR87=CléPersonnalisée1</formula>
    </cfRule>
    <cfRule type="expression" dxfId="3722" priority="732" stopIfTrue="1">
      <formula>AR87=CléMaladie</formula>
    </cfRule>
    <cfRule type="expression" dxfId="3721" priority="733" stopIfTrue="1">
      <formula>AR87=CléPersonnelle</formula>
    </cfRule>
    <cfRule type="expression" dxfId="3720" priority="734" stopIfTrue="1">
      <formula>AR87=CléCongés</formula>
    </cfRule>
  </conditionalFormatting>
  <conditionalFormatting sqref="C89:AG91">
    <cfRule type="expression" priority="716" stopIfTrue="1">
      <formula>C89=""</formula>
    </cfRule>
    <cfRule type="expression" dxfId="3719" priority="717" stopIfTrue="1">
      <formula>C89=CléPersonnalisée2</formula>
    </cfRule>
    <cfRule type="expression" dxfId="3718" priority="718" stopIfTrue="1">
      <formula>C89=CléPersonnalisée1</formula>
    </cfRule>
    <cfRule type="expression" dxfId="3717" priority="719" stopIfTrue="1">
      <formula>C89=CléMaladie</formula>
    </cfRule>
    <cfRule type="expression" dxfId="3716" priority="720" stopIfTrue="1">
      <formula>C89=CléPersonnelle</formula>
    </cfRule>
    <cfRule type="expression" dxfId="3715" priority="721" stopIfTrue="1">
      <formula>C89=CléCongés</formula>
    </cfRule>
  </conditionalFormatting>
  <conditionalFormatting sqref="AH91">
    <cfRule type="dataBar" priority="722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{94DB4453-F673-4E24-87D0-EC8F80D83B2E}</x14:id>
        </ext>
      </extLst>
    </cfRule>
  </conditionalFormatting>
  <conditionalFormatting sqref="AI91:AL91 AJ89:AL90">
    <cfRule type="expression" priority="710" stopIfTrue="1">
      <formula>AI89=""</formula>
    </cfRule>
    <cfRule type="expression" dxfId="3714" priority="711" stopIfTrue="1">
      <formula>AI89=CléPersonnalisée2</formula>
    </cfRule>
    <cfRule type="expression" dxfId="3713" priority="712" stopIfTrue="1">
      <formula>AI89=CléPersonnalisée1</formula>
    </cfRule>
    <cfRule type="expression" dxfId="3712" priority="713" stopIfTrue="1">
      <formula>AI89=CléMaladie</formula>
    </cfRule>
    <cfRule type="expression" dxfId="3711" priority="714" stopIfTrue="1">
      <formula>AI89=CléPersonnelle</formula>
    </cfRule>
    <cfRule type="expression" dxfId="3710" priority="715" stopIfTrue="1">
      <formula>AI89=CléCongés</formula>
    </cfRule>
  </conditionalFormatting>
  <conditionalFormatting sqref="AM89:AP90">
    <cfRule type="expression" priority="704" stopIfTrue="1">
      <formula>AM89=""</formula>
    </cfRule>
    <cfRule type="expression" dxfId="3709" priority="705" stopIfTrue="1">
      <formula>AM89=CléPersonnalisée2</formula>
    </cfRule>
    <cfRule type="expression" dxfId="3708" priority="706" stopIfTrue="1">
      <formula>AM89=CléPersonnalisée1</formula>
    </cfRule>
    <cfRule type="expression" dxfId="3707" priority="707" stopIfTrue="1">
      <formula>AM89=CléMaladie</formula>
    </cfRule>
    <cfRule type="expression" dxfId="3706" priority="708" stopIfTrue="1">
      <formula>AM89=CléPersonnelle</formula>
    </cfRule>
    <cfRule type="expression" dxfId="3705" priority="709" stopIfTrue="1">
      <formula>AM89=CléCongés</formula>
    </cfRule>
  </conditionalFormatting>
  <conditionalFormatting sqref="AQ89:AR90">
    <cfRule type="expression" priority="698" stopIfTrue="1">
      <formula>AQ89=""</formula>
    </cfRule>
    <cfRule type="expression" dxfId="3704" priority="699" stopIfTrue="1">
      <formula>AQ89=CléPersonnalisée2</formula>
    </cfRule>
    <cfRule type="expression" dxfId="3703" priority="700" stopIfTrue="1">
      <formula>AQ89=CléPersonnalisée1</formula>
    </cfRule>
    <cfRule type="expression" dxfId="3702" priority="701" stopIfTrue="1">
      <formula>AQ89=CléMaladie</formula>
    </cfRule>
    <cfRule type="expression" dxfId="3701" priority="702" stopIfTrue="1">
      <formula>AQ89=CléPersonnelle</formula>
    </cfRule>
    <cfRule type="expression" dxfId="3700" priority="703" stopIfTrue="1">
      <formula>AQ89=CléCongés</formula>
    </cfRule>
  </conditionalFormatting>
  <conditionalFormatting sqref="AM91 AP91">
    <cfRule type="expression" priority="692" stopIfTrue="1">
      <formula>AM91=""</formula>
    </cfRule>
    <cfRule type="expression" dxfId="3699" priority="693" stopIfTrue="1">
      <formula>AM91=CléPersonnalisée2</formula>
    </cfRule>
    <cfRule type="expression" dxfId="3698" priority="694" stopIfTrue="1">
      <formula>AM91=CléPersonnalisée1</formula>
    </cfRule>
    <cfRule type="expression" dxfId="3697" priority="695" stopIfTrue="1">
      <formula>AM91=CléMaladie</formula>
    </cfRule>
    <cfRule type="expression" dxfId="3696" priority="696" stopIfTrue="1">
      <formula>AM91=CléPersonnelle</formula>
    </cfRule>
    <cfRule type="expression" dxfId="3695" priority="697" stopIfTrue="1">
      <formula>AM91=CléCongés</formula>
    </cfRule>
  </conditionalFormatting>
  <conditionalFormatting sqref="AH89:AH90">
    <cfRule type="dataBar" priority="691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{2D39C88C-0C7C-43DA-8BC2-D9E1FE291B83}</x14:id>
        </ext>
      </extLst>
    </cfRule>
  </conditionalFormatting>
  <conditionalFormatting sqref="AO91">
    <cfRule type="expression" priority="685" stopIfTrue="1">
      <formula>AO91=""</formula>
    </cfRule>
    <cfRule type="expression" dxfId="3694" priority="686" stopIfTrue="1">
      <formula>AO91=CléPersonnalisée2</formula>
    </cfRule>
    <cfRule type="expression" dxfId="3693" priority="687" stopIfTrue="1">
      <formula>AO91=CléPersonnalisée1</formula>
    </cfRule>
    <cfRule type="expression" dxfId="3692" priority="688" stopIfTrue="1">
      <formula>AO91=CléMaladie</formula>
    </cfRule>
    <cfRule type="expression" dxfId="3691" priority="689" stopIfTrue="1">
      <formula>AO91=CléPersonnelle</formula>
    </cfRule>
    <cfRule type="expression" dxfId="3690" priority="690" stopIfTrue="1">
      <formula>AO91=CléCongés</formula>
    </cfRule>
  </conditionalFormatting>
  <conditionalFormatting sqref="AI89:AI90">
    <cfRule type="expression" priority="679" stopIfTrue="1">
      <formula>AI89=""</formula>
    </cfRule>
    <cfRule type="expression" dxfId="3689" priority="680" stopIfTrue="1">
      <formula>AI89=CléPersonnalisée2</formula>
    </cfRule>
    <cfRule type="expression" dxfId="3688" priority="681" stopIfTrue="1">
      <formula>AI89=CléPersonnalisée1</formula>
    </cfRule>
    <cfRule type="expression" dxfId="3687" priority="682" stopIfTrue="1">
      <formula>AI89=CléMaladie</formula>
    </cfRule>
    <cfRule type="expression" dxfId="3686" priority="683" stopIfTrue="1">
      <formula>AI89=CléPersonnelle</formula>
    </cfRule>
    <cfRule type="expression" dxfId="3685" priority="684" stopIfTrue="1">
      <formula>AI89=CléCongés</formula>
    </cfRule>
  </conditionalFormatting>
  <conditionalFormatting sqref="AN91">
    <cfRule type="expression" priority="673" stopIfTrue="1">
      <formula>AN91=""</formula>
    </cfRule>
    <cfRule type="expression" dxfId="3684" priority="674" stopIfTrue="1">
      <formula>AN91=CléPersonnalisée2</formula>
    </cfRule>
    <cfRule type="expression" dxfId="3683" priority="675" stopIfTrue="1">
      <formula>AN91=CléPersonnalisée1</formula>
    </cfRule>
    <cfRule type="expression" dxfId="3682" priority="676" stopIfTrue="1">
      <formula>AN91=CléMaladie</formula>
    </cfRule>
    <cfRule type="expression" dxfId="3681" priority="677" stopIfTrue="1">
      <formula>AN91=CléPersonnelle</formula>
    </cfRule>
    <cfRule type="expression" dxfId="3680" priority="678" stopIfTrue="1">
      <formula>AN91=CléCongés</formula>
    </cfRule>
  </conditionalFormatting>
  <conditionalFormatting sqref="AR91">
    <cfRule type="expression" priority="667" stopIfTrue="1">
      <formula>AR91=""</formula>
    </cfRule>
    <cfRule type="expression" dxfId="3679" priority="668" stopIfTrue="1">
      <formula>AR91=CléPersonnalisée2</formula>
    </cfRule>
    <cfRule type="expression" dxfId="3678" priority="669" stopIfTrue="1">
      <formula>AR91=CléPersonnalisée1</formula>
    </cfRule>
    <cfRule type="expression" dxfId="3677" priority="670" stopIfTrue="1">
      <formula>AR91=CléMaladie</formula>
    </cfRule>
    <cfRule type="expression" dxfId="3676" priority="671" stopIfTrue="1">
      <formula>AR91=CléPersonnelle</formula>
    </cfRule>
    <cfRule type="expression" dxfId="3675" priority="672" stopIfTrue="1">
      <formula>AR91=CléCongés</formula>
    </cfRule>
  </conditionalFormatting>
  <conditionalFormatting sqref="AO75">
    <cfRule type="expression" priority="655" stopIfTrue="1">
      <formula>AO75=""</formula>
    </cfRule>
    <cfRule type="expression" dxfId="3674" priority="656" stopIfTrue="1">
      <formula>AO75=CléPersonnalisée2</formula>
    </cfRule>
    <cfRule type="expression" dxfId="3673" priority="657" stopIfTrue="1">
      <formula>AO75=CléPersonnalisée1</formula>
    </cfRule>
    <cfRule type="expression" dxfId="3672" priority="658" stopIfTrue="1">
      <formula>AO75=CléMaladie</formula>
    </cfRule>
    <cfRule type="expression" dxfId="3671" priority="659" stopIfTrue="1">
      <formula>AO75=CléPersonnelle</formula>
    </cfRule>
    <cfRule type="expression" dxfId="3670" priority="660" stopIfTrue="1">
      <formula>AO75=CléCongés</formula>
    </cfRule>
  </conditionalFormatting>
  <conditionalFormatting sqref="AN75">
    <cfRule type="expression" priority="649" stopIfTrue="1">
      <formula>AN75=""</formula>
    </cfRule>
    <cfRule type="expression" dxfId="3669" priority="650" stopIfTrue="1">
      <formula>AN75=CléPersonnalisée2</formula>
    </cfRule>
    <cfRule type="expression" dxfId="3668" priority="651" stopIfTrue="1">
      <formula>AN75=CléPersonnalisée1</formula>
    </cfRule>
    <cfRule type="expression" dxfId="3667" priority="652" stopIfTrue="1">
      <formula>AN75=CléMaladie</formula>
    </cfRule>
    <cfRule type="expression" dxfId="3666" priority="653" stopIfTrue="1">
      <formula>AN75=CléPersonnelle</formula>
    </cfRule>
    <cfRule type="expression" dxfId="3665" priority="654" stopIfTrue="1">
      <formula>AN75=CléCongés</formula>
    </cfRule>
  </conditionalFormatting>
  <conditionalFormatting sqref="AQ124:AR124">
    <cfRule type="expression" priority="643" stopIfTrue="1">
      <formula>AQ124=""</formula>
    </cfRule>
    <cfRule type="expression" dxfId="3664" priority="644" stopIfTrue="1">
      <formula>AQ124=CléPersonnalisée2</formula>
    </cfRule>
    <cfRule type="expression" dxfId="3663" priority="645" stopIfTrue="1">
      <formula>AQ124=CléPersonnalisée1</formula>
    </cfRule>
    <cfRule type="expression" dxfId="3662" priority="646" stopIfTrue="1">
      <formula>AQ124=CléMaladie</formula>
    </cfRule>
    <cfRule type="expression" dxfId="3661" priority="647" stopIfTrue="1">
      <formula>AQ124=CléPersonnelle</formula>
    </cfRule>
    <cfRule type="expression" dxfId="3660" priority="648" stopIfTrue="1">
      <formula>AQ124=CléCongés</formula>
    </cfRule>
  </conditionalFormatting>
  <conditionalFormatting sqref="AQ123">
    <cfRule type="expression" priority="457" stopIfTrue="1">
      <formula>AQ123=""</formula>
    </cfRule>
    <cfRule type="expression" dxfId="3659" priority="458" stopIfTrue="1">
      <formula>AQ123=CléPersonnalisée2</formula>
    </cfRule>
    <cfRule type="expression" dxfId="3658" priority="459" stopIfTrue="1">
      <formula>AQ123=CléPersonnalisée1</formula>
    </cfRule>
    <cfRule type="expression" dxfId="3657" priority="460" stopIfTrue="1">
      <formula>AQ123=CléMaladie</formula>
    </cfRule>
    <cfRule type="expression" dxfId="3656" priority="461" stopIfTrue="1">
      <formula>AQ123=CléPersonnelle</formula>
    </cfRule>
    <cfRule type="expression" dxfId="3655" priority="462" stopIfTrue="1">
      <formula>AQ123=CléCongés</formula>
    </cfRule>
  </conditionalFormatting>
  <conditionalFormatting sqref="AQ104:AR104 AQ112:AR112 AQ116:AR116">
    <cfRule type="expression" priority="637" stopIfTrue="1">
      <formula>AQ104=""</formula>
    </cfRule>
    <cfRule type="expression" dxfId="3654" priority="638" stopIfTrue="1">
      <formula>AQ104=CléPersonnalisée2</formula>
    </cfRule>
    <cfRule type="expression" dxfId="3653" priority="639" stopIfTrue="1">
      <formula>AQ104=CléPersonnalisée1</formula>
    </cfRule>
    <cfRule type="expression" dxfId="3652" priority="640" stopIfTrue="1">
      <formula>AQ104=CléMaladie</formula>
    </cfRule>
    <cfRule type="expression" dxfId="3651" priority="641" stopIfTrue="1">
      <formula>AQ104=CléPersonnelle</formula>
    </cfRule>
    <cfRule type="expression" dxfId="3650" priority="642" stopIfTrue="1">
      <formula>AQ104=CléCongés</formula>
    </cfRule>
  </conditionalFormatting>
  <conditionalFormatting sqref="AQ95 AQ103 AQ99">
    <cfRule type="expression" priority="575" stopIfTrue="1">
      <formula>AQ95=""</formula>
    </cfRule>
    <cfRule type="expression" dxfId="3649" priority="576" stopIfTrue="1">
      <formula>AQ95=CléPersonnalisée2</formula>
    </cfRule>
    <cfRule type="expression" dxfId="3648" priority="577" stopIfTrue="1">
      <formula>AQ95=CléPersonnalisée1</formula>
    </cfRule>
    <cfRule type="expression" dxfId="3647" priority="578" stopIfTrue="1">
      <formula>AQ95=CléMaladie</formula>
    </cfRule>
    <cfRule type="expression" dxfId="3646" priority="579" stopIfTrue="1">
      <formula>AQ95=CléPersonnelle</formula>
    </cfRule>
    <cfRule type="expression" dxfId="3645" priority="580" stopIfTrue="1">
      <formula>AQ95=CléCongés</formula>
    </cfRule>
  </conditionalFormatting>
  <conditionalFormatting sqref="C93:AG95 C101:AG103 C97:AG99">
    <cfRule type="expression" priority="630" stopIfTrue="1">
      <formula>C93=""</formula>
    </cfRule>
    <cfRule type="expression" dxfId="3644" priority="631" stopIfTrue="1">
      <formula>C93=CléPersonnalisée2</formula>
    </cfRule>
    <cfRule type="expression" dxfId="3643" priority="632" stopIfTrue="1">
      <formula>C93=CléPersonnalisée1</formula>
    </cfRule>
    <cfRule type="expression" dxfId="3642" priority="633" stopIfTrue="1">
      <formula>C93=CléMaladie</formula>
    </cfRule>
    <cfRule type="expression" dxfId="3641" priority="634" stopIfTrue="1">
      <formula>C93=CléPersonnelle</formula>
    </cfRule>
    <cfRule type="expression" dxfId="3640" priority="635" stopIfTrue="1">
      <formula>C93=CléCongés</formula>
    </cfRule>
  </conditionalFormatting>
  <conditionalFormatting sqref="AH101:AH103 AH95 AH97:AH99">
    <cfRule type="dataBar" priority="636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{C927C8BB-D67C-4CF7-9F33-96644BBD1637}</x14:id>
        </ext>
      </extLst>
    </cfRule>
  </conditionalFormatting>
  <conditionalFormatting sqref="AI95:AL95 AJ93:AL94 AI101:AL103 AI97:AL99">
    <cfRule type="expression" priority="624" stopIfTrue="1">
      <formula>AI93=""</formula>
    </cfRule>
    <cfRule type="expression" dxfId="3639" priority="625" stopIfTrue="1">
      <formula>AI93=CléPersonnalisée2</formula>
    </cfRule>
    <cfRule type="expression" dxfId="3638" priority="626" stopIfTrue="1">
      <formula>AI93=CléPersonnalisée1</formula>
    </cfRule>
    <cfRule type="expression" dxfId="3637" priority="627" stopIfTrue="1">
      <formula>AI93=CléMaladie</formula>
    </cfRule>
    <cfRule type="expression" dxfId="3636" priority="628" stopIfTrue="1">
      <formula>AI93=CléPersonnelle</formula>
    </cfRule>
    <cfRule type="expression" dxfId="3635" priority="629" stopIfTrue="1">
      <formula>AI93=CléCongés</formula>
    </cfRule>
  </conditionalFormatting>
  <conditionalFormatting sqref="AM93:AP94">
    <cfRule type="expression" priority="618" stopIfTrue="1">
      <formula>AM93=""</formula>
    </cfRule>
    <cfRule type="expression" dxfId="3634" priority="619" stopIfTrue="1">
      <formula>AM93=CléPersonnalisée2</formula>
    </cfRule>
    <cfRule type="expression" dxfId="3633" priority="620" stopIfTrue="1">
      <formula>AM93=CléPersonnalisée1</formula>
    </cfRule>
    <cfRule type="expression" dxfId="3632" priority="621" stopIfTrue="1">
      <formula>AM93=CléMaladie</formula>
    </cfRule>
    <cfRule type="expression" dxfId="3631" priority="622" stopIfTrue="1">
      <formula>AM93=CléPersonnelle</formula>
    </cfRule>
    <cfRule type="expression" dxfId="3630" priority="623" stopIfTrue="1">
      <formula>AM93=CléCongés</formula>
    </cfRule>
  </conditionalFormatting>
  <conditionalFormatting sqref="AQ93:AR94">
    <cfRule type="expression" priority="612" stopIfTrue="1">
      <formula>AQ93=""</formula>
    </cfRule>
    <cfRule type="expression" dxfId="3629" priority="613" stopIfTrue="1">
      <formula>AQ93=CléPersonnalisée2</formula>
    </cfRule>
    <cfRule type="expression" dxfId="3628" priority="614" stopIfTrue="1">
      <formula>AQ93=CléPersonnalisée1</formula>
    </cfRule>
    <cfRule type="expression" dxfId="3627" priority="615" stopIfTrue="1">
      <formula>AQ93=CléMaladie</formula>
    </cfRule>
    <cfRule type="expression" dxfId="3626" priority="616" stopIfTrue="1">
      <formula>AQ93=CléPersonnelle</formula>
    </cfRule>
    <cfRule type="expression" dxfId="3625" priority="617" stopIfTrue="1">
      <formula>AQ93=CléCongés</formula>
    </cfRule>
  </conditionalFormatting>
  <conditionalFormatting sqref="AP95 AP103 AM103 AP99 AM99">
    <cfRule type="expression" priority="606" stopIfTrue="1">
      <formula>AM95=""</formula>
    </cfRule>
    <cfRule type="expression" dxfId="3624" priority="607" stopIfTrue="1">
      <formula>AM95=CléPersonnalisée2</formula>
    </cfRule>
    <cfRule type="expression" dxfId="3623" priority="608" stopIfTrue="1">
      <formula>AM95=CléPersonnalisée1</formula>
    </cfRule>
    <cfRule type="expression" dxfId="3622" priority="609" stopIfTrue="1">
      <formula>AM95=CléMaladie</formula>
    </cfRule>
    <cfRule type="expression" dxfId="3621" priority="610" stopIfTrue="1">
      <formula>AM95=CléPersonnelle</formula>
    </cfRule>
    <cfRule type="expression" dxfId="3620" priority="611" stopIfTrue="1">
      <formula>AM95=CléCongés</formula>
    </cfRule>
  </conditionalFormatting>
  <conditionalFormatting sqref="AH93:AH94">
    <cfRule type="dataBar" priority="605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{F8C14416-4DD4-40A1-A750-29637CB1AE11}</x14:id>
        </ext>
      </extLst>
    </cfRule>
  </conditionalFormatting>
  <conditionalFormatting sqref="AO95 AO103 AO99">
    <cfRule type="expression" priority="599" stopIfTrue="1">
      <formula>AO95=""</formula>
    </cfRule>
    <cfRule type="expression" dxfId="3619" priority="600" stopIfTrue="1">
      <formula>AO95=CléPersonnalisée2</formula>
    </cfRule>
    <cfRule type="expression" dxfId="3618" priority="601" stopIfTrue="1">
      <formula>AO95=CléPersonnalisée1</formula>
    </cfRule>
    <cfRule type="expression" dxfId="3617" priority="602" stopIfTrue="1">
      <formula>AO95=CléMaladie</formula>
    </cfRule>
    <cfRule type="expression" dxfId="3616" priority="603" stopIfTrue="1">
      <formula>AO95=CléPersonnelle</formula>
    </cfRule>
    <cfRule type="expression" dxfId="3615" priority="604" stopIfTrue="1">
      <formula>AO95=CléCongés</formula>
    </cfRule>
  </conditionalFormatting>
  <conditionalFormatting sqref="AI93:AI94">
    <cfRule type="expression" priority="593" stopIfTrue="1">
      <formula>AI93=""</formula>
    </cfRule>
    <cfRule type="expression" dxfId="3614" priority="594" stopIfTrue="1">
      <formula>AI93=CléPersonnalisée2</formula>
    </cfRule>
    <cfRule type="expression" dxfId="3613" priority="595" stopIfTrue="1">
      <formula>AI93=CléPersonnalisée1</formula>
    </cfRule>
    <cfRule type="expression" dxfId="3612" priority="596" stopIfTrue="1">
      <formula>AI93=CléMaladie</formula>
    </cfRule>
    <cfRule type="expression" dxfId="3611" priority="597" stopIfTrue="1">
      <formula>AI93=CléPersonnelle</formula>
    </cfRule>
    <cfRule type="expression" dxfId="3610" priority="598" stopIfTrue="1">
      <formula>AI93=CléCongés</formula>
    </cfRule>
  </conditionalFormatting>
  <conditionalFormatting sqref="AN95 AN103 AN99">
    <cfRule type="expression" priority="587" stopIfTrue="1">
      <formula>AN95=""</formula>
    </cfRule>
    <cfRule type="expression" dxfId="3609" priority="588" stopIfTrue="1">
      <formula>AN95=CléPersonnalisée2</formula>
    </cfRule>
    <cfRule type="expression" dxfId="3608" priority="589" stopIfTrue="1">
      <formula>AN95=CléPersonnalisée1</formula>
    </cfRule>
    <cfRule type="expression" dxfId="3607" priority="590" stopIfTrue="1">
      <formula>AN95=CléMaladie</formula>
    </cfRule>
    <cfRule type="expression" dxfId="3606" priority="591" stopIfTrue="1">
      <formula>AN95=CléPersonnelle</formula>
    </cfRule>
    <cfRule type="expression" dxfId="3605" priority="592" stopIfTrue="1">
      <formula>AN95=CléCongés</formula>
    </cfRule>
  </conditionalFormatting>
  <conditionalFormatting sqref="AR95 AR103 AR99">
    <cfRule type="expression" priority="581" stopIfTrue="1">
      <formula>AR95=""</formula>
    </cfRule>
    <cfRule type="expression" dxfId="3604" priority="582" stopIfTrue="1">
      <formula>AR95=CléPersonnalisée2</formula>
    </cfRule>
    <cfRule type="expression" dxfId="3603" priority="583" stopIfTrue="1">
      <formula>AR95=CléPersonnalisée1</formula>
    </cfRule>
    <cfRule type="expression" dxfId="3602" priority="584" stopIfTrue="1">
      <formula>AR95=CléMaladie</formula>
    </cfRule>
    <cfRule type="expression" dxfId="3601" priority="585" stopIfTrue="1">
      <formula>AR95=CléPersonnelle</formula>
    </cfRule>
    <cfRule type="expression" dxfId="3600" priority="586" stopIfTrue="1">
      <formula>AR95=CléCongés</formula>
    </cfRule>
  </conditionalFormatting>
  <conditionalFormatting sqref="AQ111">
    <cfRule type="expression" priority="519" stopIfTrue="1">
      <formula>AQ111=""</formula>
    </cfRule>
    <cfRule type="expression" dxfId="3599" priority="520" stopIfTrue="1">
      <formula>AQ111=CléPersonnalisée2</formula>
    </cfRule>
    <cfRule type="expression" dxfId="3598" priority="521" stopIfTrue="1">
      <formula>AQ111=CléPersonnalisée1</formula>
    </cfRule>
    <cfRule type="expression" dxfId="3597" priority="522" stopIfTrue="1">
      <formula>AQ111=CléMaladie</formula>
    </cfRule>
    <cfRule type="expression" dxfId="3596" priority="523" stopIfTrue="1">
      <formula>AQ111=CléPersonnelle</formula>
    </cfRule>
    <cfRule type="expression" dxfId="3595" priority="524" stopIfTrue="1">
      <formula>AQ111=CléCongés</formula>
    </cfRule>
  </conditionalFormatting>
  <conditionalFormatting sqref="C109:AG111">
    <cfRule type="expression" priority="568" stopIfTrue="1">
      <formula>C109=""</formula>
    </cfRule>
    <cfRule type="expression" dxfId="3594" priority="569" stopIfTrue="1">
      <formula>C109=CléPersonnalisée2</formula>
    </cfRule>
    <cfRule type="expression" dxfId="3593" priority="570" stopIfTrue="1">
      <formula>C109=CléPersonnalisée1</formula>
    </cfRule>
    <cfRule type="expression" dxfId="3592" priority="571" stopIfTrue="1">
      <formula>C109=CléMaladie</formula>
    </cfRule>
    <cfRule type="expression" dxfId="3591" priority="572" stopIfTrue="1">
      <formula>C109=CléPersonnelle</formula>
    </cfRule>
    <cfRule type="expression" dxfId="3590" priority="573" stopIfTrue="1">
      <formula>C109=CléCongés</formula>
    </cfRule>
  </conditionalFormatting>
  <conditionalFormatting sqref="AH111">
    <cfRule type="dataBar" priority="574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{8A510396-1EF3-4EEA-9ED6-E2AA8C3BCF4C}</x14:id>
        </ext>
      </extLst>
    </cfRule>
  </conditionalFormatting>
  <conditionalFormatting sqref="AI111:AL111 AJ109:AL110">
    <cfRule type="expression" priority="562" stopIfTrue="1">
      <formula>AI109=""</formula>
    </cfRule>
    <cfRule type="expression" dxfId="3589" priority="563" stopIfTrue="1">
      <formula>AI109=CléPersonnalisée2</formula>
    </cfRule>
    <cfRule type="expression" dxfId="3588" priority="564" stopIfTrue="1">
      <formula>AI109=CléPersonnalisée1</formula>
    </cfRule>
    <cfRule type="expression" dxfId="3587" priority="565" stopIfTrue="1">
      <formula>AI109=CléMaladie</formula>
    </cfRule>
    <cfRule type="expression" dxfId="3586" priority="566" stopIfTrue="1">
      <formula>AI109=CléPersonnelle</formula>
    </cfRule>
    <cfRule type="expression" dxfId="3585" priority="567" stopIfTrue="1">
      <formula>AI109=CléCongés</formula>
    </cfRule>
  </conditionalFormatting>
  <conditionalFormatting sqref="AM109:AP110">
    <cfRule type="expression" priority="556" stopIfTrue="1">
      <formula>AM109=""</formula>
    </cfRule>
    <cfRule type="expression" dxfId="3584" priority="557" stopIfTrue="1">
      <formula>AM109=CléPersonnalisée2</formula>
    </cfRule>
    <cfRule type="expression" dxfId="3583" priority="558" stopIfTrue="1">
      <formula>AM109=CléPersonnalisée1</formula>
    </cfRule>
    <cfRule type="expression" dxfId="3582" priority="559" stopIfTrue="1">
      <formula>AM109=CléMaladie</formula>
    </cfRule>
    <cfRule type="expression" dxfId="3581" priority="560" stopIfTrue="1">
      <formula>AM109=CléPersonnelle</formula>
    </cfRule>
    <cfRule type="expression" dxfId="3580" priority="561" stopIfTrue="1">
      <formula>AM109=CléCongés</formula>
    </cfRule>
  </conditionalFormatting>
  <conditionalFormatting sqref="AQ109:AR110">
    <cfRule type="expression" priority="550" stopIfTrue="1">
      <formula>AQ109=""</formula>
    </cfRule>
    <cfRule type="expression" dxfId="3579" priority="551" stopIfTrue="1">
      <formula>AQ109=CléPersonnalisée2</formula>
    </cfRule>
    <cfRule type="expression" dxfId="3578" priority="552" stopIfTrue="1">
      <formula>AQ109=CléPersonnalisée1</formula>
    </cfRule>
    <cfRule type="expression" dxfId="3577" priority="553" stopIfTrue="1">
      <formula>AQ109=CléMaladie</formula>
    </cfRule>
    <cfRule type="expression" dxfId="3576" priority="554" stopIfTrue="1">
      <formula>AQ109=CléPersonnelle</formula>
    </cfRule>
    <cfRule type="expression" dxfId="3575" priority="555" stopIfTrue="1">
      <formula>AQ109=CléCongés</formula>
    </cfRule>
  </conditionalFormatting>
  <conditionalFormatting sqref="AM111 AP111">
    <cfRule type="expression" priority="544" stopIfTrue="1">
      <formula>AM111=""</formula>
    </cfRule>
    <cfRule type="expression" dxfId="3574" priority="545" stopIfTrue="1">
      <formula>AM111=CléPersonnalisée2</formula>
    </cfRule>
    <cfRule type="expression" dxfId="3573" priority="546" stopIfTrue="1">
      <formula>AM111=CléPersonnalisée1</formula>
    </cfRule>
    <cfRule type="expression" dxfId="3572" priority="547" stopIfTrue="1">
      <formula>AM111=CléMaladie</formula>
    </cfRule>
    <cfRule type="expression" dxfId="3571" priority="548" stopIfTrue="1">
      <formula>AM111=CléPersonnelle</formula>
    </cfRule>
    <cfRule type="expression" dxfId="3570" priority="549" stopIfTrue="1">
      <formula>AM111=CléCongés</formula>
    </cfRule>
  </conditionalFormatting>
  <conditionalFormatting sqref="AH109:AH110">
    <cfRule type="dataBar" priority="543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{AAF76FF8-7D92-4F1B-BE1E-E98248BC87C6}</x14:id>
        </ext>
      </extLst>
    </cfRule>
  </conditionalFormatting>
  <conditionalFormatting sqref="AI109:AI110">
    <cfRule type="expression" priority="537" stopIfTrue="1">
      <formula>AI109=""</formula>
    </cfRule>
    <cfRule type="expression" dxfId="3569" priority="538" stopIfTrue="1">
      <formula>AI109=CléPersonnalisée2</formula>
    </cfRule>
    <cfRule type="expression" dxfId="3568" priority="539" stopIfTrue="1">
      <formula>AI109=CléPersonnalisée1</formula>
    </cfRule>
    <cfRule type="expression" dxfId="3567" priority="540" stopIfTrue="1">
      <formula>AI109=CléMaladie</formula>
    </cfRule>
    <cfRule type="expression" dxfId="3566" priority="541" stopIfTrue="1">
      <formula>AI109=CléPersonnelle</formula>
    </cfRule>
    <cfRule type="expression" dxfId="3565" priority="542" stopIfTrue="1">
      <formula>AI109=CléCongés</formula>
    </cfRule>
  </conditionalFormatting>
  <conditionalFormatting sqref="AN111">
    <cfRule type="expression" priority="531" stopIfTrue="1">
      <formula>AN111=""</formula>
    </cfRule>
    <cfRule type="expression" dxfId="3564" priority="532" stopIfTrue="1">
      <formula>AN111=CléPersonnalisée2</formula>
    </cfRule>
    <cfRule type="expression" dxfId="3563" priority="533" stopIfTrue="1">
      <formula>AN111=CléPersonnalisée1</formula>
    </cfRule>
    <cfRule type="expression" dxfId="3562" priority="534" stopIfTrue="1">
      <formula>AN111=CléMaladie</formula>
    </cfRule>
    <cfRule type="expression" dxfId="3561" priority="535" stopIfTrue="1">
      <formula>AN111=CléPersonnelle</formula>
    </cfRule>
    <cfRule type="expression" dxfId="3560" priority="536" stopIfTrue="1">
      <formula>AN111=CléCongés</formula>
    </cfRule>
  </conditionalFormatting>
  <conditionalFormatting sqref="AR111">
    <cfRule type="expression" priority="525" stopIfTrue="1">
      <formula>AR111=""</formula>
    </cfRule>
    <cfRule type="expression" dxfId="3559" priority="526" stopIfTrue="1">
      <formula>AR111=CléPersonnalisée2</formula>
    </cfRule>
    <cfRule type="expression" dxfId="3558" priority="527" stopIfTrue="1">
      <formula>AR111=CléPersonnalisée1</formula>
    </cfRule>
    <cfRule type="expression" dxfId="3557" priority="528" stopIfTrue="1">
      <formula>AR111=CléMaladie</formula>
    </cfRule>
    <cfRule type="expression" dxfId="3556" priority="529" stopIfTrue="1">
      <formula>AR111=CléPersonnelle</formula>
    </cfRule>
    <cfRule type="expression" dxfId="3555" priority="530" stopIfTrue="1">
      <formula>AR111=CléCongés</formula>
    </cfRule>
  </conditionalFormatting>
  <conditionalFormatting sqref="C121:AG123">
    <cfRule type="expression" priority="512" stopIfTrue="1">
      <formula>C121=""</formula>
    </cfRule>
    <cfRule type="expression" dxfId="3554" priority="513" stopIfTrue="1">
      <formula>C121=CléPersonnalisée2</formula>
    </cfRule>
    <cfRule type="expression" dxfId="3553" priority="514" stopIfTrue="1">
      <formula>C121=CléPersonnalisée1</formula>
    </cfRule>
    <cfRule type="expression" dxfId="3552" priority="515" stopIfTrue="1">
      <formula>C121=CléMaladie</formula>
    </cfRule>
    <cfRule type="expression" dxfId="3551" priority="516" stopIfTrue="1">
      <formula>C121=CléPersonnelle</formula>
    </cfRule>
    <cfRule type="expression" dxfId="3550" priority="517" stopIfTrue="1">
      <formula>C121=CléCongés</formula>
    </cfRule>
  </conditionalFormatting>
  <conditionalFormatting sqref="AH123">
    <cfRule type="dataBar" priority="518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{63EC20A3-D375-4801-93ED-68054512A36E}</x14:id>
        </ext>
      </extLst>
    </cfRule>
  </conditionalFormatting>
  <conditionalFormatting sqref="AI123:AL123 AJ121:AL122">
    <cfRule type="expression" priority="506" stopIfTrue="1">
      <formula>AI121=""</formula>
    </cfRule>
    <cfRule type="expression" dxfId="3549" priority="507" stopIfTrue="1">
      <formula>AI121=CléPersonnalisée2</formula>
    </cfRule>
    <cfRule type="expression" dxfId="3548" priority="508" stopIfTrue="1">
      <formula>AI121=CléPersonnalisée1</formula>
    </cfRule>
    <cfRule type="expression" dxfId="3547" priority="509" stopIfTrue="1">
      <formula>AI121=CléMaladie</formula>
    </cfRule>
    <cfRule type="expression" dxfId="3546" priority="510" stopIfTrue="1">
      <formula>AI121=CléPersonnelle</formula>
    </cfRule>
    <cfRule type="expression" dxfId="3545" priority="511" stopIfTrue="1">
      <formula>AI121=CléCongés</formula>
    </cfRule>
  </conditionalFormatting>
  <conditionalFormatting sqref="AM121:AP122">
    <cfRule type="expression" priority="500" stopIfTrue="1">
      <formula>AM121=""</formula>
    </cfRule>
    <cfRule type="expression" dxfId="3544" priority="501" stopIfTrue="1">
      <formula>AM121=CléPersonnalisée2</formula>
    </cfRule>
    <cfRule type="expression" dxfId="3543" priority="502" stopIfTrue="1">
      <formula>AM121=CléPersonnalisée1</formula>
    </cfRule>
    <cfRule type="expression" dxfId="3542" priority="503" stopIfTrue="1">
      <formula>AM121=CléMaladie</formula>
    </cfRule>
    <cfRule type="expression" dxfId="3541" priority="504" stopIfTrue="1">
      <formula>AM121=CléPersonnelle</formula>
    </cfRule>
    <cfRule type="expression" dxfId="3540" priority="505" stopIfTrue="1">
      <formula>AM121=CléCongés</formula>
    </cfRule>
  </conditionalFormatting>
  <conditionalFormatting sqref="AQ121:AR122">
    <cfRule type="expression" priority="494" stopIfTrue="1">
      <formula>AQ121=""</formula>
    </cfRule>
    <cfRule type="expression" dxfId="3539" priority="495" stopIfTrue="1">
      <formula>AQ121=CléPersonnalisée2</formula>
    </cfRule>
    <cfRule type="expression" dxfId="3538" priority="496" stopIfTrue="1">
      <formula>AQ121=CléPersonnalisée1</formula>
    </cfRule>
    <cfRule type="expression" dxfId="3537" priority="497" stopIfTrue="1">
      <formula>AQ121=CléMaladie</formula>
    </cfRule>
    <cfRule type="expression" dxfId="3536" priority="498" stopIfTrue="1">
      <formula>AQ121=CléPersonnelle</formula>
    </cfRule>
    <cfRule type="expression" dxfId="3535" priority="499" stopIfTrue="1">
      <formula>AQ121=CléCongés</formula>
    </cfRule>
  </conditionalFormatting>
  <conditionalFormatting sqref="AM123 AP123">
    <cfRule type="expression" priority="488" stopIfTrue="1">
      <formula>AM123=""</formula>
    </cfRule>
    <cfRule type="expression" dxfId="3534" priority="489" stopIfTrue="1">
      <formula>AM123=CléPersonnalisée2</formula>
    </cfRule>
    <cfRule type="expression" dxfId="3533" priority="490" stopIfTrue="1">
      <formula>AM123=CléPersonnalisée1</formula>
    </cfRule>
    <cfRule type="expression" dxfId="3532" priority="491" stopIfTrue="1">
      <formula>AM123=CléMaladie</formula>
    </cfRule>
    <cfRule type="expression" dxfId="3531" priority="492" stopIfTrue="1">
      <formula>AM123=CléPersonnelle</formula>
    </cfRule>
    <cfRule type="expression" dxfId="3530" priority="493" stopIfTrue="1">
      <formula>AM123=CléCongés</formula>
    </cfRule>
  </conditionalFormatting>
  <conditionalFormatting sqref="AH121:AH122">
    <cfRule type="dataBar" priority="487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{F903A4C2-48A8-492A-AEA7-7737A6DE249B}</x14:id>
        </ext>
      </extLst>
    </cfRule>
  </conditionalFormatting>
  <conditionalFormatting sqref="AO123">
    <cfRule type="expression" priority="481" stopIfTrue="1">
      <formula>AO123=""</formula>
    </cfRule>
    <cfRule type="expression" dxfId="3529" priority="482" stopIfTrue="1">
      <formula>AO123=CléPersonnalisée2</formula>
    </cfRule>
    <cfRule type="expression" dxfId="3528" priority="483" stopIfTrue="1">
      <formula>AO123=CléPersonnalisée1</formula>
    </cfRule>
    <cfRule type="expression" dxfId="3527" priority="484" stopIfTrue="1">
      <formula>AO123=CléMaladie</formula>
    </cfRule>
    <cfRule type="expression" dxfId="3526" priority="485" stopIfTrue="1">
      <formula>AO123=CléPersonnelle</formula>
    </cfRule>
    <cfRule type="expression" dxfId="3525" priority="486" stopIfTrue="1">
      <formula>AO123=CléCongés</formula>
    </cfRule>
  </conditionalFormatting>
  <conditionalFormatting sqref="AI121:AI122">
    <cfRule type="expression" priority="475" stopIfTrue="1">
      <formula>AI121=""</formula>
    </cfRule>
    <cfRule type="expression" dxfId="3524" priority="476" stopIfTrue="1">
      <formula>AI121=CléPersonnalisée2</formula>
    </cfRule>
    <cfRule type="expression" dxfId="3523" priority="477" stopIfTrue="1">
      <formula>AI121=CléPersonnalisée1</formula>
    </cfRule>
    <cfRule type="expression" dxfId="3522" priority="478" stopIfTrue="1">
      <formula>AI121=CléMaladie</formula>
    </cfRule>
    <cfRule type="expression" dxfId="3521" priority="479" stopIfTrue="1">
      <formula>AI121=CléPersonnelle</formula>
    </cfRule>
    <cfRule type="expression" dxfId="3520" priority="480" stopIfTrue="1">
      <formula>AI121=CléCongés</formula>
    </cfRule>
  </conditionalFormatting>
  <conditionalFormatting sqref="AN123">
    <cfRule type="expression" priority="469" stopIfTrue="1">
      <formula>AN123=""</formula>
    </cfRule>
    <cfRule type="expression" dxfId="3519" priority="470" stopIfTrue="1">
      <formula>AN123=CléPersonnalisée2</formula>
    </cfRule>
    <cfRule type="expression" dxfId="3518" priority="471" stopIfTrue="1">
      <formula>AN123=CléPersonnalisée1</formula>
    </cfRule>
    <cfRule type="expression" dxfId="3517" priority="472" stopIfTrue="1">
      <formula>AN123=CléMaladie</formula>
    </cfRule>
    <cfRule type="expression" dxfId="3516" priority="473" stopIfTrue="1">
      <formula>AN123=CléPersonnelle</formula>
    </cfRule>
    <cfRule type="expression" dxfId="3515" priority="474" stopIfTrue="1">
      <formula>AN123=CléCongés</formula>
    </cfRule>
  </conditionalFormatting>
  <conditionalFormatting sqref="AR123">
    <cfRule type="expression" priority="463" stopIfTrue="1">
      <formula>AR123=""</formula>
    </cfRule>
    <cfRule type="expression" dxfId="3514" priority="464" stopIfTrue="1">
      <formula>AR123=CléPersonnalisée2</formula>
    </cfRule>
    <cfRule type="expression" dxfId="3513" priority="465" stopIfTrue="1">
      <formula>AR123=CléPersonnalisée1</formula>
    </cfRule>
    <cfRule type="expression" dxfId="3512" priority="466" stopIfTrue="1">
      <formula>AR123=CléMaladie</formula>
    </cfRule>
    <cfRule type="expression" dxfId="3511" priority="467" stopIfTrue="1">
      <formula>AR123=CléPersonnelle</formula>
    </cfRule>
    <cfRule type="expression" dxfId="3510" priority="468" stopIfTrue="1">
      <formula>AR123=CléCongés</formula>
    </cfRule>
  </conditionalFormatting>
  <conditionalFormatting sqref="AO7">
    <cfRule type="expression" priority="451" stopIfTrue="1">
      <formula>AO7=""</formula>
    </cfRule>
    <cfRule type="expression" dxfId="3509" priority="452" stopIfTrue="1">
      <formula>AO7=CléPersonnalisée2</formula>
    </cfRule>
    <cfRule type="expression" dxfId="3508" priority="453" stopIfTrue="1">
      <formula>AO7=CléPersonnalisée1</formula>
    </cfRule>
    <cfRule type="expression" dxfId="3507" priority="454" stopIfTrue="1">
      <formula>AO7=CléMaladie</formula>
    </cfRule>
    <cfRule type="expression" dxfId="3506" priority="455" stopIfTrue="1">
      <formula>AO7=CléPersonnelle</formula>
    </cfRule>
    <cfRule type="expression" dxfId="3505" priority="456" stopIfTrue="1">
      <formula>AO7=CléCongés</formula>
    </cfRule>
  </conditionalFormatting>
  <conditionalFormatting sqref="AQ115">
    <cfRule type="expression" priority="389" stopIfTrue="1">
      <formula>AQ115=""</formula>
    </cfRule>
    <cfRule type="expression" dxfId="3504" priority="390" stopIfTrue="1">
      <formula>AQ115=CléPersonnalisée2</formula>
    </cfRule>
    <cfRule type="expression" dxfId="3503" priority="391" stopIfTrue="1">
      <formula>AQ115=CléPersonnalisée1</formula>
    </cfRule>
    <cfRule type="expression" dxfId="3502" priority="392" stopIfTrue="1">
      <formula>AQ115=CléMaladie</formula>
    </cfRule>
    <cfRule type="expression" dxfId="3501" priority="393" stopIfTrue="1">
      <formula>AQ115=CléPersonnelle</formula>
    </cfRule>
    <cfRule type="expression" dxfId="3500" priority="394" stopIfTrue="1">
      <formula>AQ115=CléCongés</formula>
    </cfRule>
  </conditionalFormatting>
  <conditionalFormatting sqref="C113:AG115">
    <cfRule type="expression" priority="444" stopIfTrue="1">
      <formula>C113=""</formula>
    </cfRule>
    <cfRule type="expression" dxfId="3499" priority="445" stopIfTrue="1">
      <formula>C113=CléPersonnalisée2</formula>
    </cfRule>
    <cfRule type="expression" dxfId="3498" priority="446" stopIfTrue="1">
      <formula>C113=CléPersonnalisée1</formula>
    </cfRule>
    <cfRule type="expression" dxfId="3497" priority="447" stopIfTrue="1">
      <formula>C113=CléMaladie</formula>
    </cfRule>
    <cfRule type="expression" dxfId="3496" priority="448" stopIfTrue="1">
      <formula>C113=CléPersonnelle</formula>
    </cfRule>
    <cfRule type="expression" dxfId="3495" priority="449" stopIfTrue="1">
      <formula>C113=CléCongés</formula>
    </cfRule>
  </conditionalFormatting>
  <conditionalFormatting sqref="AH115">
    <cfRule type="dataBar" priority="450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{A5CB37E6-58FD-42E7-8DB0-58269DE4E9A1}</x14:id>
        </ext>
      </extLst>
    </cfRule>
  </conditionalFormatting>
  <conditionalFormatting sqref="AI115:AL115 AJ113:AL114">
    <cfRule type="expression" priority="438" stopIfTrue="1">
      <formula>AI113=""</formula>
    </cfRule>
    <cfRule type="expression" dxfId="3494" priority="439" stopIfTrue="1">
      <formula>AI113=CléPersonnalisée2</formula>
    </cfRule>
    <cfRule type="expression" dxfId="3493" priority="440" stopIfTrue="1">
      <formula>AI113=CléPersonnalisée1</formula>
    </cfRule>
    <cfRule type="expression" dxfId="3492" priority="441" stopIfTrue="1">
      <formula>AI113=CléMaladie</formula>
    </cfRule>
    <cfRule type="expression" dxfId="3491" priority="442" stopIfTrue="1">
      <formula>AI113=CléPersonnelle</formula>
    </cfRule>
    <cfRule type="expression" dxfId="3490" priority="443" stopIfTrue="1">
      <formula>AI113=CléCongés</formula>
    </cfRule>
  </conditionalFormatting>
  <conditionalFormatting sqref="AM113:AP114">
    <cfRule type="expression" priority="432" stopIfTrue="1">
      <formula>AM113=""</formula>
    </cfRule>
    <cfRule type="expression" dxfId="3489" priority="433" stopIfTrue="1">
      <formula>AM113=CléPersonnalisée2</formula>
    </cfRule>
    <cfRule type="expression" dxfId="3488" priority="434" stopIfTrue="1">
      <formula>AM113=CléPersonnalisée1</formula>
    </cfRule>
    <cfRule type="expression" dxfId="3487" priority="435" stopIfTrue="1">
      <formula>AM113=CléMaladie</formula>
    </cfRule>
    <cfRule type="expression" dxfId="3486" priority="436" stopIfTrue="1">
      <formula>AM113=CléPersonnelle</formula>
    </cfRule>
    <cfRule type="expression" dxfId="3485" priority="437" stopIfTrue="1">
      <formula>AM113=CléCongés</formula>
    </cfRule>
  </conditionalFormatting>
  <conditionalFormatting sqref="AQ113:AR114">
    <cfRule type="expression" priority="426" stopIfTrue="1">
      <formula>AQ113=""</formula>
    </cfRule>
    <cfRule type="expression" dxfId="3484" priority="427" stopIfTrue="1">
      <formula>AQ113=CléPersonnalisée2</formula>
    </cfRule>
    <cfRule type="expression" dxfId="3483" priority="428" stopIfTrue="1">
      <formula>AQ113=CléPersonnalisée1</formula>
    </cfRule>
    <cfRule type="expression" dxfId="3482" priority="429" stopIfTrue="1">
      <formula>AQ113=CléMaladie</formula>
    </cfRule>
    <cfRule type="expression" dxfId="3481" priority="430" stopIfTrue="1">
      <formula>AQ113=CléPersonnelle</formula>
    </cfRule>
    <cfRule type="expression" dxfId="3480" priority="431" stopIfTrue="1">
      <formula>AQ113=CléCongés</formula>
    </cfRule>
  </conditionalFormatting>
  <conditionalFormatting sqref="AM115 AP115">
    <cfRule type="expression" priority="420" stopIfTrue="1">
      <formula>AM115=""</formula>
    </cfRule>
    <cfRule type="expression" dxfId="3479" priority="421" stopIfTrue="1">
      <formula>AM115=CléPersonnalisée2</formula>
    </cfRule>
    <cfRule type="expression" dxfId="3478" priority="422" stopIfTrue="1">
      <formula>AM115=CléPersonnalisée1</formula>
    </cfRule>
    <cfRule type="expression" dxfId="3477" priority="423" stopIfTrue="1">
      <formula>AM115=CléMaladie</formula>
    </cfRule>
    <cfRule type="expression" dxfId="3476" priority="424" stopIfTrue="1">
      <formula>AM115=CléPersonnelle</formula>
    </cfRule>
    <cfRule type="expression" dxfId="3475" priority="425" stopIfTrue="1">
      <formula>AM115=CléCongés</formula>
    </cfRule>
  </conditionalFormatting>
  <conditionalFormatting sqref="AH113:AH114">
    <cfRule type="dataBar" priority="419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{C843BF66-60E2-41D7-8A8B-6A490F4D863A}</x14:id>
        </ext>
      </extLst>
    </cfRule>
  </conditionalFormatting>
  <conditionalFormatting sqref="AO115">
    <cfRule type="expression" priority="413" stopIfTrue="1">
      <formula>AO115=""</formula>
    </cfRule>
    <cfRule type="expression" dxfId="3474" priority="414" stopIfTrue="1">
      <formula>AO115=CléPersonnalisée2</formula>
    </cfRule>
    <cfRule type="expression" dxfId="3473" priority="415" stopIfTrue="1">
      <formula>AO115=CléPersonnalisée1</formula>
    </cfRule>
    <cfRule type="expression" dxfId="3472" priority="416" stopIfTrue="1">
      <formula>AO115=CléMaladie</formula>
    </cfRule>
    <cfRule type="expression" dxfId="3471" priority="417" stopIfTrue="1">
      <formula>AO115=CléPersonnelle</formula>
    </cfRule>
    <cfRule type="expression" dxfId="3470" priority="418" stopIfTrue="1">
      <formula>AO115=CléCongés</formula>
    </cfRule>
  </conditionalFormatting>
  <conditionalFormatting sqref="AI113:AI114">
    <cfRule type="expression" priority="407" stopIfTrue="1">
      <formula>AI113=""</formula>
    </cfRule>
    <cfRule type="expression" dxfId="3469" priority="408" stopIfTrue="1">
      <formula>AI113=CléPersonnalisée2</formula>
    </cfRule>
    <cfRule type="expression" dxfId="3468" priority="409" stopIfTrue="1">
      <formula>AI113=CléPersonnalisée1</formula>
    </cfRule>
    <cfRule type="expression" dxfId="3467" priority="410" stopIfTrue="1">
      <formula>AI113=CléMaladie</formula>
    </cfRule>
    <cfRule type="expression" dxfId="3466" priority="411" stopIfTrue="1">
      <formula>AI113=CléPersonnelle</formula>
    </cfRule>
    <cfRule type="expression" dxfId="3465" priority="412" stopIfTrue="1">
      <formula>AI113=CléCongés</formula>
    </cfRule>
  </conditionalFormatting>
  <conditionalFormatting sqref="AN115">
    <cfRule type="expression" priority="401" stopIfTrue="1">
      <formula>AN115=""</formula>
    </cfRule>
    <cfRule type="expression" dxfId="3464" priority="402" stopIfTrue="1">
      <formula>AN115=CléPersonnalisée2</formula>
    </cfRule>
    <cfRule type="expression" dxfId="3463" priority="403" stopIfTrue="1">
      <formula>AN115=CléPersonnalisée1</formula>
    </cfRule>
    <cfRule type="expression" dxfId="3462" priority="404" stopIfTrue="1">
      <formula>AN115=CléMaladie</formula>
    </cfRule>
    <cfRule type="expression" dxfId="3461" priority="405" stopIfTrue="1">
      <formula>AN115=CléPersonnelle</formula>
    </cfRule>
    <cfRule type="expression" dxfId="3460" priority="406" stopIfTrue="1">
      <formula>AN115=CléCongés</formula>
    </cfRule>
  </conditionalFormatting>
  <conditionalFormatting sqref="AR115">
    <cfRule type="expression" priority="395" stopIfTrue="1">
      <formula>AR115=""</formula>
    </cfRule>
    <cfRule type="expression" dxfId="3459" priority="396" stopIfTrue="1">
      <formula>AR115=CléPersonnalisée2</formula>
    </cfRule>
    <cfRule type="expression" dxfId="3458" priority="397" stopIfTrue="1">
      <formula>AR115=CléPersonnalisée1</formula>
    </cfRule>
    <cfRule type="expression" dxfId="3457" priority="398" stopIfTrue="1">
      <formula>AR115=CléMaladie</formula>
    </cfRule>
    <cfRule type="expression" dxfId="3456" priority="399" stopIfTrue="1">
      <formula>AR115=CléPersonnelle</formula>
    </cfRule>
    <cfRule type="expression" dxfId="3455" priority="400" stopIfTrue="1">
      <formula>AR115=CléCongés</formula>
    </cfRule>
  </conditionalFormatting>
  <conditionalFormatting sqref="AQ15">
    <cfRule type="expression" priority="327" stopIfTrue="1">
      <formula>AQ15=""</formula>
    </cfRule>
    <cfRule type="expression" dxfId="3454" priority="328" stopIfTrue="1">
      <formula>AQ15=CléPersonnalisée2</formula>
    </cfRule>
    <cfRule type="expression" dxfId="3453" priority="329" stopIfTrue="1">
      <formula>AQ15=CléPersonnalisée1</formula>
    </cfRule>
    <cfRule type="expression" dxfId="3452" priority="330" stopIfTrue="1">
      <formula>AQ15=CléMaladie</formula>
    </cfRule>
    <cfRule type="expression" dxfId="3451" priority="331" stopIfTrue="1">
      <formula>AQ15=CléPersonnelle</formula>
    </cfRule>
    <cfRule type="expression" dxfId="3450" priority="332" stopIfTrue="1">
      <formula>AQ15=CléCongés</formula>
    </cfRule>
  </conditionalFormatting>
  <conditionalFormatting sqref="C13:AG15">
    <cfRule type="expression" priority="382" stopIfTrue="1">
      <formula>C13=""</formula>
    </cfRule>
    <cfRule type="expression" dxfId="3449" priority="383" stopIfTrue="1">
      <formula>C13=CléPersonnalisée2</formula>
    </cfRule>
    <cfRule type="expression" dxfId="3448" priority="384" stopIfTrue="1">
      <formula>C13=CléPersonnalisée1</formula>
    </cfRule>
    <cfRule type="expression" dxfId="3447" priority="385" stopIfTrue="1">
      <formula>C13=CléMaladie</formula>
    </cfRule>
    <cfRule type="expression" dxfId="3446" priority="386" stopIfTrue="1">
      <formula>C13=CléPersonnelle</formula>
    </cfRule>
    <cfRule type="expression" dxfId="3445" priority="387" stopIfTrue="1">
      <formula>C13=CléCongés</formula>
    </cfRule>
  </conditionalFormatting>
  <conditionalFormatting sqref="AH15">
    <cfRule type="dataBar" priority="388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{64181DF8-E540-4994-85B3-03A9147BB4F0}</x14:id>
        </ext>
      </extLst>
    </cfRule>
  </conditionalFormatting>
  <conditionalFormatting sqref="AI15:AL15 AJ13:AL14">
    <cfRule type="expression" priority="376" stopIfTrue="1">
      <formula>AI13=""</formula>
    </cfRule>
    <cfRule type="expression" dxfId="3444" priority="377" stopIfTrue="1">
      <formula>AI13=CléPersonnalisée2</formula>
    </cfRule>
    <cfRule type="expression" dxfId="3443" priority="378" stopIfTrue="1">
      <formula>AI13=CléPersonnalisée1</formula>
    </cfRule>
    <cfRule type="expression" dxfId="3442" priority="379" stopIfTrue="1">
      <formula>AI13=CléMaladie</formula>
    </cfRule>
    <cfRule type="expression" dxfId="3441" priority="380" stopIfTrue="1">
      <formula>AI13=CléPersonnelle</formula>
    </cfRule>
    <cfRule type="expression" dxfId="3440" priority="381" stopIfTrue="1">
      <formula>AI13=CléCongés</formula>
    </cfRule>
  </conditionalFormatting>
  <conditionalFormatting sqref="AM13:AP14">
    <cfRule type="expression" priority="370" stopIfTrue="1">
      <formula>AM13=""</formula>
    </cfRule>
    <cfRule type="expression" dxfId="3439" priority="371" stopIfTrue="1">
      <formula>AM13=CléPersonnalisée2</formula>
    </cfRule>
    <cfRule type="expression" dxfId="3438" priority="372" stopIfTrue="1">
      <formula>AM13=CléPersonnalisée1</formula>
    </cfRule>
    <cfRule type="expression" dxfId="3437" priority="373" stopIfTrue="1">
      <formula>AM13=CléMaladie</formula>
    </cfRule>
    <cfRule type="expression" dxfId="3436" priority="374" stopIfTrue="1">
      <formula>AM13=CléPersonnelle</formula>
    </cfRule>
    <cfRule type="expression" dxfId="3435" priority="375" stopIfTrue="1">
      <formula>AM13=CléCongés</formula>
    </cfRule>
  </conditionalFormatting>
  <conditionalFormatting sqref="AQ13:AR14">
    <cfRule type="expression" priority="364" stopIfTrue="1">
      <formula>AQ13=""</formula>
    </cfRule>
    <cfRule type="expression" dxfId="3434" priority="365" stopIfTrue="1">
      <formula>AQ13=CléPersonnalisée2</formula>
    </cfRule>
    <cfRule type="expression" dxfId="3433" priority="366" stopIfTrue="1">
      <formula>AQ13=CléPersonnalisée1</formula>
    </cfRule>
    <cfRule type="expression" dxfId="3432" priority="367" stopIfTrue="1">
      <formula>AQ13=CléMaladie</formula>
    </cfRule>
    <cfRule type="expression" dxfId="3431" priority="368" stopIfTrue="1">
      <formula>AQ13=CléPersonnelle</formula>
    </cfRule>
    <cfRule type="expression" dxfId="3430" priority="369" stopIfTrue="1">
      <formula>AQ13=CléCongés</formula>
    </cfRule>
  </conditionalFormatting>
  <conditionalFormatting sqref="AM15 AP15">
    <cfRule type="expression" priority="358" stopIfTrue="1">
      <formula>AM15=""</formula>
    </cfRule>
    <cfRule type="expression" dxfId="3429" priority="359" stopIfTrue="1">
      <formula>AM15=CléPersonnalisée2</formula>
    </cfRule>
    <cfRule type="expression" dxfId="3428" priority="360" stopIfTrue="1">
      <formula>AM15=CléPersonnalisée1</formula>
    </cfRule>
    <cfRule type="expression" dxfId="3427" priority="361" stopIfTrue="1">
      <formula>AM15=CléMaladie</formula>
    </cfRule>
    <cfRule type="expression" dxfId="3426" priority="362" stopIfTrue="1">
      <formula>AM15=CléPersonnelle</formula>
    </cfRule>
    <cfRule type="expression" dxfId="3425" priority="363" stopIfTrue="1">
      <formula>AM15=CléCongés</formula>
    </cfRule>
  </conditionalFormatting>
  <conditionalFormatting sqref="AH13:AH14">
    <cfRule type="dataBar" priority="357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{7CEC227A-38A3-4188-9310-C09F97DC4089}</x14:id>
        </ext>
      </extLst>
    </cfRule>
  </conditionalFormatting>
  <conditionalFormatting sqref="AO15">
    <cfRule type="expression" priority="351" stopIfTrue="1">
      <formula>AO15=""</formula>
    </cfRule>
    <cfRule type="expression" dxfId="3424" priority="352" stopIfTrue="1">
      <formula>AO15=CléPersonnalisée2</formula>
    </cfRule>
    <cfRule type="expression" dxfId="3423" priority="353" stopIfTrue="1">
      <formula>AO15=CléPersonnalisée1</formula>
    </cfRule>
    <cfRule type="expression" dxfId="3422" priority="354" stopIfTrue="1">
      <formula>AO15=CléMaladie</formula>
    </cfRule>
    <cfRule type="expression" dxfId="3421" priority="355" stopIfTrue="1">
      <formula>AO15=CléPersonnelle</formula>
    </cfRule>
    <cfRule type="expression" dxfId="3420" priority="356" stopIfTrue="1">
      <formula>AO15=CléCongés</formula>
    </cfRule>
  </conditionalFormatting>
  <conditionalFormatting sqref="AI13:AI14">
    <cfRule type="expression" priority="345" stopIfTrue="1">
      <formula>AI13=""</formula>
    </cfRule>
    <cfRule type="expression" dxfId="3419" priority="346" stopIfTrue="1">
      <formula>AI13=CléPersonnalisée2</formula>
    </cfRule>
    <cfRule type="expression" dxfId="3418" priority="347" stopIfTrue="1">
      <formula>AI13=CléPersonnalisée1</formula>
    </cfRule>
    <cfRule type="expression" dxfId="3417" priority="348" stopIfTrue="1">
      <formula>AI13=CléMaladie</formula>
    </cfRule>
    <cfRule type="expression" dxfId="3416" priority="349" stopIfTrue="1">
      <formula>AI13=CléPersonnelle</formula>
    </cfRule>
    <cfRule type="expression" dxfId="3415" priority="350" stopIfTrue="1">
      <formula>AI13=CléCongés</formula>
    </cfRule>
  </conditionalFormatting>
  <conditionalFormatting sqref="AN15">
    <cfRule type="expression" priority="339" stopIfTrue="1">
      <formula>AN15=""</formula>
    </cfRule>
    <cfRule type="expression" dxfId="3414" priority="340" stopIfTrue="1">
      <formula>AN15=CléPersonnalisée2</formula>
    </cfRule>
    <cfRule type="expression" dxfId="3413" priority="341" stopIfTrue="1">
      <formula>AN15=CléPersonnalisée1</formula>
    </cfRule>
    <cfRule type="expression" dxfId="3412" priority="342" stopIfTrue="1">
      <formula>AN15=CléMaladie</formula>
    </cfRule>
    <cfRule type="expression" dxfId="3411" priority="343" stopIfTrue="1">
      <formula>AN15=CléPersonnelle</formula>
    </cfRule>
    <cfRule type="expression" dxfId="3410" priority="344" stopIfTrue="1">
      <formula>AN15=CléCongés</formula>
    </cfRule>
  </conditionalFormatting>
  <conditionalFormatting sqref="AR15">
    <cfRule type="expression" priority="333" stopIfTrue="1">
      <formula>AR15=""</formula>
    </cfRule>
    <cfRule type="expression" dxfId="3409" priority="334" stopIfTrue="1">
      <formula>AR15=CléPersonnalisée2</formula>
    </cfRule>
    <cfRule type="expression" dxfId="3408" priority="335" stopIfTrue="1">
      <formula>AR15=CléPersonnalisée1</formula>
    </cfRule>
    <cfRule type="expression" dxfId="3407" priority="336" stopIfTrue="1">
      <formula>AR15=CléMaladie</formula>
    </cfRule>
    <cfRule type="expression" dxfId="3406" priority="337" stopIfTrue="1">
      <formula>AR15=CléPersonnelle</formula>
    </cfRule>
    <cfRule type="expression" dxfId="3405" priority="338" stopIfTrue="1">
      <formula>AR15=CléCongés</formula>
    </cfRule>
  </conditionalFormatting>
  <conditionalFormatting sqref="AO111">
    <cfRule type="expression" priority="321" stopIfTrue="1">
      <formula>AO111=""</formula>
    </cfRule>
    <cfRule type="expression" dxfId="3404" priority="322" stopIfTrue="1">
      <formula>AO111=CléPersonnalisée2</formula>
    </cfRule>
    <cfRule type="expression" dxfId="3403" priority="323" stopIfTrue="1">
      <formula>AO111=CléPersonnalisée1</formula>
    </cfRule>
    <cfRule type="expression" dxfId="3402" priority="324" stopIfTrue="1">
      <formula>AO111=CléMaladie</formula>
    </cfRule>
    <cfRule type="expression" dxfId="3401" priority="325" stopIfTrue="1">
      <formula>AO111=CléPersonnelle</formula>
    </cfRule>
    <cfRule type="expression" dxfId="3400" priority="326" stopIfTrue="1">
      <formula>AO111=CléCongés</formula>
    </cfRule>
  </conditionalFormatting>
  <conditionalFormatting sqref="AQ100:AR100">
    <cfRule type="expression" priority="315" stopIfTrue="1">
      <formula>AQ100=""</formula>
    </cfRule>
    <cfRule type="expression" dxfId="3399" priority="316" stopIfTrue="1">
      <formula>AQ100=CléPersonnalisée2</formula>
    </cfRule>
    <cfRule type="expression" dxfId="3398" priority="317" stopIfTrue="1">
      <formula>AQ100=CléPersonnalisée1</formula>
    </cfRule>
    <cfRule type="expression" dxfId="3397" priority="318" stopIfTrue="1">
      <formula>AQ100=CléMaladie</formula>
    </cfRule>
    <cfRule type="expression" dxfId="3396" priority="319" stopIfTrue="1">
      <formula>AQ100=CléPersonnelle</formula>
    </cfRule>
    <cfRule type="expression" dxfId="3395" priority="320" stopIfTrue="1">
      <formula>AQ100=CléCongés</formula>
    </cfRule>
  </conditionalFormatting>
  <conditionalFormatting sqref="AQ96:AR96">
    <cfRule type="expression" priority="309" stopIfTrue="1">
      <formula>AQ96=""</formula>
    </cfRule>
    <cfRule type="expression" dxfId="3394" priority="310" stopIfTrue="1">
      <formula>AQ96=CléPersonnalisée2</formula>
    </cfRule>
    <cfRule type="expression" dxfId="3393" priority="311" stopIfTrue="1">
      <formula>AQ96=CléPersonnalisée1</formula>
    </cfRule>
    <cfRule type="expression" dxfId="3392" priority="312" stopIfTrue="1">
      <formula>AQ96=CléMaladie</formula>
    </cfRule>
    <cfRule type="expression" dxfId="3391" priority="313" stopIfTrue="1">
      <formula>AQ96=CléPersonnelle</formula>
    </cfRule>
    <cfRule type="expression" dxfId="3390" priority="314" stopIfTrue="1">
      <formula>AQ96=CléCongés</formula>
    </cfRule>
  </conditionalFormatting>
  <conditionalFormatting sqref="AQ120:AR120">
    <cfRule type="expression" priority="303" stopIfTrue="1">
      <formula>AQ120=""</formula>
    </cfRule>
    <cfRule type="expression" dxfId="3389" priority="304" stopIfTrue="1">
      <formula>AQ120=CléPersonnalisée2</formula>
    </cfRule>
    <cfRule type="expression" dxfId="3388" priority="305" stopIfTrue="1">
      <formula>AQ120=CléPersonnalisée1</formula>
    </cfRule>
    <cfRule type="expression" dxfId="3387" priority="306" stopIfTrue="1">
      <formula>AQ120=CléMaladie</formula>
    </cfRule>
    <cfRule type="expression" dxfId="3386" priority="307" stopIfTrue="1">
      <formula>AQ120=CléPersonnelle</formula>
    </cfRule>
    <cfRule type="expression" dxfId="3385" priority="308" stopIfTrue="1">
      <formula>AQ120=CléCongés</formula>
    </cfRule>
  </conditionalFormatting>
  <conditionalFormatting sqref="AQ119">
    <cfRule type="expression" priority="241" stopIfTrue="1">
      <formula>AQ119=""</formula>
    </cfRule>
    <cfRule type="expression" dxfId="3384" priority="242" stopIfTrue="1">
      <formula>AQ119=CléPersonnalisée2</formula>
    </cfRule>
    <cfRule type="expression" dxfId="3383" priority="243" stopIfTrue="1">
      <formula>AQ119=CléPersonnalisée1</formula>
    </cfRule>
    <cfRule type="expression" dxfId="3382" priority="244" stopIfTrue="1">
      <formula>AQ119=CléMaladie</formula>
    </cfRule>
    <cfRule type="expression" dxfId="3381" priority="245" stopIfTrue="1">
      <formula>AQ119=CléPersonnelle</formula>
    </cfRule>
    <cfRule type="expression" dxfId="3380" priority="246" stopIfTrue="1">
      <formula>AQ119=CléCongés</formula>
    </cfRule>
  </conditionalFormatting>
  <conditionalFormatting sqref="C117:AG119">
    <cfRule type="expression" priority="296" stopIfTrue="1">
      <formula>C117=""</formula>
    </cfRule>
    <cfRule type="expression" dxfId="3379" priority="297" stopIfTrue="1">
      <formula>C117=CléPersonnalisée2</formula>
    </cfRule>
    <cfRule type="expression" dxfId="3378" priority="298" stopIfTrue="1">
      <formula>C117=CléPersonnalisée1</formula>
    </cfRule>
    <cfRule type="expression" dxfId="3377" priority="299" stopIfTrue="1">
      <formula>C117=CléMaladie</formula>
    </cfRule>
    <cfRule type="expression" dxfId="3376" priority="300" stopIfTrue="1">
      <formula>C117=CléPersonnelle</formula>
    </cfRule>
    <cfRule type="expression" dxfId="3375" priority="301" stopIfTrue="1">
      <formula>C117=CléCongés</formula>
    </cfRule>
  </conditionalFormatting>
  <conditionalFormatting sqref="AH119">
    <cfRule type="dataBar" priority="302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{196D4693-36CC-4DD3-B121-3416CB5F254C}</x14:id>
        </ext>
      </extLst>
    </cfRule>
  </conditionalFormatting>
  <conditionalFormatting sqref="AI119:AL119 AJ117:AL118">
    <cfRule type="expression" priority="290" stopIfTrue="1">
      <formula>AI117=""</formula>
    </cfRule>
    <cfRule type="expression" dxfId="3374" priority="291" stopIfTrue="1">
      <formula>AI117=CléPersonnalisée2</formula>
    </cfRule>
    <cfRule type="expression" dxfId="3373" priority="292" stopIfTrue="1">
      <formula>AI117=CléPersonnalisée1</formula>
    </cfRule>
    <cfRule type="expression" dxfId="3372" priority="293" stopIfTrue="1">
      <formula>AI117=CléMaladie</formula>
    </cfRule>
    <cfRule type="expression" dxfId="3371" priority="294" stopIfTrue="1">
      <formula>AI117=CléPersonnelle</formula>
    </cfRule>
    <cfRule type="expression" dxfId="3370" priority="295" stopIfTrue="1">
      <formula>AI117=CléCongés</formula>
    </cfRule>
  </conditionalFormatting>
  <conditionalFormatting sqref="AM117:AP118">
    <cfRule type="expression" priority="284" stopIfTrue="1">
      <formula>AM117=""</formula>
    </cfRule>
    <cfRule type="expression" dxfId="3369" priority="285" stopIfTrue="1">
      <formula>AM117=CléPersonnalisée2</formula>
    </cfRule>
    <cfRule type="expression" dxfId="3368" priority="286" stopIfTrue="1">
      <formula>AM117=CléPersonnalisée1</formula>
    </cfRule>
    <cfRule type="expression" dxfId="3367" priority="287" stopIfTrue="1">
      <formula>AM117=CléMaladie</formula>
    </cfRule>
    <cfRule type="expression" dxfId="3366" priority="288" stopIfTrue="1">
      <formula>AM117=CléPersonnelle</formula>
    </cfRule>
    <cfRule type="expression" dxfId="3365" priority="289" stopIfTrue="1">
      <formula>AM117=CléCongés</formula>
    </cfRule>
  </conditionalFormatting>
  <conditionalFormatting sqref="AQ117:AR118">
    <cfRule type="expression" priority="278" stopIfTrue="1">
      <formula>AQ117=""</formula>
    </cfRule>
    <cfRule type="expression" dxfId="3364" priority="279" stopIfTrue="1">
      <formula>AQ117=CléPersonnalisée2</formula>
    </cfRule>
    <cfRule type="expression" dxfId="3363" priority="280" stopIfTrue="1">
      <formula>AQ117=CléPersonnalisée1</formula>
    </cfRule>
    <cfRule type="expression" dxfId="3362" priority="281" stopIfTrue="1">
      <formula>AQ117=CléMaladie</formula>
    </cfRule>
    <cfRule type="expression" dxfId="3361" priority="282" stopIfTrue="1">
      <formula>AQ117=CléPersonnelle</formula>
    </cfRule>
    <cfRule type="expression" dxfId="3360" priority="283" stopIfTrue="1">
      <formula>AQ117=CléCongés</formula>
    </cfRule>
  </conditionalFormatting>
  <conditionalFormatting sqref="AM119 AP119">
    <cfRule type="expression" priority="272" stopIfTrue="1">
      <formula>AM119=""</formula>
    </cfRule>
    <cfRule type="expression" dxfId="3359" priority="273" stopIfTrue="1">
      <formula>AM119=CléPersonnalisée2</formula>
    </cfRule>
    <cfRule type="expression" dxfId="3358" priority="274" stopIfTrue="1">
      <formula>AM119=CléPersonnalisée1</formula>
    </cfRule>
    <cfRule type="expression" dxfId="3357" priority="275" stopIfTrue="1">
      <formula>AM119=CléMaladie</formula>
    </cfRule>
    <cfRule type="expression" dxfId="3356" priority="276" stopIfTrue="1">
      <formula>AM119=CléPersonnelle</formula>
    </cfRule>
    <cfRule type="expression" dxfId="3355" priority="277" stopIfTrue="1">
      <formula>AM119=CléCongés</formula>
    </cfRule>
  </conditionalFormatting>
  <conditionalFormatting sqref="AH117:AH118">
    <cfRule type="dataBar" priority="271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{CCA5F08E-F724-4A39-95D6-96FE0154720C}</x14:id>
        </ext>
      </extLst>
    </cfRule>
  </conditionalFormatting>
  <conditionalFormatting sqref="AO119">
    <cfRule type="expression" priority="265" stopIfTrue="1">
      <formula>AO119=""</formula>
    </cfRule>
    <cfRule type="expression" dxfId="3354" priority="266" stopIfTrue="1">
      <formula>AO119=CléPersonnalisée2</formula>
    </cfRule>
    <cfRule type="expression" dxfId="3353" priority="267" stopIfTrue="1">
      <formula>AO119=CléPersonnalisée1</formula>
    </cfRule>
    <cfRule type="expression" dxfId="3352" priority="268" stopIfTrue="1">
      <formula>AO119=CléMaladie</formula>
    </cfRule>
    <cfRule type="expression" dxfId="3351" priority="269" stopIfTrue="1">
      <formula>AO119=CléPersonnelle</formula>
    </cfRule>
    <cfRule type="expression" dxfId="3350" priority="270" stopIfTrue="1">
      <formula>AO119=CléCongés</formula>
    </cfRule>
  </conditionalFormatting>
  <conditionalFormatting sqref="AI117:AI118">
    <cfRule type="expression" priority="259" stopIfTrue="1">
      <formula>AI117=""</formula>
    </cfRule>
    <cfRule type="expression" dxfId="3349" priority="260" stopIfTrue="1">
      <formula>AI117=CléPersonnalisée2</formula>
    </cfRule>
    <cfRule type="expression" dxfId="3348" priority="261" stopIfTrue="1">
      <formula>AI117=CléPersonnalisée1</formula>
    </cfRule>
    <cfRule type="expression" dxfId="3347" priority="262" stopIfTrue="1">
      <formula>AI117=CléMaladie</formula>
    </cfRule>
    <cfRule type="expression" dxfId="3346" priority="263" stopIfTrue="1">
      <formula>AI117=CléPersonnelle</formula>
    </cfRule>
    <cfRule type="expression" dxfId="3345" priority="264" stopIfTrue="1">
      <formula>AI117=CléCongés</formula>
    </cfRule>
  </conditionalFormatting>
  <conditionalFormatting sqref="AN119">
    <cfRule type="expression" priority="253" stopIfTrue="1">
      <formula>AN119=""</formula>
    </cfRule>
    <cfRule type="expression" dxfId="3344" priority="254" stopIfTrue="1">
      <formula>AN119=CléPersonnalisée2</formula>
    </cfRule>
    <cfRule type="expression" dxfId="3343" priority="255" stopIfTrue="1">
      <formula>AN119=CléPersonnalisée1</formula>
    </cfRule>
    <cfRule type="expression" dxfId="3342" priority="256" stopIfTrue="1">
      <formula>AN119=CléMaladie</formula>
    </cfRule>
    <cfRule type="expression" dxfId="3341" priority="257" stopIfTrue="1">
      <formula>AN119=CléPersonnelle</formula>
    </cfRule>
    <cfRule type="expression" dxfId="3340" priority="258" stopIfTrue="1">
      <formula>AN119=CléCongés</formula>
    </cfRule>
  </conditionalFormatting>
  <conditionalFormatting sqref="AR119">
    <cfRule type="expression" priority="247" stopIfTrue="1">
      <formula>AR119=""</formula>
    </cfRule>
    <cfRule type="expression" dxfId="3339" priority="248" stopIfTrue="1">
      <formula>AR119=CléPersonnalisée2</formula>
    </cfRule>
    <cfRule type="expression" dxfId="3338" priority="249" stopIfTrue="1">
      <formula>AR119=CléPersonnalisée1</formula>
    </cfRule>
    <cfRule type="expression" dxfId="3337" priority="250" stopIfTrue="1">
      <formula>AR119=CléMaladie</formula>
    </cfRule>
    <cfRule type="expression" dxfId="3336" priority="251" stopIfTrue="1">
      <formula>AR119=CléPersonnelle</formula>
    </cfRule>
    <cfRule type="expression" dxfId="3335" priority="252" stopIfTrue="1">
      <formula>AR119=CléCongés</formula>
    </cfRule>
  </conditionalFormatting>
  <conditionalFormatting sqref="AQ108:AR108">
    <cfRule type="expression" priority="235" stopIfTrue="1">
      <formula>AQ108=""</formula>
    </cfRule>
    <cfRule type="expression" dxfId="3334" priority="236" stopIfTrue="1">
      <formula>AQ108=CléPersonnalisée2</formula>
    </cfRule>
    <cfRule type="expression" dxfId="3333" priority="237" stopIfTrue="1">
      <formula>AQ108=CléPersonnalisée1</formula>
    </cfRule>
    <cfRule type="expression" dxfId="3332" priority="238" stopIfTrue="1">
      <formula>AQ108=CléMaladie</formula>
    </cfRule>
    <cfRule type="expression" dxfId="3331" priority="239" stopIfTrue="1">
      <formula>AQ108=CléPersonnelle</formula>
    </cfRule>
    <cfRule type="expression" dxfId="3330" priority="240" stopIfTrue="1">
      <formula>AQ108=CléCongés</formula>
    </cfRule>
  </conditionalFormatting>
  <conditionalFormatting sqref="AQ107">
    <cfRule type="expression" priority="179" stopIfTrue="1">
      <formula>AQ107=""</formula>
    </cfRule>
    <cfRule type="expression" dxfId="3329" priority="180" stopIfTrue="1">
      <formula>AQ107=CléPersonnalisée2</formula>
    </cfRule>
    <cfRule type="expression" dxfId="3328" priority="181" stopIfTrue="1">
      <formula>AQ107=CléPersonnalisée1</formula>
    </cfRule>
    <cfRule type="expression" dxfId="3327" priority="182" stopIfTrue="1">
      <formula>AQ107=CléMaladie</formula>
    </cfRule>
    <cfRule type="expression" dxfId="3326" priority="183" stopIfTrue="1">
      <formula>AQ107=CléPersonnelle</formula>
    </cfRule>
    <cfRule type="expression" dxfId="3325" priority="184" stopIfTrue="1">
      <formula>AQ107=CléCongés</formula>
    </cfRule>
  </conditionalFormatting>
  <conditionalFormatting sqref="C105:AG107">
    <cfRule type="expression" priority="228" stopIfTrue="1">
      <formula>C105=""</formula>
    </cfRule>
    <cfRule type="expression" dxfId="3324" priority="229" stopIfTrue="1">
      <formula>C105=CléPersonnalisée2</formula>
    </cfRule>
    <cfRule type="expression" dxfId="3323" priority="230" stopIfTrue="1">
      <formula>C105=CléPersonnalisée1</formula>
    </cfRule>
    <cfRule type="expression" dxfId="3322" priority="231" stopIfTrue="1">
      <formula>C105=CléMaladie</formula>
    </cfRule>
    <cfRule type="expression" dxfId="3321" priority="232" stopIfTrue="1">
      <formula>C105=CléPersonnelle</formula>
    </cfRule>
    <cfRule type="expression" dxfId="3320" priority="233" stopIfTrue="1">
      <formula>C105=CléCongés</formula>
    </cfRule>
  </conditionalFormatting>
  <conditionalFormatting sqref="AH107">
    <cfRule type="dataBar" priority="234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{6505DBAA-661B-463C-9FF0-D7199041DF89}</x14:id>
        </ext>
      </extLst>
    </cfRule>
  </conditionalFormatting>
  <conditionalFormatting sqref="AI107:AL107 AJ105:AL106">
    <cfRule type="expression" priority="222" stopIfTrue="1">
      <formula>AI105=""</formula>
    </cfRule>
    <cfRule type="expression" dxfId="3319" priority="223" stopIfTrue="1">
      <formula>AI105=CléPersonnalisée2</formula>
    </cfRule>
    <cfRule type="expression" dxfId="3318" priority="224" stopIfTrue="1">
      <formula>AI105=CléPersonnalisée1</formula>
    </cfRule>
    <cfRule type="expression" dxfId="3317" priority="225" stopIfTrue="1">
      <formula>AI105=CléMaladie</formula>
    </cfRule>
    <cfRule type="expression" dxfId="3316" priority="226" stopIfTrue="1">
      <formula>AI105=CléPersonnelle</formula>
    </cfRule>
    <cfRule type="expression" dxfId="3315" priority="227" stopIfTrue="1">
      <formula>AI105=CléCongés</formula>
    </cfRule>
  </conditionalFormatting>
  <conditionalFormatting sqref="AM105:AP106">
    <cfRule type="expression" priority="216" stopIfTrue="1">
      <formula>AM105=""</formula>
    </cfRule>
    <cfRule type="expression" dxfId="3314" priority="217" stopIfTrue="1">
      <formula>AM105=CléPersonnalisée2</formula>
    </cfRule>
    <cfRule type="expression" dxfId="3313" priority="218" stopIfTrue="1">
      <formula>AM105=CléPersonnalisée1</formula>
    </cfRule>
    <cfRule type="expression" dxfId="3312" priority="219" stopIfTrue="1">
      <formula>AM105=CléMaladie</formula>
    </cfRule>
    <cfRule type="expression" dxfId="3311" priority="220" stopIfTrue="1">
      <formula>AM105=CléPersonnelle</formula>
    </cfRule>
    <cfRule type="expression" dxfId="3310" priority="221" stopIfTrue="1">
      <formula>AM105=CléCongés</formula>
    </cfRule>
  </conditionalFormatting>
  <conditionalFormatting sqref="AQ105:AR106">
    <cfRule type="expression" priority="210" stopIfTrue="1">
      <formula>AQ105=""</formula>
    </cfRule>
    <cfRule type="expression" dxfId="3309" priority="211" stopIfTrue="1">
      <formula>AQ105=CléPersonnalisée2</formula>
    </cfRule>
    <cfRule type="expression" dxfId="3308" priority="212" stopIfTrue="1">
      <formula>AQ105=CléPersonnalisée1</formula>
    </cfRule>
    <cfRule type="expression" dxfId="3307" priority="213" stopIfTrue="1">
      <formula>AQ105=CléMaladie</formula>
    </cfRule>
    <cfRule type="expression" dxfId="3306" priority="214" stopIfTrue="1">
      <formula>AQ105=CléPersonnelle</formula>
    </cfRule>
    <cfRule type="expression" dxfId="3305" priority="215" stopIfTrue="1">
      <formula>AQ105=CléCongés</formula>
    </cfRule>
  </conditionalFormatting>
  <conditionalFormatting sqref="AM107 AP107">
    <cfRule type="expression" priority="204" stopIfTrue="1">
      <formula>AM107=""</formula>
    </cfRule>
    <cfRule type="expression" dxfId="3304" priority="205" stopIfTrue="1">
      <formula>AM107=CléPersonnalisée2</formula>
    </cfRule>
    <cfRule type="expression" dxfId="3303" priority="206" stopIfTrue="1">
      <formula>AM107=CléPersonnalisée1</formula>
    </cfRule>
    <cfRule type="expression" dxfId="3302" priority="207" stopIfTrue="1">
      <formula>AM107=CléMaladie</formula>
    </cfRule>
    <cfRule type="expression" dxfId="3301" priority="208" stopIfTrue="1">
      <formula>AM107=CléPersonnelle</formula>
    </cfRule>
    <cfRule type="expression" dxfId="3300" priority="209" stopIfTrue="1">
      <formula>AM107=CléCongés</formula>
    </cfRule>
  </conditionalFormatting>
  <conditionalFormatting sqref="AH105:AH106">
    <cfRule type="dataBar" priority="203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{AD335A67-82D3-437B-A463-F78CA13A124D}</x14:id>
        </ext>
      </extLst>
    </cfRule>
  </conditionalFormatting>
  <conditionalFormatting sqref="AI105:AI106">
    <cfRule type="expression" priority="197" stopIfTrue="1">
      <formula>AI105=""</formula>
    </cfRule>
    <cfRule type="expression" dxfId="3299" priority="198" stopIfTrue="1">
      <formula>AI105=CléPersonnalisée2</formula>
    </cfRule>
    <cfRule type="expression" dxfId="3298" priority="199" stopIfTrue="1">
      <formula>AI105=CléPersonnalisée1</formula>
    </cfRule>
    <cfRule type="expression" dxfId="3297" priority="200" stopIfTrue="1">
      <formula>AI105=CléMaladie</formula>
    </cfRule>
    <cfRule type="expression" dxfId="3296" priority="201" stopIfTrue="1">
      <formula>AI105=CléPersonnelle</formula>
    </cfRule>
    <cfRule type="expression" dxfId="3295" priority="202" stopIfTrue="1">
      <formula>AI105=CléCongés</formula>
    </cfRule>
  </conditionalFormatting>
  <conditionalFormatting sqref="AN107">
    <cfRule type="expression" priority="191" stopIfTrue="1">
      <formula>AN107=""</formula>
    </cfRule>
    <cfRule type="expression" dxfId="3294" priority="192" stopIfTrue="1">
      <formula>AN107=CléPersonnalisée2</formula>
    </cfRule>
    <cfRule type="expression" dxfId="3293" priority="193" stopIfTrue="1">
      <formula>AN107=CléPersonnalisée1</formula>
    </cfRule>
    <cfRule type="expression" dxfId="3292" priority="194" stopIfTrue="1">
      <formula>AN107=CléMaladie</formula>
    </cfRule>
    <cfRule type="expression" dxfId="3291" priority="195" stopIfTrue="1">
      <formula>AN107=CléPersonnelle</formula>
    </cfRule>
    <cfRule type="expression" dxfId="3290" priority="196" stopIfTrue="1">
      <formula>AN107=CléCongés</formula>
    </cfRule>
  </conditionalFormatting>
  <conditionalFormatting sqref="AR107">
    <cfRule type="expression" priority="185" stopIfTrue="1">
      <formula>AR107=""</formula>
    </cfRule>
    <cfRule type="expression" dxfId="3289" priority="186" stopIfTrue="1">
      <formula>AR107=CléPersonnalisée2</formula>
    </cfRule>
    <cfRule type="expression" dxfId="3288" priority="187" stopIfTrue="1">
      <formula>AR107=CléPersonnalisée1</formula>
    </cfRule>
    <cfRule type="expression" dxfId="3287" priority="188" stopIfTrue="1">
      <formula>AR107=CléMaladie</formula>
    </cfRule>
    <cfRule type="expression" dxfId="3286" priority="189" stopIfTrue="1">
      <formula>AR107=CléPersonnelle</formula>
    </cfRule>
    <cfRule type="expression" dxfId="3285" priority="190" stopIfTrue="1">
      <formula>AR107=CléCongés</formula>
    </cfRule>
  </conditionalFormatting>
  <conditionalFormatting sqref="AO107">
    <cfRule type="expression" priority="173" stopIfTrue="1">
      <formula>AO107=""</formula>
    </cfRule>
    <cfRule type="expression" dxfId="3284" priority="174" stopIfTrue="1">
      <formula>AO107=CléPersonnalisée2</formula>
    </cfRule>
    <cfRule type="expression" dxfId="3283" priority="175" stopIfTrue="1">
      <formula>AO107=CléPersonnalisée1</formula>
    </cfRule>
    <cfRule type="expression" dxfId="3282" priority="176" stopIfTrue="1">
      <formula>AO107=CléMaladie</formula>
    </cfRule>
    <cfRule type="expression" dxfId="3281" priority="177" stopIfTrue="1">
      <formula>AO107=CléPersonnelle</formula>
    </cfRule>
    <cfRule type="expression" dxfId="3280" priority="178" stopIfTrue="1">
      <formula>AO107=CléCongés</formula>
    </cfRule>
  </conditionalFormatting>
  <conditionalFormatting sqref="C57:AG59">
    <cfRule type="expression" priority="166" stopIfTrue="1">
      <formula>C57=""</formula>
    </cfRule>
    <cfRule type="expression" dxfId="3279" priority="167" stopIfTrue="1">
      <formula>C57=CléPersonnalisée2</formula>
    </cfRule>
    <cfRule type="expression" dxfId="3278" priority="168" stopIfTrue="1">
      <formula>C57=CléPersonnalisée1</formula>
    </cfRule>
    <cfRule type="expression" dxfId="3277" priority="169" stopIfTrue="1">
      <formula>C57=CléMaladie</formula>
    </cfRule>
    <cfRule type="expression" dxfId="3276" priority="170" stopIfTrue="1">
      <formula>C57=CléPersonnelle</formula>
    </cfRule>
    <cfRule type="expression" dxfId="3275" priority="171" stopIfTrue="1">
      <formula>C57=CléCongés</formula>
    </cfRule>
  </conditionalFormatting>
  <conditionalFormatting sqref="AH59">
    <cfRule type="dataBar" priority="172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{FF75F9D5-B0C8-42C0-A014-4C108984E04A}</x14:id>
        </ext>
      </extLst>
    </cfRule>
  </conditionalFormatting>
  <conditionalFormatting sqref="AI59:AL59 AJ57:AL58">
    <cfRule type="expression" priority="160" stopIfTrue="1">
      <formula>AI57=""</formula>
    </cfRule>
    <cfRule type="expression" dxfId="3274" priority="161" stopIfTrue="1">
      <formula>AI57=CléPersonnalisée2</formula>
    </cfRule>
    <cfRule type="expression" dxfId="3273" priority="162" stopIfTrue="1">
      <formula>AI57=CléPersonnalisée1</formula>
    </cfRule>
    <cfRule type="expression" dxfId="3272" priority="163" stopIfTrue="1">
      <formula>AI57=CléMaladie</formula>
    </cfRule>
    <cfRule type="expression" dxfId="3271" priority="164" stopIfTrue="1">
      <formula>AI57=CléPersonnelle</formula>
    </cfRule>
    <cfRule type="expression" dxfId="3270" priority="165" stopIfTrue="1">
      <formula>AI57=CléCongés</formula>
    </cfRule>
  </conditionalFormatting>
  <conditionalFormatting sqref="AM57:AP58">
    <cfRule type="expression" priority="154" stopIfTrue="1">
      <formula>AM57=""</formula>
    </cfRule>
    <cfRule type="expression" dxfId="3269" priority="155" stopIfTrue="1">
      <formula>AM57=CléPersonnalisée2</formula>
    </cfRule>
    <cfRule type="expression" dxfId="3268" priority="156" stopIfTrue="1">
      <formula>AM57=CléPersonnalisée1</formula>
    </cfRule>
    <cfRule type="expression" dxfId="3267" priority="157" stopIfTrue="1">
      <formula>AM57=CléMaladie</formula>
    </cfRule>
    <cfRule type="expression" dxfId="3266" priority="158" stopIfTrue="1">
      <formula>AM57=CléPersonnelle</formula>
    </cfRule>
    <cfRule type="expression" dxfId="3265" priority="159" stopIfTrue="1">
      <formula>AM57=CléCongés</formula>
    </cfRule>
  </conditionalFormatting>
  <conditionalFormatting sqref="AQ57:AR58">
    <cfRule type="expression" priority="148" stopIfTrue="1">
      <formula>AQ57=""</formula>
    </cfRule>
    <cfRule type="expression" dxfId="3264" priority="149" stopIfTrue="1">
      <formula>AQ57=CléPersonnalisée2</formula>
    </cfRule>
    <cfRule type="expression" dxfId="3263" priority="150" stopIfTrue="1">
      <formula>AQ57=CléPersonnalisée1</formula>
    </cfRule>
    <cfRule type="expression" dxfId="3262" priority="151" stopIfTrue="1">
      <formula>AQ57=CléMaladie</formula>
    </cfRule>
    <cfRule type="expression" dxfId="3261" priority="152" stopIfTrue="1">
      <formula>AQ57=CléPersonnelle</formula>
    </cfRule>
    <cfRule type="expression" dxfId="3260" priority="153" stopIfTrue="1">
      <formula>AQ57=CléCongés</formula>
    </cfRule>
  </conditionalFormatting>
  <conditionalFormatting sqref="AM59 AP59">
    <cfRule type="expression" priority="142" stopIfTrue="1">
      <formula>AM59=""</formula>
    </cfRule>
    <cfRule type="expression" dxfId="3259" priority="143" stopIfTrue="1">
      <formula>AM59=CléPersonnalisée2</formula>
    </cfRule>
    <cfRule type="expression" dxfId="3258" priority="144" stopIfTrue="1">
      <formula>AM59=CléPersonnalisée1</formula>
    </cfRule>
    <cfRule type="expression" dxfId="3257" priority="145" stopIfTrue="1">
      <formula>AM59=CléMaladie</formula>
    </cfRule>
    <cfRule type="expression" dxfId="3256" priority="146" stopIfTrue="1">
      <formula>AM59=CléPersonnelle</formula>
    </cfRule>
    <cfRule type="expression" dxfId="3255" priority="147" stopIfTrue="1">
      <formula>AM59=CléCongés</formula>
    </cfRule>
  </conditionalFormatting>
  <conditionalFormatting sqref="AH57:AH58">
    <cfRule type="dataBar" priority="141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{147EE7DF-6E8D-4894-AAFC-8A65A4BC3BD3}</x14:id>
        </ext>
      </extLst>
    </cfRule>
  </conditionalFormatting>
  <conditionalFormatting sqref="AO59">
    <cfRule type="expression" priority="135" stopIfTrue="1">
      <formula>AO59=""</formula>
    </cfRule>
    <cfRule type="expression" dxfId="3254" priority="136" stopIfTrue="1">
      <formula>AO59=CléPersonnalisée2</formula>
    </cfRule>
    <cfRule type="expression" dxfId="3253" priority="137" stopIfTrue="1">
      <formula>AO59=CléPersonnalisée1</formula>
    </cfRule>
    <cfRule type="expression" dxfId="3252" priority="138" stopIfTrue="1">
      <formula>AO59=CléMaladie</formula>
    </cfRule>
    <cfRule type="expression" dxfId="3251" priority="139" stopIfTrue="1">
      <formula>AO59=CléPersonnelle</formula>
    </cfRule>
    <cfRule type="expression" dxfId="3250" priority="140" stopIfTrue="1">
      <formula>AO59=CléCongés</formula>
    </cfRule>
  </conditionalFormatting>
  <conditionalFormatting sqref="AI57:AI58">
    <cfRule type="expression" priority="129" stopIfTrue="1">
      <formula>AI57=""</formula>
    </cfRule>
    <cfRule type="expression" dxfId="3249" priority="130" stopIfTrue="1">
      <formula>AI57=CléPersonnalisée2</formula>
    </cfRule>
    <cfRule type="expression" dxfId="3248" priority="131" stopIfTrue="1">
      <formula>AI57=CléPersonnalisée1</formula>
    </cfRule>
    <cfRule type="expression" dxfId="3247" priority="132" stopIfTrue="1">
      <formula>AI57=CléMaladie</formula>
    </cfRule>
    <cfRule type="expression" dxfId="3246" priority="133" stopIfTrue="1">
      <formula>AI57=CléPersonnelle</formula>
    </cfRule>
    <cfRule type="expression" dxfId="3245" priority="134" stopIfTrue="1">
      <formula>AI57=CléCongés</formula>
    </cfRule>
  </conditionalFormatting>
  <conditionalFormatting sqref="AN59">
    <cfRule type="expression" priority="123" stopIfTrue="1">
      <formula>AN59=""</formula>
    </cfRule>
    <cfRule type="expression" dxfId="3244" priority="124" stopIfTrue="1">
      <formula>AN59=CléPersonnalisée2</formula>
    </cfRule>
    <cfRule type="expression" dxfId="3243" priority="125" stopIfTrue="1">
      <formula>AN59=CléPersonnalisée1</formula>
    </cfRule>
    <cfRule type="expression" dxfId="3242" priority="126" stopIfTrue="1">
      <formula>AN59=CléMaladie</formula>
    </cfRule>
    <cfRule type="expression" dxfId="3241" priority="127" stopIfTrue="1">
      <formula>AN59=CléPersonnelle</formula>
    </cfRule>
    <cfRule type="expression" dxfId="3240" priority="128" stopIfTrue="1">
      <formula>AN59=CléCongés</formula>
    </cfRule>
  </conditionalFormatting>
  <conditionalFormatting sqref="AR59">
    <cfRule type="expression" priority="117" stopIfTrue="1">
      <formula>AR59=""</formula>
    </cfRule>
    <cfRule type="expression" dxfId="3239" priority="118" stopIfTrue="1">
      <formula>AR59=CléPersonnalisée2</formula>
    </cfRule>
    <cfRule type="expression" dxfId="3238" priority="119" stopIfTrue="1">
      <formula>AR59=CléPersonnalisée1</formula>
    </cfRule>
    <cfRule type="expression" dxfId="3237" priority="120" stopIfTrue="1">
      <formula>AR59=CléMaladie</formula>
    </cfRule>
    <cfRule type="expression" dxfId="3236" priority="121" stopIfTrue="1">
      <formula>AR59=CléPersonnelle</formula>
    </cfRule>
    <cfRule type="expression" dxfId="3235" priority="122" stopIfTrue="1">
      <formula>AR59=CléCongés</formula>
    </cfRule>
  </conditionalFormatting>
  <conditionalFormatting sqref="AQ59">
    <cfRule type="expression" priority="111" stopIfTrue="1">
      <formula>AQ59=""</formula>
    </cfRule>
    <cfRule type="expression" dxfId="3234" priority="112" stopIfTrue="1">
      <formula>AQ59=CléPersonnalisée2</formula>
    </cfRule>
    <cfRule type="expression" dxfId="3233" priority="113" stopIfTrue="1">
      <formula>AQ59=CléPersonnalisée1</formula>
    </cfRule>
    <cfRule type="expression" dxfId="3232" priority="114" stopIfTrue="1">
      <formula>AQ59=CléMaladie</formula>
    </cfRule>
    <cfRule type="expression" dxfId="3231" priority="115" stopIfTrue="1">
      <formula>AQ59=CléPersonnelle</formula>
    </cfRule>
    <cfRule type="expression" dxfId="3230" priority="116" stopIfTrue="1">
      <formula>AQ59=CléCongés</formula>
    </cfRule>
  </conditionalFormatting>
  <conditionalFormatting sqref="AQ79">
    <cfRule type="expression" priority="61" stopIfTrue="1">
      <formula>AQ79=""</formula>
    </cfRule>
    <cfRule type="expression" dxfId="3229" priority="62" stopIfTrue="1">
      <formula>AQ79=CléPersonnalisée2</formula>
    </cfRule>
    <cfRule type="expression" dxfId="3228" priority="63" stopIfTrue="1">
      <formula>AQ79=CléPersonnalisée1</formula>
    </cfRule>
    <cfRule type="expression" dxfId="3227" priority="64" stopIfTrue="1">
      <formula>AQ79=CléMaladie</formula>
    </cfRule>
    <cfRule type="expression" dxfId="3226" priority="65" stopIfTrue="1">
      <formula>AQ79=CléPersonnelle</formula>
    </cfRule>
    <cfRule type="expression" dxfId="3225" priority="66" stopIfTrue="1">
      <formula>AQ79=CléCongés</formula>
    </cfRule>
  </conditionalFormatting>
  <conditionalFormatting sqref="C77:AG79">
    <cfRule type="expression" priority="104" stopIfTrue="1">
      <formula>C77=""</formula>
    </cfRule>
    <cfRule type="expression" dxfId="3224" priority="105" stopIfTrue="1">
      <formula>C77=CléPersonnalisée2</formula>
    </cfRule>
    <cfRule type="expression" dxfId="3223" priority="106" stopIfTrue="1">
      <formula>C77=CléPersonnalisée1</formula>
    </cfRule>
    <cfRule type="expression" dxfId="3222" priority="107" stopIfTrue="1">
      <formula>C77=CléMaladie</formula>
    </cfRule>
    <cfRule type="expression" dxfId="3221" priority="108" stopIfTrue="1">
      <formula>C77=CléPersonnelle</formula>
    </cfRule>
    <cfRule type="expression" dxfId="3220" priority="109" stopIfTrue="1">
      <formula>C77=CléCongés</formula>
    </cfRule>
  </conditionalFormatting>
  <conditionalFormatting sqref="AH79">
    <cfRule type="dataBar" priority="110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{8C9ADF7C-9CBD-47D8-833B-A6E3A0E9505E}</x14:id>
        </ext>
      </extLst>
    </cfRule>
  </conditionalFormatting>
  <conditionalFormatting sqref="AI79:AL79 AJ77:AL78">
    <cfRule type="expression" priority="98" stopIfTrue="1">
      <formula>AI77=""</formula>
    </cfRule>
    <cfRule type="expression" dxfId="3219" priority="99" stopIfTrue="1">
      <formula>AI77=CléPersonnalisée2</formula>
    </cfRule>
    <cfRule type="expression" dxfId="3218" priority="100" stopIfTrue="1">
      <formula>AI77=CléPersonnalisée1</formula>
    </cfRule>
    <cfRule type="expression" dxfId="3217" priority="101" stopIfTrue="1">
      <formula>AI77=CléMaladie</formula>
    </cfRule>
    <cfRule type="expression" dxfId="3216" priority="102" stopIfTrue="1">
      <formula>AI77=CléPersonnelle</formula>
    </cfRule>
    <cfRule type="expression" dxfId="3215" priority="103" stopIfTrue="1">
      <formula>AI77=CléCongés</formula>
    </cfRule>
  </conditionalFormatting>
  <conditionalFormatting sqref="AM77:AP78">
    <cfRule type="expression" priority="92" stopIfTrue="1">
      <formula>AM77=""</formula>
    </cfRule>
    <cfRule type="expression" dxfId="3214" priority="93" stopIfTrue="1">
      <formula>AM77=CléPersonnalisée2</formula>
    </cfRule>
    <cfRule type="expression" dxfId="3213" priority="94" stopIfTrue="1">
      <formula>AM77=CléPersonnalisée1</formula>
    </cfRule>
    <cfRule type="expression" dxfId="3212" priority="95" stopIfTrue="1">
      <formula>AM77=CléMaladie</formula>
    </cfRule>
    <cfRule type="expression" dxfId="3211" priority="96" stopIfTrue="1">
      <formula>AM77=CléPersonnelle</formula>
    </cfRule>
    <cfRule type="expression" dxfId="3210" priority="97" stopIfTrue="1">
      <formula>AM77=CléCongés</formula>
    </cfRule>
  </conditionalFormatting>
  <conditionalFormatting sqref="AQ77:AR78">
    <cfRule type="expression" priority="86" stopIfTrue="1">
      <formula>AQ77=""</formula>
    </cfRule>
    <cfRule type="expression" dxfId="3209" priority="87" stopIfTrue="1">
      <formula>AQ77=CléPersonnalisée2</formula>
    </cfRule>
    <cfRule type="expression" dxfId="3208" priority="88" stopIfTrue="1">
      <formula>AQ77=CléPersonnalisée1</formula>
    </cfRule>
    <cfRule type="expression" dxfId="3207" priority="89" stopIfTrue="1">
      <formula>AQ77=CléMaladie</formula>
    </cfRule>
    <cfRule type="expression" dxfId="3206" priority="90" stopIfTrue="1">
      <formula>AQ77=CléPersonnelle</formula>
    </cfRule>
    <cfRule type="expression" dxfId="3205" priority="91" stopIfTrue="1">
      <formula>AQ77=CléCongés</formula>
    </cfRule>
  </conditionalFormatting>
  <conditionalFormatting sqref="AM79 AP79">
    <cfRule type="expression" priority="80" stopIfTrue="1">
      <formula>AM79=""</formula>
    </cfRule>
    <cfRule type="expression" dxfId="3204" priority="81" stopIfTrue="1">
      <formula>AM79=CléPersonnalisée2</formula>
    </cfRule>
    <cfRule type="expression" dxfId="3203" priority="82" stopIfTrue="1">
      <formula>AM79=CléPersonnalisée1</formula>
    </cfRule>
    <cfRule type="expression" dxfId="3202" priority="83" stopIfTrue="1">
      <formula>AM79=CléMaladie</formula>
    </cfRule>
    <cfRule type="expression" dxfId="3201" priority="84" stopIfTrue="1">
      <formula>AM79=CléPersonnelle</formula>
    </cfRule>
    <cfRule type="expression" dxfId="3200" priority="85" stopIfTrue="1">
      <formula>AM79=CléCongés</formula>
    </cfRule>
  </conditionalFormatting>
  <conditionalFormatting sqref="AH77:AH78">
    <cfRule type="dataBar" priority="79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{BE6B7273-8063-48A6-9ABD-08110BD7FF1C}</x14:id>
        </ext>
      </extLst>
    </cfRule>
  </conditionalFormatting>
  <conditionalFormatting sqref="AI77:AI78">
    <cfRule type="expression" priority="73" stopIfTrue="1">
      <formula>AI77=""</formula>
    </cfRule>
    <cfRule type="expression" dxfId="3199" priority="74" stopIfTrue="1">
      <formula>AI77=CléPersonnalisée2</formula>
    </cfRule>
    <cfRule type="expression" dxfId="3198" priority="75" stopIfTrue="1">
      <formula>AI77=CléPersonnalisée1</formula>
    </cfRule>
    <cfRule type="expression" dxfId="3197" priority="76" stopIfTrue="1">
      <formula>AI77=CléMaladie</formula>
    </cfRule>
    <cfRule type="expression" dxfId="3196" priority="77" stopIfTrue="1">
      <formula>AI77=CléPersonnelle</formula>
    </cfRule>
    <cfRule type="expression" dxfId="3195" priority="78" stopIfTrue="1">
      <formula>AI77=CléCongés</formula>
    </cfRule>
  </conditionalFormatting>
  <conditionalFormatting sqref="AR79">
    <cfRule type="expression" priority="67" stopIfTrue="1">
      <formula>AR79=""</formula>
    </cfRule>
    <cfRule type="expression" dxfId="3194" priority="68" stopIfTrue="1">
      <formula>AR79=CléPersonnalisée2</formula>
    </cfRule>
    <cfRule type="expression" dxfId="3193" priority="69" stopIfTrue="1">
      <formula>AR79=CléPersonnalisée1</formula>
    </cfRule>
    <cfRule type="expression" dxfId="3192" priority="70" stopIfTrue="1">
      <formula>AR79=CléMaladie</formula>
    </cfRule>
    <cfRule type="expression" dxfId="3191" priority="71" stopIfTrue="1">
      <formula>AR79=CléPersonnelle</formula>
    </cfRule>
    <cfRule type="expression" dxfId="3190" priority="72" stopIfTrue="1">
      <formula>AR79=CléCongés</formula>
    </cfRule>
  </conditionalFormatting>
  <conditionalFormatting sqref="AO79">
    <cfRule type="expression" priority="55" stopIfTrue="1">
      <formula>AO79=""</formula>
    </cfRule>
    <cfRule type="expression" dxfId="3189" priority="56" stopIfTrue="1">
      <formula>AO79=CléPersonnalisée2</formula>
    </cfRule>
    <cfRule type="expression" dxfId="3188" priority="57" stopIfTrue="1">
      <formula>AO79=CléPersonnalisée1</formula>
    </cfRule>
    <cfRule type="expression" dxfId="3187" priority="58" stopIfTrue="1">
      <formula>AO79=CléMaladie</formula>
    </cfRule>
    <cfRule type="expression" dxfId="3186" priority="59" stopIfTrue="1">
      <formula>AO79=CléPersonnelle</formula>
    </cfRule>
    <cfRule type="expression" dxfId="3185" priority="60" stopIfTrue="1">
      <formula>AO79=CléCongés</formula>
    </cfRule>
  </conditionalFormatting>
  <conditionalFormatting sqref="AN79">
    <cfRule type="expression" priority="49" stopIfTrue="1">
      <formula>AN79=""</formula>
    </cfRule>
    <cfRule type="expression" dxfId="3184" priority="50" stopIfTrue="1">
      <formula>AN79=CléPersonnalisée2</formula>
    </cfRule>
    <cfRule type="expression" dxfId="3183" priority="51" stopIfTrue="1">
      <formula>AN79=CléPersonnalisée1</formula>
    </cfRule>
    <cfRule type="expression" dxfId="3182" priority="52" stopIfTrue="1">
      <formula>AN79=CléMaladie</formula>
    </cfRule>
    <cfRule type="expression" dxfId="3181" priority="53" stopIfTrue="1">
      <formula>AN79=CléPersonnelle</formula>
    </cfRule>
    <cfRule type="expression" dxfId="3180" priority="54" stopIfTrue="1">
      <formula>AN79=CléCongés</formula>
    </cfRule>
  </conditionalFormatting>
  <conditionalFormatting sqref="AM95">
    <cfRule type="expression" priority="43" stopIfTrue="1">
      <formula>AM95=""</formula>
    </cfRule>
    <cfRule type="expression" dxfId="3179" priority="44" stopIfTrue="1">
      <formula>AM95=CléPersonnalisée2</formula>
    </cfRule>
    <cfRule type="expression" dxfId="3178" priority="45" stopIfTrue="1">
      <formula>AM95=CléPersonnalisée1</formula>
    </cfRule>
    <cfRule type="expression" dxfId="3177" priority="46" stopIfTrue="1">
      <formula>AM95=CléMaladie</formula>
    </cfRule>
    <cfRule type="expression" dxfId="3176" priority="47" stopIfTrue="1">
      <formula>AM95=CléPersonnelle</formula>
    </cfRule>
    <cfRule type="expression" dxfId="3175" priority="48" stopIfTrue="1">
      <formula>AM95=CléCongés</formula>
    </cfRule>
  </conditionalFormatting>
  <conditionalFormatting sqref="AM97:AP98">
    <cfRule type="expression" priority="37" stopIfTrue="1">
      <formula>AM97=""</formula>
    </cfRule>
    <cfRule type="expression" dxfId="3174" priority="38" stopIfTrue="1">
      <formula>AM97=CléPersonnalisée2</formula>
    </cfRule>
    <cfRule type="expression" dxfId="3173" priority="39" stopIfTrue="1">
      <formula>AM97=CléPersonnalisée1</formula>
    </cfRule>
    <cfRule type="expression" dxfId="3172" priority="40" stopIfTrue="1">
      <formula>AM97=CléMaladie</formula>
    </cfRule>
    <cfRule type="expression" dxfId="3171" priority="41" stopIfTrue="1">
      <formula>AM97=CléPersonnelle</formula>
    </cfRule>
    <cfRule type="expression" dxfId="3170" priority="42" stopIfTrue="1">
      <formula>AM97=CléCongés</formula>
    </cfRule>
  </conditionalFormatting>
  <conditionalFormatting sqref="AQ97:AR98">
    <cfRule type="expression" priority="31" stopIfTrue="1">
      <formula>AQ97=""</formula>
    </cfRule>
    <cfRule type="expression" dxfId="3169" priority="32" stopIfTrue="1">
      <formula>AQ97=CléPersonnalisée2</formula>
    </cfRule>
    <cfRule type="expression" dxfId="3168" priority="33" stopIfTrue="1">
      <formula>AQ97=CléPersonnalisée1</formula>
    </cfRule>
    <cfRule type="expression" dxfId="3167" priority="34" stopIfTrue="1">
      <formula>AQ97=CléMaladie</formula>
    </cfRule>
    <cfRule type="expression" dxfId="3166" priority="35" stopIfTrue="1">
      <formula>AQ97=CléPersonnelle</formula>
    </cfRule>
    <cfRule type="expression" dxfId="3165" priority="36" stopIfTrue="1">
      <formula>AQ97=CléCongés</formula>
    </cfRule>
  </conditionalFormatting>
  <conditionalFormatting sqref="AM101:AP102">
    <cfRule type="expression" priority="25" stopIfTrue="1">
      <formula>AM101=""</formula>
    </cfRule>
    <cfRule type="expression" dxfId="3164" priority="26" stopIfTrue="1">
      <formula>AM101=CléPersonnalisée2</formula>
    </cfRule>
    <cfRule type="expression" dxfId="3163" priority="27" stopIfTrue="1">
      <formula>AM101=CléPersonnalisée1</formula>
    </cfRule>
    <cfRule type="expression" dxfId="3162" priority="28" stopIfTrue="1">
      <formula>AM101=CléMaladie</formula>
    </cfRule>
    <cfRule type="expression" dxfId="3161" priority="29" stopIfTrue="1">
      <formula>AM101=CléPersonnelle</formula>
    </cfRule>
    <cfRule type="expression" dxfId="3160" priority="30" stopIfTrue="1">
      <formula>AM101=CléCongés</formula>
    </cfRule>
  </conditionalFormatting>
  <conditionalFormatting sqref="AQ101:AR102">
    <cfRule type="expression" priority="19" stopIfTrue="1">
      <formula>AQ101=""</formula>
    </cfRule>
    <cfRule type="expression" dxfId="3159" priority="20" stopIfTrue="1">
      <formula>AQ101=CléPersonnalisée2</formula>
    </cfRule>
    <cfRule type="expression" dxfId="3158" priority="21" stopIfTrue="1">
      <formula>AQ101=CléPersonnalisée1</formula>
    </cfRule>
    <cfRule type="expression" dxfId="3157" priority="22" stopIfTrue="1">
      <formula>AQ101=CléMaladie</formula>
    </cfRule>
    <cfRule type="expression" dxfId="3156" priority="23" stopIfTrue="1">
      <formula>AQ101=CléPersonnelle</formula>
    </cfRule>
    <cfRule type="expression" dxfId="3155" priority="24" stopIfTrue="1">
      <formula>AQ101=CléCongés</formula>
    </cfRule>
  </conditionalFormatting>
  <conditionalFormatting sqref="AS13 AS17 AS21 AS25 AS29 AS33 AS37 AS41 AS45 AS49 AS53 AS57 AS61 AS65 AS69 AS73 AS77 AS81 AS85 AS89 AS93 AS97 AS101 AS105 AS109 AS113 AS117 AS121">
    <cfRule type="expression" priority="13" stopIfTrue="1">
      <formula>AS13=""</formula>
    </cfRule>
    <cfRule type="expression" dxfId="114" priority="14" stopIfTrue="1">
      <formula>AS13=CléPersonnalisée2</formula>
    </cfRule>
    <cfRule type="expression" dxfId="113" priority="15" stopIfTrue="1">
      <formula>AS13=CléPersonnalisée1</formula>
    </cfRule>
    <cfRule type="expression" dxfId="112" priority="16" stopIfTrue="1">
      <formula>AS13=CléMaladie</formula>
    </cfRule>
    <cfRule type="expression" dxfId="111" priority="17" stopIfTrue="1">
      <formula>AS13=CléPersonnelle</formula>
    </cfRule>
    <cfRule type="expression" dxfId="110" priority="18" stopIfTrue="1">
      <formula>AS13=CléCongés</formula>
    </cfRule>
  </conditionalFormatting>
  <conditionalFormatting sqref="AS9">
    <cfRule type="expression" priority="7" stopIfTrue="1">
      <formula>AS9=""</formula>
    </cfRule>
    <cfRule type="expression" dxfId="109" priority="8" stopIfTrue="1">
      <formula>AS9=CléPersonnalisée2</formula>
    </cfRule>
    <cfRule type="expression" dxfId="108" priority="9" stopIfTrue="1">
      <formula>AS9=CléPersonnalisée1</formula>
    </cfRule>
    <cfRule type="expression" dxfId="107" priority="10" stopIfTrue="1">
      <formula>AS9=CléMaladie</formula>
    </cfRule>
    <cfRule type="expression" dxfId="106" priority="11" stopIfTrue="1">
      <formula>AS9=CléPersonnelle</formula>
    </cfRule>
    <cfRule type="expression" dxfId="105" priority="12" stopIfTrue="1">
      <formula>AS9=CléCongés</formula>
    </cfRule>
  </conditionalFormatting>
  <conditionalFormatting sqref="AS5">
    <cfRule type="expression" priority="1" stopIfTrue="1">
      <formula>AS5=""</formula>
    </cfRule>
    <cfRule type="expression" dxfId="104" priority="2" stopIfTrue="1">
      <formula>AS5=CléPersonnalisée2</formula>
    </cfRule>
    <cfRule type="expression" dxfId="103" priority="3" stopIfTrue="1">
      <formula>AS5=CléPersonnalisée1</formula>
    </cfRule>
    <cfRule type="expression" dxfId="102" priority="4" stopIfTrue="1">
      <formula>AS5=CléMaladie</formula>
    </cfRule>
    <cfRule type="expression" dxfId="101" priority="5" stopIfTrue="1">
      <formula>AS5=CléPersonnelle</formula>
    </cfRule>
    <cfRule type="expression" dxfId="100" priority="6" stopIfTrue="1">
      <formula>AS5=CléCongés</formula>
    </cfRule>
  </conditionalFormatting>
  <printOptions horizontalCentered="1"/>
  <pageMargins left="0.25" right="0.25" top="0.75" bottom="0.75" header="0.3" footer="0.3"/>
  <pageSetup scale="67" fitToHeight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8222F5A-B9C2-494A-AFBB-C55610826C50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AH5:AH6 AH9:AH11</xm:sqref>
        </x14:conditionalFormatting>
        <x14:conditionalFormatting xmlns:xm="http://schemas.microsoft.com/office/excel/2006/main">
          <x14:cfRule type="dataBar" id="{743710D8-F0F6-4B2D-95AA-9F8D48685A14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AH27</xm:sqref>
        </x14:conditionalFormatting>
        <x14:conditionalFormatting xmlns:xm="http://schemas.microsoft.com/office/excel/2006/main">
          <x14:cfRule type="dataBar" id="{E3294D7D-0721-4F36-9165-059EB5CB736C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AH31</xm:sqref>
        </x14:conditionalFormatting>
        <x14:conditionalFormatting xmlns:xm="http://schemas.microsoft.com/office/excel/2006/main">
          <x14:cfRule type="dataBar" id="{430EB6FA-A947-47CD-8D35-6A492C36D5B7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AH35</xm:sqref>
        </x14:conditionalFormatting>
        <x14:conditionalFormatting xmlns:xm="http://schemas.microsoft.com/office/excel/2006/main">
          <x14:cfRule type="dataBar" id="{549C1FE2-0591-457A-86C7-7CC6B93EC972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AH39</xm:sqref>
        </x14:conditionalFormatting>
        <x14:conditionalFormatting xmlns:xm="http://schemas.microsoft.com/office/excel/2006/main">
          <x14:cfRule type="dataBar" id="{3BE81522-F6D4-4111-9C3B-9C15BF991A5B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AH43</xm:sqref>
        </x14:conditionalFormatting>
        <x14:conditionalFormatting xmlns:xm="http://schemas.microsoft.com/office/excel/2006/main">
          <x14:cfRule type="dataBar" id="{41080D9F-CD3C-48D8-A89E-1E67879B5784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AH47</xm:sqref>
        </x14:conditionalFormatting>
        <x14:conditionalFormatting xmlns:xm="http://schemas.microsoft.com/office/excel/2006/main">
          <x14:cfRule type="dataBar" id="{F56D1D9A-471C-420C-BB32-8797E95DB59E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AH51</xm:sqref>
        </x14:conditionalFormatting>
        <x14:conditionalFormatting xmlns:xm="http://schemas.microsoft.com/office/excel/2006/main">
          <x14:cfRule type="dataBar" id="{AFD4323E-4079-4C28-909D-5CF314CF30B7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AH55</xm:sqref>
        </x14:conditionalFormatting>
        <x14:conditionalFormatting xmlns:xm="http://schemas.microsoft.com/office/excel/2006/main">
          <x14:cfRule type="dataBar" id="{38A148BB-16F3-4F5D-9547-41227A89B736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AH63</xm:sqref>
        </x14:conditionalFormatting>
        <x14:conditionalFormatting xmlns:xm="http://schemas.microsoft.com/office/excel/2006/main">
          <x14:cfRule type="dataBar" id="{D0FA172C-7B6C-441F-90DE-228C9DDE3E1D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AH71</xm:sqref>
        </x14:conditionalFormatting>
        <x14:conditionalFormatting xmlns:xm="http://schemas.microsoft.com/office/excel/2006/main">
          <x14:cfRule type="dataBar" id="{36556E24-69E7-4DBE-9F06-68891F568D5E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AH19</xm:sqref>
        </x14:conditionalFormatting>
        <x14:conditionalFormatting xmlns:xm="http://schemas.microsoft.com/office/excel/2006/main">
          <x14:cfRule type="dataBar" id="{77DD790A-DF9C-4ED8-BAE1-6E88DE7C96A7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AH23</xm:sqref>
        </x14:conditionalFormatting>
        <x14:conditionalFormatting xmlns:xm="http://schemas.microsoft.com/office/excel/2006/main">
          <x14:cfRule type="dataBar" id="{7BA6A603-8E29-44A4-9A41-7324652C7DC2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AH17:AH18</xm:sqref>
        </x14:conditionalFormatting>
        <x14:conditionalFormatting xmlns:xm="http://schemas.microsoft.com/office/excel/2006/main">
          <x14:cfRule type="dataBar" id="{AF24F1A1-12C6-4E6C-979B-4886FCB54AB2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AH21:AH22</xm:sqref>
        </x14:conditionalFormatting>
        <x14:conditionalFormatting xmlns:xm="http://schemas.microsoft.com/office/excel/2006/main">
          <x14:cfRule type="dataBar" id="{F7C929FD-2C26-4B72-B9F4-80871E8447A8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AH25:AH26</xm:sqref>
        </x14:conditionalFormatting>
        <x14:conditionalFormatting xmlns:xm="http://schemas.microsoft.com/office/excel/2006/main">
          <x14:cfRule type="dataBar" id="{3DB024ED-D985-4264-8822-C95FFAA61023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AH29:AH30</xm:sqref>
        </x14:conditionalFormatting>
        <x14:conditionalFormatting xmlns:xm="http://schemas.microsoft.com/office/excel/2006/main">
          <x14:cfRule type="dataBar" id="{DF243291-CBE3-48CA-ADC0-1BF32DC04868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AH33:AH34</xm:sqref>
        </x14:conditionalFormatting>
        <x14:conditionalFormatting xmlns:xm="http://schemas.microsoft.com/office/excel/2006/main">
          <x14:cfRule type="dataBar" id="{29079932-B4D4-4BEB-9EFD-CCB0D733FC08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AH37:AH38</xm:sqref>
        </x14:conditionalFormatting>
        <x14:conditionalFormatting xmlns:xm="http://schemas.microsoft.com/office/excel/2006/main">
          <x14:cfRule type="dataBar" id="{CCA00E7E-D0E2-4847-A1AA-4ADD4E7EE19A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AH41:AH42</xm:sqref>
        </x14:conditionalFormatting>
        <x14:conditionalFormatting xmlns:xm="http://schemas.microsoft.com/office/excel/2006/main">
          <x14:cfRule type="dataBar" id="{EC5853C2-2C3C-4D65-93A5-59645DE668EB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AH45:AH46</xm:sqref>
        </x14:conditionalFormatting>
        <x14:conditionalFormatting xmlns:xm="http://schemas.microsoft.com/office/excel/2006/main">
          <x14:cfRule type="dataBar" id="{81921D9E-F889-441C-BB1B-7624BA1B7C07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AH49:AH50</xm:sqref>
        </x14:conditionalFormatting>
        <x14:conditionalFormatting xmlns:xm="http://schemas.microsoft.com/office/excel/2006/main">
          <x14:cfRule type="dataBar" id="{C4714220-B890-4171-A5C0-FBCA968466BF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AH53:AH54</xm:sqref>
        </x14:conditionalFormatting>
        <x14:conditionalFormatting xmlns:xm="http://schemas.microsoft.com/office/excel/2006/main">
          <x14:cfRule type="dataBar" id="{AA0107E0-084F-40D9-8043-8A81635BE838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AH61:AH62</xm:sqref>
        </x14:conditionalFormatting>
        <x14:conditionalFormatting xmlns:xm="http://schemas.microsoft.com/office/excel/2006/main">
          <x14:cfRule type="dataBar" id="{3AC99FD9-CB2F-44C8-91D3-0F4B67F902EF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AH69:AH70</xm:sqref>
        </x14:conditionalFormatting>
        <x14:conditionalFormatting xmlns:xm="http://schemas.microsoft.com/office/excel/2006/main">
          <x14:cfRule type="dataBar" id="{157EF524-D505-482C-AAEF-2F276A0FB03B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AH7</xm:sqref>
        </x14:conditionalFormatting>
        <x14:conditionalFormatting xmlns:xm="http://schemas.microsoft.com/office/excel/2006/main">
          <x14:cfRule type="dataBar" id="{6C4C88E4-FAAC-4CDB-9ABD-650C5FE56742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AH67</xm:sqref>
        </x14:conditionalFormatting>
        <x14:conditionalFormatting xmlns:xm="http://schemas.microsoft.com/office/excel/2006/main">
          <x14:cfRule type="dataBar" id="{BEBD3AD6-A1C5-491E-9A33-9871687A33D0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AH65:AH66</xm:sqref>
        </x14:conditionalFormatting>
        <x14:conditionalFormatting xmlns:xm="http://schemas.microsoft.com/office/excel/2006/main">
          <x14:cfRule type="dataBar" id="{245F2DE7-D08A-493D-A7B4-7A583F3F7494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AH75</xm:sqref>
        </x14:conditionalFormatting>
        <x14:conditionalFormatting xmlns:xm="http://schemas.microsoft.com/office/excel/2006/main">
          <x14:cfRule type="dataBar" id="{3CB2A147-4D25-43D6-B49B-132F3B5B145E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AH73:AH74</xm:sqref>
        </x14:conditionalFormatting>
        <x14:conditionalFormatting xmlns:xm="http://schemas.microsoft.com/office/excel/2006/main">
          <x14:cfRule type="dataBar" id="{8FE21EFC-C8BC-4202-A360-0ADAE34EB5D5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AH83</xm:sqref>
        </x14:conditionalFormatting>
        <x14:conditionalFormatting xmlns:xm="http://schemas.microsoft.com/office/excel/2006/main">
          <x14:cfRule type="dataBar" id="{F4384525-D5E4-4A9D-9617-A2A8E081218D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AH81:AH82</xm:sqref>
        </x14:conditionalFormatting>
        <x14:conditionalFormatting xmlns:xm="http://schemas.microsoft.com/office/excel/2006/main">
          <x14:cfRule type="dataBar" id="{F49BD338-313A-41C1-9ED8-E84663AAF58D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AH87</xm:sqref>
        </x14:conditionalFormatting>
        <x14:conditionalFormatting xmlns:xm="http://schemas.microsoft.com/office/excel/2006/main">
          <x14:cfRule type="dataBar" id="{3830C050-35A0-4849-98B5-52FC3D0E1199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AH85:AH86</xm:sqref>
        </x14:conditionalFormatting>
        <x14:conditionalFormatting xmlns:xm="http://schemas.microsoft.com/office/excel/2006/main">
          <x14:cfRule type="dataBar" id="{94DB4453-F673-4E24-87D0-EC8F80D83B2E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AH91</xm:sqref>
        </x14:conditionalFormatting>
        <x14:conditionalFormatting xmlns:xm="http://schemas.microsoft.com/office/excel/2006/main">
          <x14:cfRule type="dataBar" id="{2D39C88C-0C7C-43DA-8BC2-D9E1FE291B83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AH89:AH90</xm:sqref>
        </x14:conditionalFormatting>
        <x14:conditionalFormatting xmlns:xm="http://schemas.microsoft.com/office/excel/2006/main">
          <x14:cfRule type="dataBar" id="{C927C8BB-D67C-4CF7-9F33-96644BBD1637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AH101:AH103 AH95 AH97:AH99</xm:sqref>
        </x14:conditionalFormatting>
        <x14:conditionalFormatting xmlns:xm="http://schemas.microsoft.com/office/excel/2006/main">
          <x14:cfRule type="dataBar" id="{F8C14416-4DD4-40A1-A750-29637CB1AE11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AH93:AH94</xm:sqref>
        </x14:conditionalFormatting>
        <x14:conditionalFormatting xmlns:xm="http://schemas.microsoft.com/office/excel/2006/main">
          <x14:cfRule type="dataBar" id="{8A510396-1EF3-4EEA-9ED6-E2AA8C3BCF4C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AH111</xm:sqref>
        </x14:conditionalFormatting>
        <x14:conditionalFormatting xmlns:xm="http://schemas.microsoft.com/office/excel/2006/main">
          <x14:cfRule type="dataBar" id="{AAF76FF8-7D92-4F1B-BE1E-E98248BC87C6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AH109:AH110</xm:sqref>
        </x14:conditionalFormatting>
        <x14:conditionalFormatting xmlns:xm="http://schemas.microsoft.com/office/excel/2006/main">
          <x14:cfRule type="dataBar" id="{63EC20A3-D375-4801-93ED-68054512A36E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AH123</xm:sqref>
        </x14:conditionalFormatting>
        <x14:conditionalFormatting xmlns:xm="http://schemas.microsoft.com/office/excel/2006/main">
          <x14:cfRule type="dataBar" id="{F903A4C2-48A8-492A-AEA7-7737A6DE249B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AH121:AH122</xm:sqref>
        </x14:conditionalFormatting>
        <x14:conditionalFormatting xmlns:xm="http://schemas.microsoft.com/office/excel/2006/main">
          <x14:cfRule type="dataBar" id="{A5CB37E6-58FD-42E7-8DB0-58269DE4E9A1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AH115</xm:sqref>
        </x14:conditionalFormatting>
        <x14:conditionalFormatting xmlns:xm="http://schemas.microsoft.com/office/excel/2006/main">
          <x14:cfRule type="dataBar" id="{C843BF66-60E2-41D7-8A8B-6A490F4D863A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AH113:AH114</xm:sqref>
        </x14:conditionalFormatting>
        <x14:conditionalFormatting xmlns:xm="http://schemas.microsoft.com/office/excel/2006/main">
          <x14:cfRule type="dataBar" id="{64181DF8-E540-4994-85B3-03A9147BB4F0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AH15</xm:sqref>
        </x14:conditionalFormatting>
        <x14:conditionalFormatting xmlns:xm="http://schemas.microsoft.com/office/excel/2006/main">
          <x14:cfRule type="dataBar" id="{7CEC227A-38A3-4188-9310-C09F97DC4089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AH13:AH14</xm:sqref>
        </x14:conditionalFormatting>
        <x14:conditionalFormatting xmlns:xm="http://schemas.microsoft.com/office/excel/2006/main">
          <x14:cfRule type="dataBar" id="{196D4693-36CC-4DD3-B121-3416CB5F254C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AH119</xm:sqref>
        </x14:conditionalFormatting>
        <x14:conditionalFormatting xmlns:xm="http://schemas.microsoft.com/office/excel/2006/main">
          <x14:cfRule type="dataBar" id="{CCA5F08E-F724-4A39-95D6-96FE0154720C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AH117:AH118</xm:sqref>
        </x14:conditionalFormatting>
        <x14:conditionalFormatting xmlns:xm="http://schemas.microsoft.com/office/excel/2006/main">
          <x14:cfRule type="dataBar" id="{6505DBAA-661B-463C-9FF0-D7199041DF89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AH107</xm:sqref>
        </x14:conditionalFormatting>
        <x14:conditionalFormatting xmlns:xm="http://schemas.microsoft.com/office/excel/2006/main">
          <x14:cfRule type="dataBar" id="{AD335A67-82D3-437B-A463-F78CA13A124D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AH105:AH106</xm:sqref>
        </x14:conditionalFormatting>
        <x14:conditionalFormatting xmlns:xm="http://schemas.microsoft.com/office/excel/2006/main">
          <x14:cfRule type="dataBar" id="{FF75F9D5-B0C8-42C0-A014-4C108984E04A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AH59</xm:sqref>
        </x14:conditionalFormatting>
        <x14:conditionalFormatting xmlns:xm="http://schemas.microsoft.com/office/excel/2006/main">
          <x14:cfRule type="dataBar" id="{147EE7DF-6E8D-4894-AAFC-8A65A4BC3BD3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AH57:AH58</xm:sqref>
        </x14:conditionalFormatting>
        <x14:conditionalFormatting xmlns:xm="http://schemas.microsoft.com/office/excel/2006/main">
          <x14:cfRule type="dataBar" id="{8C9ADF7C-9CBD-47D8-833B-A6E3A0E9505E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AH79</xm:sqref>
        </x14:conditionalFormatting>
        <x14:conditionalFormatting xmlns:xm="http://schemas.microsoft.com/office/excel/2006/main">
          <x14:cfRule type="dataBar" id="{BE6B7273-8063-48A6-9ABD-08110BD7FF1C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AH77:AH78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2" tint="-0.89999084444715716"/>
    <pageSetUpPr fitToPage="1"/>
  </sheetPr>
  <dimension ref="A1:AS1514"/>
  <sheetViews>
    <sheetView showGridLines="0" topLeftCell="A4" zoomScale="98" zoomScaleNormal="98" workbookViewId="0">
      <selection activeCell="AS7" sqref="AS7"/>
    </sheetView>
  </sheetViews>
  <sheetFormatPr baseColWidth="10" defaultColWidth="9.140625" defaultRowHeight="15" customHeight="1" x14ac:dyDescent="0.25"/>
  <cols>
    <col min="1" max="1" width="24.28515625" style="96" customWidth="1"/>
    <col min="2" max="2" width="6" style="96" customWidth="1"/>
    <col min="3" max="22" width="4" style="93" customWidth="1"/>
    <col min="23" max="23" width="4.42578125" style="93" customWidth="1"/>
    <col min="24" max="26" width="4" style="93" customWidth="1"/>
    <col min="27" max="27" width="4.42578125" style="93" customWidth="1"/>
    <col min="28" max="28" width="4.42578125" style="93" bestFit="1" customWidth="1"/>
    <col min="29" max="32" width="4" style="93" customWidth="1"/>
    <col min="33" max="33" width="4.42578125" style="93" bestFit="1" customWidth="1"/>
    <col min="34" max="34" width="10.7109375" style="94" customWidth="1"/>
    <col min="35" max="35" width="5.5703125" style="93" customWidth="1"/>
    <col min="36" max="36" width="5" style="75" customWidth="1"/>
    <col min="37" max="37" width="4.7109375" style="75" customWidth="1"/>
    <col min="38" max="38" width="4.5703125" style="75" customWidth="1"/>
    <col min="39" max="39" width="7" style="75" customWidth="1"/>
    <col min="40" max="40" width="8.85546875" style="75" customWidth="1"/>
    <col min="41" max="41" width="8.140625" style="75" customWidth="1"/>
    <col min="42" max="42" width="4.7109375" style="75" customWidth="1"/>
    <col min="43" max="43" width="5.5703125" style="75" customWidth="1"/>
    <col min="44" max="44" width="6.42578125" style="75" customWidth="1"/>
    <col min="45" max="45" width="13.140625" style="75" customWidth="1"/>
    <col min="46" max="16384" width="9.140625" style="75"/>
  </cols>
  <sheetData>
    <row r="1" spans="1:45" s="8" customFormat="1" ht="50.25" customHeight="1" thickBot="1" x14ac:dyDescent="0.3">
      <c r="A1" s="1" t="s">
        <v>0</v>
      </c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3"/>
      <c r="AE1" s="3"/>
      <c r="AF1" s="4"/>
      <c r="AG1" s="5"/>
      <c r="AH1" s="5"/>
      <c r="AI1" s="6"/>
      <c r="AJ1" s="7"/>
      <c r="AK1" s="7"/>
      <c r="AL1" s="7"/>
      <c r="AM1" s="7"/>
      <c r="AN1" s="7"/>
      <c r="AO1" s="7"/>
      <c r="AP1" s="7"/>
      <c r="AQ1" s="7"/>
      <c r="AR1" s="7"/>
    </row>
    <row r="2" spans="1:45" s="18" customFormat="1" ht="30" customHeight="1" x14ac:dyDescent="0.25">
      <c r="A2" s="97">
        <v>43220</v>
      </c>
      <c r="B2" s="10"/>
      <c r="C2" s="11" t="s">
        <v>1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2">
        <v>2018</v>
      </c>
      <c r="AI2" s="13" t="s">
        <v>2</v>
      </c>
      <c r="AJ2" s="14"/>
      <c r="AK2" s="14"/>
      <c r="AL2" s="15"/>
      <c r="AM2" s="13" t="s">
        <v>3</v>
      </c>
      <c r="AN2" s="14"/>
      <c r="AO2" s="14"/>
      <c r="AP2" s="15"/>
      <c r="AQ2" s="16" t="s">
        <v>4</v>
      </c>
      <c r="AR2" s="17"/>
    </row>
    <row r="3" spans="1:45" s="27" customFormat="1" ht="15.75" customHeight="1" thickBot="1" x14ac:dyDescent="0.35">
      <c r="A3" s="98">
        <v>43191</v>
      </c>
      <c r="B3" s="10"/>
      <c r="C3" s="20" t="str">
        <f>TEXT(WEEKDAY(DATE(CalendrierAnnée,4,1),1),"jjj")</f>
        <v>dim</v>
      </c>
      <c r="D3" s="20" t="str">
        <f>TEXT(WEEKDAY(DATE(CalendrierAnnée,4,2),1),"jjj")</f>
        <v>lun</v>
      </c>
      <c r="E3" s="21" t="str">
        <f>TEXT(WEEKDAY(DATE(CalendrierAnnée,4,3),1),"jjj")</f>
        <v>mar</v>
      </c>
      <c r="F3" s="21" t="str">
        <f>TEXT(WEEKDAY(DATE(CalendrierAnnée,4,4),1),"jjj")</f>
        <v>mer</v>
      </c>
      <c r="G3" s="21" t="str">
        <f>TEXT(WEEKDAY(DATE(CalendrierAnnée,4,5),1),"jjj")</f>
        <v>jeu</v>
      </c>
      <c r="H3" s="21" t="str">
        <f>TEXT(WEEKDAY(DATE(CalendrierAnnée,4,6),1),"jjj")</f>
        <v>ven</v>
      </c>
      <c r="I3" s="21" t="str">
        <f>TEXT(WEEKDAY(DATE(CalendrierAnnée,4,7),1),"jjj")</f>
        <v>sam</v>
      </c>
      <c r="J3" s="21" t="str">
        <f>TEXT(WEEKDAY(DATE(CalendrierAnnée,4,8),1),"jjj")</f>
        <v>dim</v>
      </c>
      <c r="K3" s="21" t="str">
        <f>TEXT(WEEKDAY(DATE(CalendrierAnnée,4,9),1),"jjj")</f>
        <v>lun</v>
      </c>
      <c r="L3" s="21" t="str">
        <f>TEXT(WEEKDAY(DATE(CalendrierAnnée,4,10),1),"jjj")</f>
        <v>mar</v>
      </c>
      <c r="M3" s="21" t="str">
        <f>TEXT(WEEKDAY(DATE(CalendrierAnnée,4,11),1),"jjj")</f>
        <v>mer</v>
      </c>
      <c r="N3" s="21" t="str">
        <f>TEXT(WEEKDAY(DATE(CalendrierAnnée,4,12),1),"jjj")</f>
        <v>jeu</v>
      </c>
      <c r="O3" s="21" t="str">
        <f>TEXT(WEEKDAY(DATE(CalendrierAnnée,4,13),1),"jjj")</f>
        <v>ven</v>
      </c>
      <c r="P3" s="21" t="str">
        <f>TEXT(WEEKDAY(DATE(CalendrierAnnée,4,14),1),"jjj")</f>
        <v>sam</v>
      </c>
      <c r="Q3" s="21" t="str">
        <f>TEXT(WEEKDAY(DATE(CalendrierAnnée,4,15),1),"jjj")</f>
        <v>dim</v>
      </c>
      <c r="R3" s="21" t="str">
        <f>TEXT(WEEKDAY(DATE(CalendrierAnnée,4,16),1),"jjj")</f>
        <v>lun</v>
      </c>
      <c r="S3" s="21" t="str">
        <f>TEXT(WEEKDAY(DATE(CalendrierAnnée,4,17),1),"jjj")</f>
        <v>mar</v>
      </c>
      <c r="T3" s="21" t="str">
        <f>TEXT(WEEKDAY(DATE(CalendrierAnnée,4,18),1),"jjj")</f>
        <v>mer</v>
      </c>
      <c r="U3" s="21" t="str">
        <f>TEXT(WEEKDAY(DATE(CalendrierAnnée,4,19),1),"jjj")</f>
        <v>jeu</v>
      </c>
      <c r="V3" s="21" t="str">
        <f>TEXT(WEEKDAY(DATE(CalendrierAnnée,4,20),1),"jjj")</f>
        <v>ven</v>
      </c>
      <c r="W3" s="21" t="str">
        <f>TEXT(WEEKDAY(DATE(CalendrierAnnée,4,21),1),"jjj")</f>
        <v>sam</v>
      </c>
      <c r="X3" s="21" t="str">
        <f>TEXT(WEEKDAY(DATE(CalendrierAnnée,4,22),1),"jjj")</f>
        <v>dim</v>
      </c>
      <c r="Y3" s="21" t="str">
        <f>TEXT(WEEKDAY(DATE(CalendrierAnnée,4,23),1),"jjj")</f>
        <v>lun</v>
      </c>
      <c r="Z3" s="21" t="str">
        <f>TEXT(WEEKDAY(DATE(CalendrierAnnée,4,24),1),"jjj")</f>
        <v>mar</v>
      </c>
      <c r="AA3" s="21" t="str">
        <f>TEXT(WEEKDAY(DATE(CalendrierAnnée,4,25),1),"jjj")</f>
        <v>mer</v>
      </c>
      <c r="AB3" s="21" t="str">
        <f>TEXT(WEEKDAY(DATE(CalendrierAnnée,4,26),1),"jjj")</f>
        <v>jeu</v>
      </c>
      <c r="AC3" s="21" t="str">
        <f>TEXT(WEEKDAY(DATE(CalendrierAnnée,4,27),1),"jjj")</f>
        <v>ven</v>
      </c>
      <c r="AD3" s="21" t="str">
        <f>TEXT(WEEKDAY(DATE(CalendrierAnnée,4,28),1),"jjj")</f>
        <v>sam</v>
      </c>
      <c r="AE3" s="21" t="str">
        <f>TEXT(WEEKDAY(DATE(CalendrierAnnée,4,29),1),"jjj")</f>
        <v>dim</v>
      </c>
      <c r="AF3" s="21" t="str">
        <f>TEXT(WEEKDAY(DATE(CalendrierAnnée,4,30),1),"jjj")</f>
        <v>lun</v>
      </c>
      <c r="AG3" s="21"/>
      <c r="AH3" s="12"/>
      <c r="AI3" s="22"/>
      <c r="AJ3" s="23"/>
      <c r="AK3" s="23"/>
      <c r="AL3" s="24"/>
      <c r="AM3" s="22"/>
      <c r="AN3" s="23"/>
      <c r="AO3" s="23"/>
      <c r="AP3" s="24"/>
      <c r="AQ3" s="25"/>
      <c r="AR3" s="26"/>
    </row>
    <row r="4" spans="1:45" s="40" customFormat="1" ht="63.75" customHeight="1" x14ac:dyDescent="0.25">
      <c r="A4" s="28" t="s">
        <v>22</v>
      </c>
      <c r="B4" s="29"/>
      <c r="C4" s="99" t="s">
        <v>25</v>
      </c>
      <c r="D4" s="32" t="s">
        <v>26</v>
      </c>
      <c r="E4" s="32" t="s">
        <v>27</v>
      </c>
      <c r="F4" s="32" t="s">
        <v>28</v>
      </c>
      <c r="G4" s="32" t="s">
        <v>29</v>
      </c>
      <c r="H4" s="32" t="s">
        <v>30</v>
      </c>
      <c r="I4" s="32" t="s">
        <v>31</v>
      </c>
      <c r="J4" s="32" t="s">
        <v>32</v>
      </c>
      <c r="K4" s="32" t="s">
        <v>33</v>
      </c>
      <c r="L4" s="32" t="s">
        <v>34</v>
      </c>
      <c r="M4" s="32" t="s">
        <v>35</v>
      </c>
      <c r="N4" s="32" t="s">
        <v>36</v>
      </c>
      <c r="O4" s="32" t="s">
        <v>37</v>
      </c>
      <c r="P4" s="32" t="s">
        <v>38</v>
      </c>
      <c r="Q4" s="32" t="s">
        <v>39</v>
      </c>
      <c r="R4" s="32" t="s">
        <v>40</v>
      </c>
      <c r="S4" s="32" t="s">
        <v>41</v>
      </c>
      <c r="T4" s="32" t="s">
        <v>42</v>
      </c>
      <c r="U4" s="32" t="s">
        <v>43</v>
      </c>
      <c r="V4" s="32" t="s">
        <v>44</v>
      </c>
      <c r="W4" s="32" t="s">
        <v>45</v>
      </c>
      <c r="X4" s="32" t="s">
        <v>46</v>
      </c>
      <c r="Y4" s="32" t="s">
        <v>47</v>
      </c>
      <c r="Z4" s="32" t="s">
        <v>48</v>
      </c>
      <c r="AA4" s="32" t="s">
        <v>49</v>
      </c>
      <c r="AB4" s="32" t="s">
        <v>50</v>
      </c>
      <c r="AC4" s="32" t="s">
        <v>51</v>
      </c>
      <c r="AD4" s="32" t="s">
        <v>52</v>
      </c>
      <c r="AE4" s="32" t="s">
        <v>53</v>
      </c>
      <c r="AF4" s="32" t="s">
        <v>54</v>
      </c>
      <c r="AG4" s="32"/>
      <c r="AH4" s="33" t="s">
        <v>6</v>
      </c>
      <c r="AI4" s="34" t="s">
        <v>7</v>
      </c>
      <c r="AJ4" s="35" t="s">
        <v>8</v>
      </c>
      <c r="AK4" s="36" t="s">
        <v>9</v>
      </c>
      <c r="AL4" s="37" t="s">
        <v>10</v>
      </c>
      <c r="AM4" s="38" t="s">
        <v>11</v>
      </c>
      <c r="AN4" s="38" t="s">
        <v>12</v>
      </c>
      <c r="AO4" s="38" t="s">
        <v>13</v>
      </c>
      <c r="AP4" s="39" t="s">
        <v>14</v>
      </c>
      <c r="AQ4" s="34" t="s">
        <v>7</v>
      </c>
      <c r="AR4" s="35" t="s">
        <v>8</v>
      </c>
      <c r="AS4" s="39" t="s">
        <v>56</v>
      </c>
    </row>
    <row r="5" spans="1:45" s="40" customFormat="1" ht="12.95" customHeight="1" x14ac:dyDescent="0.25">
      <c r="A5" s="41"/>
      <c r="B5" s="42" t="s">
        <v>15</v>
      </c>
      <c r="C5" s="67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43"/>
      <c r="AH5" s="44">
        <f>COUNTA(Avril!$C5:$AG5)</f>
        <v>0</v>
      </c>
      <c r="AI5" s="45">
        <f>(COUNTIFS(Avril!$C5:$AG5,("cp")))/2+Mars!AI5</f>
        <v>8</v>
      </c>
      <c r="AJ5" s="45">
        <f>COUNTIFS(Avril!$C5:$AG5,"RTT")/2+Mars!AJ5</f>
        <v>0</v>
      </c>
      <c r="AK5" s="45">
        <f>COUNTIFS(Avril!$C5:$AG5,"m")/2+Mars!AK5</f>
        <v>0</v>
      </c>
      <c r="AL5" s="45">
        <f>COUNTIFS(Avril!$C5:$AG5,"a")/2+Mars!AL5</f>
        <v>0</v>
      </c>
      <c r="AM5" s="46"/>
      <c r="AN5" s="47"/>
      <c r="AO5" s="47"/>
      <c r="AP5" s="46"/>
      <c r="AQ5" s="47"/>
      <c r="AR5" s="47"/>
      <c r="AS5" s="47"/>
    </row>
    <row r="6" spans="1:45" s="40" customFormat="1" ht="12.95" customHeight="1" x14ac:dyDescent="0.25">
      <c r="A6" s="48">
        <v>41722</v>
      </c>
      <c r="B6" s="42" t="s">
        <v>16</v>
      </c>
      <c r="C6" s="67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3"/>
      <c r="AH6" s="44">
        <f>COUNTA(Avril!$C6:$AG6)</f>
        <v>0</v>
      </c>
      <c r="AI6" s="45">
        <f>(COUNTIFS(Avril!$C6:$AG6,("cp")))/2+Mars!AI6</f>
        <v>8</v>
      </c>
      <c r="AJ6" s="45">
        <f>COUNTIFS(Avril!$C6:$AG6,"RTT")/2+Mars!AJ6</f>
        <v>0</v>
      </c>
      <c r="AK6" s="45">
        <f>COUNTIFS(Avril!$C6:$AG6,"m")/2+Mars!AK6</f>
        <v>0</v>
      </c>
      <c r="AL6" s="45">
        <f>COUNTIFS(Avril!$C6:$AG6,"a")/2+Mars!AL6</f>
        <v>0</v>
      </c>
      <c r="AM6" s="46"/>
      <c r="AN6" s="47"/>
      <c r="AO6" s="47"/>
      <c r="AP6" s="46"/>
      <c r="AQ6" s="47"/>
      <c r="AR6" s="47"/>
      <c r="AS6" s="101"/>
    </row>
    <row r="7" spans="1:45" s="40" customFormat="1" ht="12.95" customHeight="1" x14ac:dyDescent="0.25">
      <c r="A7" s="41"/>
      <c r="B7" s="42"/>
      <c r="C7" s="49" t="str">
        <f t="shared" ref="C7:AG7" si="0">IF(C5&gt;0,C5,IF(C6&gt;0,C6,""))</f>
        <v/>
      </c>
      <c r="D7" s="49" t="str">
        <f t="shared" si="0"/>
        <v/>
      </c>
      <c r="E7" s="49" t="str">
        <f t="shared" si="0"/>
        <v/>
      </c>
      <c r="F7" s="49" t="str">
        <f t="shared" si="0"/>
        <v/>
      </c>
      <c r="G7" s="49" t="str">
        <f t="shared" si="0"/>
        <v/>
      </c>
      <c r="H7" s="49" t="str">
        <f t="shared" si="0"/>
        <v/>
      </c>
      <c r="I7" s="49" t="str">
        <f t="shared" si="0"/>
        <v/>
      </c>
      <c r="J7" s="49" t="str">
        <f t="shared" si="0"/>
        <v/>
      </c>
      <c r="K7" s="49" t="str">
        <f t="shared" si="0"/>
        <v/>
      </c>
      <c r="L7" s="49" t="str">
        <f t="shared" si="0"/>
        <v/>
      </c>
      <c r="M7" s="49" t="str">
        <f t="shared" si="0"/>
        <v/>
      </c>
      <c r="N7" s="49" t="str">
        <f t="shared" si="0"/>
        <v/>
      </c>
      <c r="O7" s="49" t="str">
        <f t="shared" si="0"/>
        <v/>
      </c>
      <c r="P7" s="49" t="str">
        <f t="shared" si="0"/>
        <v/>
      </c>
      <c r="Q7" s="49" t="str">
        <f t="shared" si="0"/>
        <v/>
      </c>
      <c r="R7" s="49" t="str">
        <f t="shared" si="0"/>
        <v/>
      </c>
      <c r="S7" s="49" t="str">
        <f t="shared" si="0"/>
        <v/>
      </c>
      <c r="T7" s="49" t="str">
        <f t="shared" si="0"/>
        <v/>
      </c>
      <c r="U7" s="49" t="str">
        <f t="shared" si="0"/>
        <v/>
      </c>
      <c r="V7" s="49" t="str">
        <f t="shared" si="0"/>
        <v/>
      </c>
      <c r="W7" s="49" t="str">
        <f t="shared" si="0"/>
        <v/>
      </c>
      <c r="X7" s="49" t="str">
        <f t="shared" si="0"/>
        <v/>
      </c>
      <c r="Y7" s="49" t="str">
        <f t="shared" si="0"/>
        <v/>
      </c>
      <c r="Z7" s="49" t="str">
        <f t="shared" si="0"/>
        <v/>
      </c>
      <c r="AA7" s="49" t="str">
        <f t="shared" si="0"/>
        <v/>
      </c>
      <c r="AB7" s="49" t="str">
        <f t="shared" si="0"/>
        <v/>
      </c>
      <c r="AC7" s="49" t="str">
        <f t="shared" si="0"/>
        <v/>
      </c>
      <c r="AD7" s="49" t="str">
        <f t="shared" si="0"/>
        <v/>
      </c>
      <c r="AE7" s="49" t="str">
        <f t="shared" si="0"/>
        <v/>
      </c>
      <c r="AF7" s="49" t="str">
        <f t="shared" si="0"/>
        <v/>
      </c>
      <c r="AG7" s="49" t="str">
        <f t="shared" si="0"/>
        <v/>
      </c>
      <c r="AH7" s="44">
        <f>SUM(AH5:AH6)</f>
        <v>0</v>
      </c>
      <c r="AI7" s="45">
        <f>SUM(AI5:AI6)</f>
        <v>16</v>
      </c>
      <c r="AJ7" s="45">
        <f>SUM(AJ5:AJ6)</f>
        <v>0</v>
      </c>
      <c r="AK7" s="45">
        <f>SUM(AK5:AK6)</f>
        <v>0</v>
      </c>
      <c r="AL7" s="45">
        <f>SUM(AL5:AL6)</f>
        <v>0</v>
      </c>
      <c r="AM7" s="50">
        <f>Juin!AM7</f>
        <v>9.15</v>
      </c>
      <c r="AN7" s="51">
        <f>IF(A6="","",IF(A6&gt;NomMois,0,IF(A6&lt;$A$3,2.08,(NETWORKDAYS(A6,$A$2)/21.66667)*2.08)))</f>
        <v>2.08</v>
      </c>
      <c r="AO7" s="51">
        <f>IF( AN7="",0,+AN7+Mars!AO7)</f>
        <v>22.879999999999995</v>
      </c>
      <c r="AP7" s="112">
        <f>IF(A6="","",IF(A6&gt;NomMois,0,IF(A6&lt;$A$3,1.5,(NETWORKDAYS(A6,$A$2)/21.66667)*1.5)))+Mars!AP7</f>
        <v>6</v>
      </c>
      <c r="AQ7" s="45">
        <f>+AM7-AI7</f>
        <v>-6.85</v>
      </c>
      <c r="AR7" s="45">
        <f>+IF(AP7="","",AP7-AJ7)</f>
        <v>6</v>
      </c>
      <c r="AS7" s="102">
        <f>+AO7+AQ7</f>
        <v>16.029999999999994</v>
      </c>
    </row>
    <row r="8" spans="1:45" s="40" customFormat="1" ht="6.75" customHeight="1" x14ac:dyDescent="0.25">
      <c r="A8" s="52"/>
      <c r="B8" s="53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  <c r="AF8" s="52"/>
      <c r="AG8" s="52"/>
      <c r="AH8" s="54"/>
      <c r="AI8" s="54"/>
      <c r="AJ8" s="54"/>
      <c r="AK8" s="54"/>
      <c r="AL8" s="54"/>
      <c r="AM8" s="52"/>
      <c r="AN8" s="55"/>
      <c r="AO8" s="55"/>
      <c r="AP8" s="56"/>
      <c r="AQ8" s="58"/>
      <c r="AR8" s="58"/>
      <c r="AS8" s="65"/>
    </row>
    <row r="9" spans="1:45" s="40" customFormat="1" ht="12.95" customHeight="1" x14ac:dyDescent="0.25">
      <c r="A9" s="41"/>
      <c r="B9" s="42" t="s">
        <v>15</v>
      </c>
      <c r="C9" s="67"/>
      <c r="D9" s="43"/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  <c r="AA9" s="43"/>
      <c r="AB9" s="43"/>
      <c r="AC9" s="43"/>
      <c r="AD9" s="43"/>
      <c r="AE9" s="43"/>
      <c r="AF9" s="43"/>
      <c r="AG9" s="43"/>
      <c r="AH9" s="44">
        <f>COUNTA(Avril!$C9:$AG9)</f>
        <v>0</v>
      </c>
      <c r="AI9" s="45">
        <f>(COUNTIFS(Avril!$C9:$AG9,("cp")))/2+Mars!AI9</f>
        <v>3.5</v>
      </c>
      <c r="AJ9" s="45">
        <f>COUNTIFS(Avril!$C9:$AG9,"RTT")/2+Mars!AJ9</f>
        <v>0</v>
      </c>
      <c r="AK9" s="45">
        <f>COUNTIFS(Avril!$C9:$AG9,"m")/2+Mars!AK9</f>
        <v>0</v>
      </c>
      <c r="AL9" s="45">
        <f>COUNTIFS(Avril!$C9:$AG9,"a")/2+Mars!AL9</f>
        <v>0</v>
      </c>
      <c r="AM9" s="46"/>
      <c r="AN9" s="47"/>
      <c r="AO9" s="47"/>
      <c r="AP9" s="46"/>
      <c r="AQ9" s="47"/>
      <c r="AR9" s="47"/>
      <c r="AS9" s="47"/>
    </row>
    <row r="10" spans="1:45" s="40" customFormat="1" ht="12.95" customHeight="1" x14ac:dyDescent="0.25">
      <c r="A10" s="48">
        <v>42740</v>
      </c>
      <c r="B10" s="42" t="s">
        <v>16</v>
      </c>
      <c r="C10" s="67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3"/>
      <c r="AG10" s="43"/>
      <c r="AH10" s="44">
        <f>COUNTA(Avril!$C10:$AG10)</f>
        <v>0</v>
      </c>
      <c r="AI10" s="45">
        <f>(COUNTIFS(Avril!$C10:$AG10,("cp")))/2+Mars!AI10</f>
        <v>3.5</v>
      </c>
      <c r="AJ10" s="45">
        <f>COUNTIFS(Avril!$C10:$AG10,"RTT")/2+Mars!AJ10</f>
        <v>0</v>
      </c>
      <c r="AK10" s="45">
        <f>COUNTIFS(Avril!$C10:$AG10,"m")/2+Mars!AK10</f>
        <v>0</v>
      </c>
      <c r="AL10" s="45">
        <f>COUNTIFS(Avril!$C10:$AG10,"a")/2+Mars!AL10</f>
        <v>0</v>
      </c>
      <c r="AM10" s="46"/>
      <c r="AN10" s="47"/>
      <c r="AO10" s="47"/>
      <c r="AP10" s="46"/>
      <c r="AQ10" s="47"/>
      <c r="AR10" s="47"/>
      <c r="AS10" s="101"/>
    </row>
    <row r="11" spans="1:45" s="40" customFormat="1" ht="12.95" customHeight="1" x14ac:dyDescent="0.25">
      <c r="A11" s="41"/>
      <c r="B11" s="42"/>
      <c r="C11" s="49" t="str">
        <f t="shared" ref="C11:AG11" si="1">IF(C9&gt;0,C9,IF(C10&gt;0,C10,""))</f>
        <v/>
      </c>
      <c r="D11" s="49" t="str">
        <f t="shared" si="1"/>
        <v/>
      </c>
      <c r="E11" s="49" t="str">
        <f t="shared" si="1"/>
        <v/>
      </c>
      <c r="F11" s="49" t="str">
        <f t="shared" si="1"/>
        <v/>
      </c>
      <c r="G11" s="49" t="str">
        <f t="shared" si="1"/>
        <v/>
      </c>
      <c r="H11" s="49" t="str">
        <f t="shared" si="1"/>
        <v/>
      </c>
      <c r="I11" s="49" t="str">
        <f t="shared" si="1"/>
        <v/>
      </c>
      <c r="J11" s="49" t="str">
        <f t="shared" si="1"/>
        <v/>
      </c>
      <c r="K11" s="49" t="str">
        <f t="shared" si="1"/>
        <v/>
      </c>
      <c r="L11" s="49" t="str">
        <f t="shared" si="1"/>
        <v/>
      </c>
      <c r="M11" s="49" t="str">
        <f t="shared" si="1"/>
        <v/>
      </c>
      <c r="N11" s="49" t="str">
        <f t="shared" si="1"/>
        <v/>
      </c>
      <c r="O11" s="49" t="str">
        <f t="shared" si="1"/>
        <v/>
      </c>
      <c r="P11" s="49" t="str">
        <f t="shared" si="1"/>
        <v/>
      </c>
      <c r="Q11" s="49" t="str">
        <f t="shared" si="1"/>
        <v/>
      </c>
      <c r="R11" s="49" t="str">
        <f t="shared" si="1"/>
        <v/>
      </c>
      <c r="S11" s="49" t="str">
        <f t="shared" si="1"/>
        <v/>
      </c>
      <c r="T11" s="49" t="str">
        <f t="shared" si="1"/>
        <v/>
      </c>
      <c r="U11" s="49" t="str">
        <f t="shared" si="1"/>
        <v/>
      </c>
      <c r="V11" s="49" t="str">
        <f t="shared" si="1"/>
        <v/>
      </c>
      <c r="W11" s="49" t="str">
        <f t="shared" si="1"/>
        <v/>
      </c>
      <c r="X11" s="49" t="str">
        <f t="shared" si="1"/>
        <v/>
      </c>
      <c r="Y11" s="49" t="str">
        <f t="shared" si="1"/>
        <v/>
      </c>
      <c r="Z11" s="49" t="str">
        <f t="shared" si="1"/>
        <v/>
      </c>
      <c r="AA11" s="49" t="str">
        <f t="shared" si="1"/>
        <v/>
      </c>
      <c r="AB11" s="49" t="str">
        <f t="shared" si="1"/>
        <v/>
      </c>
      <c r="AC11" s="49" t="str">
        <f t="shared" si="1"/>
        <v/>
      </c>
      <c r="AD11" s="49" t="str">
        <f t="shared" si="1"/>
        <v/>
      </c>
      <c r="AE11" s="49" t="str">
        <f t="shared" si="1"/>
        <v/>
      </c>
      <c r="AF11" s="49" t="str">
        <f t="shared" si="1"/>
        <v/>
      </c>
      <c r="AG11" s="49" t="str">
        <f t="shared" si="1"/>
        <v/>
      </c>
      <c r="AH11" s="44">
        <f>SUM(AH9:AH10)</f>
        <v>0</v>
      </c>
      <c r="AI11" s="45">
        <f>SUM(AI9:AI10)</f>
        <v>7</v>
      </c>
      <c r="AJ11" s="45">
        <f>SUM(AJ9:AJ10)</f>
        <v>0</v>
      </c>
      <c r="AK11" s="45">
        <f>SUM(AK9:AK10)</f>
        <v>0</v>
      </c>
      <c r="AL11" s="45">
        <f>SUM(AL9:AL10)</f>
        <v>0</v>
      </c>
      <c r="AM11" s="50">
        <f>Juin!AM11</f>
        <v>10.32</v>
      </c>
      <c r="AN11" s="51">
        <f>IF(A10="","",IF(A10&gt;NomMois,0,IF(A10&lt;$A$3,2.08,(NETWORKDAYS(A10,$A$2)/21.66667)*2.08)))</f>
        <v>2.08</v>
      </c>
      <c r="AO11" s="51">
        <f>IF( AN11="",0,+AN11+Mars!AO11)</f>
        <v>22.879999999999995</v>
      </c>
      <c r="AP11" s="50">
        <f>IF(A10="","",IF(A10&gt;NomMois,0,IF(A10&lt;$A$3,1.5,(NETWORKDAYS(A10,$A$2)/21.66667)*1.5)))+Mars!AP11</f>
        <v>6</v>
      </c>
      <c r="AQ11" s="45">
        <f>+AM11-AI11</f>
        <v>3.3200000000000003</v>
      </c>
      <c r="AR11" s="45">
        <f>+IF(AP11="","",AP11-AJ11)</f>
        <v>6</v>
      </c>
      <c r="AS11" s="102">
        <f>+AO11+AQ11</f>
        <v>26.199999999999996</v>
      </c>
    </row>
    <row r="12" spans="1:45" s="63" customFormat="1" ht="6.75" customHeight="1" x14ac:dyDescent="0.25">
      <c r="A12" s="60"/>
      <c r="B12" s="53"/>
      <c r="C12" s="60"/>
      <c r="D12" s="60"/>
      <c r="E12" s="60"/>
      <c r="F12" s="60"/>
      <c r="G12" s="60"/>
      <c r="H12" s="60"/>
      <c r="I12" s="60"/>
      <c r="J12" s="60"/>
      <c r="K12" s="60"/>
      <c r="L12" s="60"/>
      <c r="M12" s="60"/>
      <c r="N12" s="60"/>
      <c r="O12" s="60"/>
      <c r="P12" s="60"/>
      <c r="Q12" s="60"/>
      <c r="R12" s="60"/>
      <c r="S12" s="60"/>
      <c r="T12" s="60"/>
      <c r="U12" s="60"/>
      <c r="V12" s="60"/>
      <c r="W12" s="60"/>
      <c r="X12" s="60"/>
      <c r="Y12" s="60"/>
      <c r="Z12" s="60"/>
      <c r="AA12" s="60"/>
      <c r="AB12" s="60"/>
      <c r="AC12" s="60"/>
      <c r="AD12" s="60"/>
      <c r="AE12" s="60"/>
      <c r="AF12" s="60"/>
      <c r="AG12" s="60"/>
      <c r="AH12" s="61"/>
      <c r="AI12" s="61"/>
      <c r="AJ12" s="61"/>
      <c r="AK12" s="61"/>
      <c r="AL12" s="61"/>
      <c r="AM12" s="60"/>
      <c r="AN12" s="61"/>
      <c r="AO12" s="61"/>
      <c r="AP12" s="60"/>
      <c r="AQ12" s="61"/>
      <c r="AR12" s="61"/>
      <c r="AS12" s="65"/>
    </row>
    <row r="13" spans="1:45" s="79" customFormat="1" ht="12.95" customHeight="1" x14ac:dyDescent="0.25">
      <c r="A13" s="41"/>
      <c r="B13" s="42" t="s">
        <v>15</v>
      </c>
      <c r="C13" s="67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43"/>
      <c r="AB13" s="43"/>
      <c r="AC13" s="43"/>
      <c r="AD13" s="43"/>
      <c r="AE13" s="43"/>
      <c r="AF13" s="43"/>
      <c r="AG13" s="43"/>
      <c r="AH13" s="44">
        <f>COUNTA(Avril!$C13:$AG13)</f>
        <v>0</v>
      </c>
      <c r="AI13" s="45">
        <f>(COUNTIFS(Avril!$C13:$AG13,("cp")))/2+Mars!AI13</f>
        <v>0.5</v>
      </c>
      <c r="AJ13" s="45">
        <f>COUNTIFS(Avril!$C13:$AG13,"RTT")/2+Mars!AJ13</f>
        <v>0</v>
      </c>
      <c r="AK13" s="45">
        <f>COUNTIFS(Avril!$C13:$AG13,"m")/2+Mars!AK13</f>
        <v>0</v>
      </c>
      <c r="AL13" s="45">
        <f>COUNTIFS(Avril!$C13:$AG13,"a")/2+Mars!AL13</f>
        <v>1.5</v>
      </c>
      <c r="AM13" s="46"/>
      <c r="AN13" s="47"/>
      <c r="AO13" s="47"/>
      <c r="AP13" s="46"/>
      <c r="AQ13" s="47"/>
      <c r="AR13" s="47"/>
      <c r="AS13" s="47"/>
    </row>
    <row r="14" spans="1:45" s="79" customFormat="1" ht="12.95" customHeight="1" x14ac:dyDescent="0.25">
      <c r="A14" s="48"/>
      <c r="B14" s="42" t="s">
        <v>16</v>
      </c>
      <c r="C14" s="67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4">
        <f>COUNTA(Avril!$C14:$AG14)</f>
        <v>0</v>
      </c>
      <c r="AI14" s="45">
        <f>(COUNTIFS(Avril!$C14:$AG14,("cp")))/2+Mars!AI14</f>
        <v>0.5</v>
      </c>
      <c r="AJ14" s="45">
        <f>COUNTIFS(Avril!$C14:$AG14,"RTT")/2+Mars!AJ14</f>
        <v>0</v>
      </c>
      <c r="AK14" s="45">
        <f>COUNTIFS(Avril!$C14:$AG14,"m")/2+Mars!AK14</f>
        <v>0</v>
      </c>
      <c r="AL14" s="45">
        <f>COUNTIFS(Avril!$C14:$AG14,"a")/2+Mars!AL14</f>
        <v>1</v>
      </c>
      <c r="AM14" s="46"/>
      <c r="AN14" s="47"/>
      <c r="AO14" s="47"/>
      <c r="AP14" s="46"/>
      <c r="AQ14" s="47"/>
      <c r="AR14" s="47"/>
      <c r="AS14" s="101">
        <v>43014</v>
      </c>
    </row>
    <row r="15" spans="1:45" s="79" customFormat="1" ht="12.95" customHeight="1" x14ac:dyDescent="0.25">
      <c r="A15" s="41"/>
      <c r="B15" s="42"/>
      <c r="C15" s="49" t="str">
        <f t="shared" ref="C15:AG15" si="2">IF(C13&gt;0,C13,IF(C14&gt;0,C14,""))</f>
        <v/>
      </c>
      <c r="D15" s="49" t="str">
        <f t="shared" si="2"/>
        <v/>
      </c>
      <c r="E15" s="49" t="str">
        <f t="shared" si="2"/>
        <v/>
      </c>
      <c r="F15" s="49" t="str">
        <f t="shared" si="2"/>
        <v/>
      </c>
      <c r="G15" s="49" t="str">
        <f t="shared" si="2"/>
        <v/>
      </c>
      <c r="H15" s="49" t="str">
        <f t="shared" si="2"/>
        <v/>
      </c>
      <c r="I15" s="49" t="str">
        <f t="shared" si="2"/>
        <v/>
      </c>
      <c r="J15" s="49" t="str">
        <f t="shared" si="2"/>
        <v/>
      </c>
      <c r="K15" s="49" t="str">
        <f t="shared" si="2"/>
        <v/>
      </c>
      <c r="L15" s="49" t="str">
        <f t="shared" si="2"/>
        <v/>
      </c>
      <c r="M15" s="49" t="str">
        <f t="shared" si="2"/>
        <v/>
      </c>
      <c r="N15" s="49" t="str">
        <f t="shared" si="2"/>
        <v/>
      </c>
      <c r="O15" s="49" t="str">
        <f t="shared" si="2"/>
        <v/>
      </c>
      <c r="P15" s="49" t="str">
        <f t="shared" si="2"/>
        <v/>
      </c>
      <c r="Q15" s="49" t="str">
        <f t="shared" si="2"/>
        <v/>
      </c>
      <c r="R15" s="49" t="str">
        <f t="shared" si="2"/>
        <v/>
      </c>
      <c r="S15" s="49" t="str">
        <f t="shared" si="2"/>
        <v/>
      </c>
      <c r="T15" s="49" t="str">
        <f t="shared" si="2"/>
        <v/>
      </c>
      <c r="U15" s="49" t="str">
        <f t="shared" si="2"/>
        <v/>
      </c>
      <c r="V15" s="49" t="str">
        <f t="shared" si="2"/>
        <v/>
      </c>
      <c r="W15" s="49" t="str">
        <f t="shared" si="2"/>
        <v/>
      </c>
      <c r="X15" s="49" t="str">
        <f t="shared" si="2"/>
        <v/>
      </c>
      <c r="Y15" s="49" t="str">
        <f t="shared" si="2"/>
        <v/>
      </c>
      <c r="Z15" s="49" t="str">
        <f t="shared" si="2"/>
        <v/>
      </c>
      <c r="AA15" s="49" t="str">
        <f t="shared" si="2"/>
        <v/>
      </c>
      <c r="AB15" s="49" t="str">
        <f t="shared" si="2"/>
        <v/>
      </c>
      <c r="AC15" s="49" t="str">
        <f t="shared" si="2"/>
        <v/>
      </c>
      <c r="AD15" s="49" t="str">
        <f t="shared" si="2"/>
        <v/>
      </c>
      <c r="AE15" s="49" t="str">
        <f t="shared" si="2"/>
        <v/>
      </c>
      <c r="AF15" s="49" t="str">
        <f t="shared" si="2"/>
        <v/>
      </c>
      <c r="AG15" s="49" t="str">
        <f t="shared" si="2"/>
        <v/>
      </c>
      <c r="AH15" s="44">
        <f>SUM(AH13:AH14)</f>
        <v>0</v>
      </c>
      <c r="AI15" s="45">
        <f>SUM(AI13:AI14)</f>
        <v>1</v>
      </c>
      <c r="AJ15" s="45">
        <f>SUM(AJ13:AJ14)</f>
        <v>0</v>
      </c>
      <c r="AK15" s="45">
        <f>SUM(AK13:AK14)</f>
        <v>0</v>
      </c>
      <c r="AL15" s="45">
        <f>SUM(AL13:AL14)</f>
        <v>2.5</v>
      </c>
      <c r="AM15" s="50">
        <f>Juin!AM15</f>
        <v>0</v>
      </c>
      <c r="AN15" s="51" t="str">
        <f>IF(A14="","",IF(A14&gt;NomMois,0,IF(A14&lt;$A$3,2.08,(NETWORKDAYS(A14,$A$2)/21.66667)*2.08)))</f>
        <v/>
      </c>
      <c r="AO15" s="51">
        <f>IF( AN15="",0,+AN15+Mars!AO15)</f>
        <v>0</v>
      </c>
      <c r="AP15" s="50" t="e">
        <f>IF(A14="","",IF(A14&gt;NomMois,0,IF(A14&lt;$A$3,1.5,(NETWORKDAYS(A14,$A$2)/21.66667)*1.5)))+Mars!AP15</f>
        <v>#VALUE!</v>
      </c>
      <c r="AQ15" s="45">
        <f>+AM15-AI15</f>
        <v>-1</v>
      </c>
      <c r="AR15" s="45" t="e">
        <f>+IF(AP15="","",AP15-AJ15)</f>
        <v>#VALUE!</v>
      </c>
      <c r="AS15" s="102">
        <f>+AO15+AQ15</f>
        <v>-1</v>
      </c>
    </row>
    <row r="16" spans="1:45" s="63" customFormat="1" ht="6.75" customHeight="1" x14ac:dyDescent="0.25">
      <c r="A16" s="60"/>
      <c r="B16" s="42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  <c r="N16" s="64"/>
      <c r="O16" s="64"/>
      <c r="P16" s="64"/>
      <c r="Q16" s="64"/>
      <c r="R16" s="64"/>
      <c r="S16" s="64"/>
      <c r="T16" s="64"/>
      <c r="U16" s="64"/>
      <c r="V16" s="64"/>
      <c r="W16" s="64"/>
      <c r="X16" s="64"/>
      <c r="Y16" s="64"/>
      <c r="Z16" s="64"/>
      <c r="AA16" s="64"/>
      <c r="AB16" s="64"/>
      <c r="AC16" s="64"/>
      <c r="AD16" s="64"/>
      <c r="AE16" s="64"/>
      <c r="AF16" s="64"/>
      <c r="AG16" s="64"/>
      <c r="AH16" s="65"/>
      <c r="AI16" s="65"/>
      <c r="AJ16" s="65"/>
      <c r="AK16" s="65"/>
      <c r="AL16" s="65"/>
      <c r="AM16" s="64"/>
      <c r="AN16" s="65"/>
      <c r="AO16" s="65"/>
      <c r="AP16" s="64"/>
      <c r="AQ16" s="65"/>
      <c r="AR16" s="65"/>
      <c r="AS16" s="65"/>
    </row>
    <row r="17" spans="1:45" s="63" customFormat="1" ht="12.95" customHeight="1" x14ac:dyDescent="0.25">
      <c r="A17" s="41"/>
      <c r="B17" s="42" t="s">
        <v>15</v>
      </c>
      <c r="C17" s="67"/>
      <c r="D17" s="67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4">
        <f>COUNTA(Avril!$C17:$AG17)</f>
        <v>0</v>
      </c>
      <c r="AI17" s="45">
        <f>(COUNTIFS(Avril!$C17:$AG17,("cp")))/2+Mars!AI17</f>
        <v>8.5</v>
      </c>
      <c r="AJ17" s="45">
        <f>COUNTIFS(Avril!$C17:$AG17,"RTT")/2+Mars!AJ17</f>
        <v>0</v>
      </c>
      <c r="AK17" s="45">
        <f>COUNTIFS(Avril!$C17:$AG17,"m")/2+Mars!AK17</f>
        <v>0</v>
      </c>
      <c r="AL17" s="45">
        <f>COUNTIFS(Avril!$C17:$AG17,"a")/2+Mars!AL17</f>
        <v>0</v>
      </c>
      <c r="AM17" s="46"/>
      <c r="AN17" s="47"/>
      <c r="AO17" s="47"/>
      <c r="AP17" s="46"/>
      <c r="AQ17" s="47"/>
      <c r="AR17" s="47"/>
      <c r="AS17" s="47"/>
    </row>
    <row r="18" spans="1:45" s="63" customFormat="1" ht="12.95" customHeight="1" x14ac:dyDescent="0.25">
      <c r="A18" s="48">
        <v>38923</v>
      </c>
      <c r="B18" s="42" t="s">
        <v>16</v>
      </c>
      <c r="C18" s="67"/>
      <c r="D18" s="67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3"/>
      <c r="AC18" s="43"/>
      <c r="AD18" s="43"/>
      <c r="AE18" s="43"/>
      <c r="AF18" s="43"/>
      <c r="AG18" s="43"/>
      <c r="AH18" s="44">
        <f>COUNTA(Avril!$C18:$AG18)</f>
        <v>0</v>
      </c>
      <c r="AI18" s="45">
        <f>(COUNTIFS(Avril!$C18:$AG18,("cp")))/2+Mars!AI18</f>
        <v>8.5</v>
      </c>
      <c r="AJ18" s="45">
        <f>COUNTIFS(Avril!$C18:$AG18,"RTT")/2+Mars!AJ18</f>
        <v>0</v>
      </c>
      <c r="AK18" s="45">
        <f>COUNTIFS(Avril!$C18:$AG18,"m")/2+Mars!AK18</f>
        <v>0</v>
      </c>
      <c r="AL18" s="45">
        <f>COUNTIFS(Avril!$C18:$AG18,"a")/2+Mars!AL18</f>
        <v>0</v>
      </c>
      <c r="AM18" s="46"/>
      <c r="AN18" s="47"/>
      <c r="AO18" s="47"/>
      <c r="AP18" s="46"/>
      <c r="AQ18" s="47"/>
      <c r="AR18" s="47"/>
      <c r="AS18" s="101"/>
    </row>
    <row r="19" spans="1:45" s="63" customFormat="1" ht="12.95" customHeight="1" x14ac:dyDescent="0.25">
      <c r="A19" s="41"/>
      <c r="B19" s="42"/>
      <c r="C19" s="49" t="str">
        <f t="shared" ref="C19:AG19" si="3">IF(C17&gt;0,C17,IF(C18&gt;0,C18,""))</f>
        <v/>
      </c>
      <c r="D19" s="49" t="str">
        <f t="shared" si="3"/>
        <v/>
      </c>
      <c r="E19" s="49" t="str">
        <f t="shared" si="3"/>
        <v/>
      </c>
      <c r="F19" s="49" t="str">
        <f t="shared" si="3"/>
        <v/>
      </c>
      <c r="G19" s="49" t="str">
        <f t="shared" si="3"/>
        <v/>
      </c>
      <c r="H19" s="49" t="str">
        <f t="shared" si="3"/>
        <v/>
      </c>
      <c r="I19" s="49" t="str">
        <f t="shared" si="3"/>
        <v/>
      </c>
      <c r="J19" s="49" t="str">
        <f t="shared" si="3"/>
        <v/>
      </c>
      <c r="K19" s="49" t="str">
        <f t="shared" si="3"/>
        <v/>
      </c>
      <c r="L19" s="49" t="str">
        <f t="shared" si="3"/>
        <v/>
      </c>
      <c r="M19" s="49" t="str">
        <f t="shared" si="3"/>
        <v/>
      </c>
      <c r="N19" s="49" t="str">
        <f t="shared" si="3"/>
        <v/>
      </c>
      <c r="O19" s="49" t="str">
        <f t="shared" si="3"/>
        <v/>
      </c>
      <c r="P19" s="49" t="str">
        <f t="shared" si="3"/>
        <v/>
      </c>
      <c r="Q19" s="49" t="str">
        <f t="shared" si="3"/>
        <v/>
      </c>
      <c r="R19" s="49" t="str">
        <f t="shared" si="3"/>
        <v/>
      </c>
      <c r="S19" s="49" t="str">
        <f t="shared" si="3"/>
        <v/>
      </c>
      <c r="T19" s="49" t="str">
        <f t="shared" si="3"/>
        <v/>
      </c>
      <c r="U19" s="49" t="str">
        <f t="shared" si="3"/>
        <v/>
      </c>
      <c r="V19" s="49" t="str">
        <f t="shared" si="3"/>
        <v/>
      </c>
      <c r="W19" s="49" t="str">
        <f t="shared" si="3"/>
        <v/>
      </c>
      <c r="X19" s="49" t="str">
        <f t="shared" si="3"/>
        <v/>
      </c>
      <c r="Y19" s="49" t="str">
        <f t="shared" si="3"/>
        <v/>
      </c>
      <c r="Z19" s="49" t="str">
        <f t="shared" si="3"/>
        <v/>
      </c>
      <c r="AA19" s="49" t="str">
        <f t="shared" si="3"/>
        <v/>
      </c>
      <c r="AB19" s="49" t="str">
        <f t="shared" si="3"/>
        <v/>
      </c>
      <c r="AC19" s="49" t="str">
        <f t="shared" si="3"/>
        <v/>
      </c>
      <c r="AD19" s="49" t="str">
        <f t="shared" si="3"/>
        <v/>
      </c>
      <c r="AE19" s="49" t="str">
        <f t="shared" si="3"/>
        <v/>
      </c>
      <c r="AF19" s="49" t="str">
        <f t="shared" si="3"/>
        <v/>
      </c>
      <c r="AG19" s="49" t="str">
        <f t="shared" si="3"/>
        <v/>
      </c>
      <c r="AH19" s="44">
        <f>SUM(AH17:AH18)</f>
        <v>0</v>
      </c>
      <c r="AI19" s="45">
        <f>SUM(AI17:AI18)</f>
        <v>17</v>
      </c>
      <c r="AJ19" s="45">
        <f>SUM(AJ17:AJ18)</f>
        <v>0</v>
      </c>
      <c r="AK19" s="45">
        <f>SUM(AK17:AK18)</f>
        <v>0</v>
      </c>
      <c r="AL19" s="45">
        <f>SUM(AL17:AL18)</f>
        <v>0</v>
      </c>
      <c r="AM19" s="50">
        <f>Juin!AM19</f>
        <v>24.54</v>
      </c>
      <c r="AN19" s="51">
        <f>IF(A18="","",IF(A18&gt;NomMois,0,IF(A18&lt;$A$3,2.08,(NETWORKDAYS(A18,$A$2)/21.66667)*2.08)))</f>
        <v>2.08</v>
      </c>
      <c r="AO19" s="51">
        <f>IF( AN19="",0,+AN19+Mars!AO19)</f>
        <v>22.879999999999995</v>
      </c>
      <c r="AP19" s="50">
        <f>IF(A18="","",IF(A18&gt;NomMois,0,IF(A18&lt;$A$3,1.5,(NETWORKDAYS(A18,$A$2)/21.66667)*1.5)))+Mars!AP19</f>
        <v>6</v>
      </c>
      <c r="AQ19" s="45">
        <f>+AM19-AI19</f>
        <v>7.5399999999999991</v>
      </c>
      <c r="AR19" s="45">
        <f>+IF(AP19="","",AP19-AJ19)</f>
        <v>6</v>
      </c>
      <c r="AS19" s="102">
        <f t="shared" ref="AS19" si="4">+AO19+AQ19</f>
        <v>30.419999999999995</v>
      </c>
    </row>
    <row r="20" spans="1:45" s="63" customFormat="1" ht="6.75" customHeight="1" x14ac:dyDescent="0.25">
      <c r="A20" s="60"/>
      <c r="B20" s="53"/>
      <c r="C20" s="60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0"/>
      <c r="AG20" s="60"/>
      <c r="AH20" s="61"/>
      <c r="AI20" s="61"/>
      <c r="AJ20" s="61"/>
      <c r="AK20" s="61"/>
      <c r="AL20" s="61"/>
      <c r="AM20" s="60"/>
      <c r="AN20" s="61"/>
      <c r="AO20" s="61"/>
      <c r="AP20" s="60"/>
      <c r="AQ20" s="61"/>
      <c r="AR20" s="61"/>
      <c r="AS20" s="65"/>
    </row>
    <row r="21" spans="1:45" s="63" customFormat="1" ht="12.95" customHeight="1" x14ac:dyDescent="0.25">
      <c r="A21" s="41"/>
      <c r="B21" s="42" t="s">
        <v>15</v>
      </c>
      <c r="C21" s="67"/>
      <c r="D21" s="67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43"/>
      <c r="AC21" s="43"/>
      <c r="AD21" s="43"/>
      <c r="AE21" s="43"/>
      <c r="AF21" s="43"/>
      <c r="AG21" s="43"/>
      <c r="AH21" s="44">
        <f>COUNTA(Avril!$C21:$AG21)</f>
        <v>0</v>
      </c>
      <c r="AI21" s="45">
        <f>(COUNTIFS(Avril!$C21:$AG21,("cp")))/2+Mars!AI21</f>
        <v>1.5</v>
      </c>
      <c r="AJ21" s="45">
        <f>COUNTIFS(Avril!$C21:$AG21,"RTT")/2+Mars!AJ21</f>
        <v>0</v>
      </c>
      <c r="AK21" s="45">
        <f>COUNTIFS(Avril!$C21:$AG21,"m")/2+Mars!AK21</f>
        <v>0</v>
      </c>
      <c r="AL21" s="45">
        <f>COUNTIFS(Avril!$C21:$AG21,"a")/2+Mars!AL21</f>
        <v>0.5</v>
      </c>
      <c r="AM21" s="46"/>
      <c r="AN21" s="47"/>
      <c r="AO21" s="47"/>
      <c r="AP21" s="46"/>
      <c r="AQ21" s="47"/>
      <c r="AR21" s="47"/>
      <c r="AS21" s="47"/>
    </row>
    <row r="22" spans="1:45" s="63" customFormat="1" ht="12.95" customHeight="1" x14ac:dyDescent="0.25">
      <c r="A22" s="48">
        <v>41824</v>
      </c>
      <c r="B22" s="42" t="s">
        <v>16</v>
      </c>
      <c r="C22" s="67"/>
      <c r="D22" s="67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43"/>
      <c r="AC22" s="43"/>
      <c r="AD22" s="43"/>
      <c r="AE22" s="43"/>
      <c r="AF22" s="43"/>
      <c r="AG22" s="43"/>
      <c r="AH22" s="44">
        <f>COUNTA(Avril!$C22:$AG22)</f>
        <v>0</v>
      </c>
      <c r="AI22" s="45">
        <f>(COUNTIFS(Avril!$C22:$AG22,("cp")))/2+Mars!AI22</f>
        <v>1.5</v>
      </c>
      <c r="AJ22" s="45">
        <f>COUNTIFS(Avril!$C22:$AG22,"RTT")/2+Mars!AJ22</f>
        <v>0</v>
      </c>
      <c r="AK22" s="45">
        <f>COUNTIFS(Avril!$C22:$AG22,"m")/2+Mars!AK22</f>
        <v>0</v>
      </c>
      <c r="AL22" s="45">
        <f>COUNTIFS(Avril!$C22:$AG22,"a")/2+Mars!AL22</f>
        <v>0.5</v>
      </c>
      <c r="AM22" s="46"/>
      <c r="AN22" s="47"/>
      <c r="AO22" s="47"/>
      <c r="AP22" s="46"/>
      <c r="AQ22" s="47"/>
      <c r="AR22" s="47"/>
      <c r="AS22" s="101"/>
    </row>
    <row r="23" spans="1:45" s="63" customFormat="1" ht="12.95" customHeight="1" x14ac:dyDescent="0.25">
      <c r="A23" s="41"/>
      <c r="B23" s="42"/>
      <c r="C23" s="49" t="str">
        <f t="shared" ref="C23:AG23" si="5">IF(C21&gt;0,C21,IF(C22&gt;0,C22,""))</f>
        <v/>
      </c>
      <c r="D23" s="49" t="str">
        <f t="shared" si="5"/>
        <v/>
      </c>
      <c r="E23" s="49" t="str">
        <f t="shared" si="5"/>
        <v/>
      </c>
      <c r="F23" s="49" t="str">
        <f t="shared" si="5"/>
        <v/>
      </c>
      <c r="G23" s="49" t="str">
        <f t="shared" si="5"/>
        <v/>
      </c>
      <c r="H23" s="49" t="str">
        <f t="shared" si="5"/>
        <v/>
      </c>
      <c r="I23" s="49" t="str">
        <f t="shared" si="5"/>
        <v/>
      </c>
      <c r="J23" s="49" t="str">
        <f t="shared" si="5"/>
        <v/>
      </c>
      <c r="K23" s="49" t="str">
        <f t="shared" si="5"/>
        <v/>
      </c>
      <c r="L23" s="49" t="str">
        <f t="shared" si="5"/>
        <v/>
      </c>
      <c r="M23" s="49" t="str">
        <f t="shared" si="5"/>
        <v/>
      </c>
      <c r="N23" s="49" t="str">
        <f t="shared" si="5"/>
        <v/>
      </c>
      <c r="O23" s="49" t="str">
        <f t="shared" si="5"/>
        <v/>
      </c>
      <c r="P23" s="49" t="str">
        <f t="shared" si="5"/>
        <v/>
      </c>
      <c r="Q23" s="49" t="str">
        <f t="shared" si="5"/>
        <v/>
      </c>
      <c r="R23" s="49" t="str">
        <f t="shared" si="5"/>
        <v/>
      </c>
      <c r="S23" s="49" t="str">
        <f t="shared" si="5"/>
        <v/>
      </c>
      <c r="T23" s="49" t="str">
        <f t="shared" si="5"/>
        <v/>
      </c>
      <c r="U23" s="49" t="str">
        <f t="shared" si="5"/>
        <v/>
      </c>
      <c r="V23" s="49" t="str">
        <f t="shared" si="5"/>
        <v/>
      </c>
      <c r="W23" s="49" t="str">
        <f t="shared" si="5"/>
        <v/>
      </c>
      <c r="X23" s="49" t="str">
        <f t="shared" si="5"/>
        <v/>
      </c>
      <c r="Y23" s="49" t="str">
        <f t="shared" si="5"/>
        <v/>
      </c>
      <c r="Z23" s="49" t="str">
        <f t="shared" si="5"/>
        <v/>
      </c>
      <c r="AA23" s="49" t="str">
        <f t="shared" si="5"/>
        <v/>
      </c>
      <c r="AB23" s="49" t="str">
        <f t="shared" si="5"/>
        <v/>
      </c>
      <c r="AC23" s="49" t="str">
        <f t="shared" si="5"/>
        <v/>
      </c>
      <c r="AD23" s="49" t="str">
        <f t="shared" si="5"/>
        <v/>
      </c>
      <c r="AE23" s="49" t="str">
        <f t="shared" si="5"/>
        <v/>
      </c>
      <c r="AF23" s="49" t="str">
        <f t="shared" si="5"/>
        <v/>
      </c>
      <c r="AG23" s="49" t="str">
        <f t="shared" si="5"/>
        <v/>
      </c>
      <c r="AH23" s="44">
        <f>SUM(AH21:AH22)</f>
        <v>0</v>
      </c>
      <c r="AI23" s="45">
        <f>SUM(AI21:AI22)</f>
        <v>3</v>
      </c>
      <c r="AJ23" s="45">
        <f>SUM(AJ21:AJ22)</f>
        <v>0</v>
      </c>
      <c r="AK23" s="45">
        <f>SUM(AK21:AK22)</f>
        <v>0</v>
      </c>
      <c r="AL23" s="45">
        <f>SUM(AL21:AL22)</f>
        <v>1</v>
      </c>
      <c r="AM23" s="50">
        <f>Juin!AM23</f>
        <v>11.23</v>
      </c>
      <c r="AN23" s="51">
        <f>IF(A22="","",IF(A22&gt;NomMois,0,IF(A22&lt;$A$3,2.08,(NETWORKDAYS(A22,$A$2)/21.66667)*2.08)))</f>
        <v>2.08</v>
      </c>
      <c r="AO23" s="51">
        <f>IF( AN23="",0,+AN23+Mars!AO23)</f>
        <v>22.879999999999995</v>
      </c>
      <c r="AP23" s="50">
        <f>IF(A22="","",IF(A22&gt;NomMois,0,IF(A22&lt;$A$3,1.5,(NETWORKDAYS(A22,$A$2)/21.66667)*1.5)))+Mars!AP23</f>
        <v>6</v>
      </c>
      <c r="AQ23" s="45">
        <f>+AM23-AI23</f>
        <v>8.23</v>
      </c>
      <c r="AR23" s="45">
        <f>+IF(AP23="","",AP23-AJ23)</f>
        <v>6</v>
      </c>
      <c r="AS23" s="102">
        <f t="shared" ref="AS23" si="6">+AO23+AQ23</f>
        <v>31.109999999999996</v>
      </c>
    </row>
    <row r="24" spans="1:45" s="63" customFormat="1" ht="6.75" customHeight="1" x14ac:dyDescent="0.25">
      <c r="A24" s="60"/>
      <c r="B24" s="53"/>
      <c r="C24" s="60"/>
      <c r="D24" s="60"/>
      <c r="E24" s="60"/>
      <c r="F24" s="60"/>
      <c r="G24" s="60"/>
      <c r="H24" s="60"/>
      <c r="I24" s="60"/>
      <c r="J24" s="60"/>
      <c r="K24" s="60"/>
      <c r="L24" s="60"/>
      <c r="M24" s="60"/>
      <c r="N24" s="60"/>
      <c r="O24" s="60"/>
      <c r="P24" s="60"/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60"/>
      <c r="AD24" s="60"/>
      <c r="AE24" s="60"/>
      <c r="AF24" s="60"/>
      <c r="AG24" s="60"/>
      <c r="AH24" s="61"/>
      <c r="AI24" s="61"/>
      <c r="AJ24" s="61"/>
      <c r="AK24" s="61"/>
      <c r="AL24" s="61"/>
      <c r="AM24" s="60"/>
      <c r="AN24" s="61"/>
      <c r="AO24" s="61"/>
      <c r="AP24" s="60"/>
      <c r="AQ24" s="61"/>
      <c r="AR24" s="61"/>
      <c r="AS24" s="65"/>
    </row>
    <row r="25" spans="1:45" s="63" customFormat="1" ht="12.95" customHeight="1" x14ac:dyDescent="0.25">
      <c r="A25" s="41"/>
      <c r="B25" s="42" t="s">
        <v>15</v>
      </c>
      <c r="C25" s="67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  <c r="AA25" s="43"/>
      <c r="AB25" s="43"/>
      <c r="AC25" s="43"/>
      <c r="AD25" s="43"/>
      <c r="AE25" s="43"/>
      <c r="AF25" s="43"/>
      <c r="AG25" s="43"/>
      <c r="AH25" s="44">
        <f>COUNTA(Avril!$C25:$AG25)</f>
        <v>0</v>
      </c>
      <c r="AI25" s="45">
        <f>(COUNTIFS(Avril!$C25:$AG25,("cp")))/2+Mars!AI25</f>
        <v>3.5</v>
      </c>
      <c r="AJ25" s="45">
        <f>COUNTIFS(Avril!$C25:$AG25,"RTT")/2+Mars!AJ25</f>
        <v>0</v>
      </c>
      <c r="AK25" s="45">
        <f>COUNTIFS(Avril!$C25:$AG25,"m")/2+Mars!AK25</f>
        <v>0</v>
      </c>
      <c r="AL25" s="45">
        <f>COUNTIFS(Avril!$C25:$AG25,"a")/2+Mars!AL25</f>
        <v>0</v>
      </c>
      <c r="AM25" s="46"/>
      <c r="AN25" s="47"/>
      <c r="AO25" s="47"/>
      <c r="AP25" s="46"/>
      <c r="AQ25" s="47"/>
      <c r="AR25" s="47"/>
      <c r="AS25" s="47"/>
    </row>
    <row r="26" spans="1:45" s="63" customFormat="1" ht="12.95" customHeight="1" x14ac:dyDescent="0.25">
      <c r="A26" s="48">
        <v>38626</v>
      </c>
      <c r="B26" s="42" t="s">
        <v>16</v>
      </c>
      <c r="C26" s="67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43"/>
      <c r="AB26" s="43"/>
      <c r="AC26" s="43"/>
      <c r="AD26" s="43"/>
      <c r="AE26" s="43"/>
      <c r="AF26" s="43"/>
      <c r="AG26" s="43"/>
      <c r="AH26" s="44">
        <f>COUNTA(Avril!$C26:$AG26)</f>
        <v>0</v>
      </c>
      <c r="AI26" s="45">
        <f>(COUNTIFS(Avril!$C26:$AG26,("cp")))/2+Mars!AI26</f>
        <v>3.5</v>
      </c>
      <c r="AJ26" s="45">
        <f>COUNTIFS(Avril!$C26:$AG26,"RTT")/2+Mars!AJ26</f>
        <v>0</v>
      </c>
      <c r="AK26" s="45">
        <f>COUNTIFS(Avril!$C26:$AG26,"m")/2+Mars!AK26</f>
        <v>0</v>
      </c>
      <c r="AL26" s="45">
        <f>COUNTIFS(Avril!$C26:$AG26,"a")/2+Mars!AL26</f>
        <v>0</v>
      </c>
      <c r="AM26" s="46"/>
      <c r="AN26" s="47"/>
      <c r="AO26" s="47"/>
      <c r="AP26" s="46"/>
      <c r="AQ26" s="47"/>
      <c r="AR26" s="47"/>
      <c r="AS26" s="101"/>
    </row>
    <row r="27" spans="1:45" s="63" customFormat="1" ht="12.95" customHeight="1" x14ac:dyDescent="0.25">
      <c r="A27" s="41"/>
      <c r="B27" s="42"/>
      <c r="C27" s="49" t="str">
        <f t="shared" ref="C27:AG27" si="7">IF(C25&gt;0,C25,IF(C26&gt;0,C26,""))</f>
        <v/>
      </c>
      <c r="D27" s="49" t="str">
        <f t="shared" si="7"/>
        <v/>
      </c>
      <c r="E27" s="49" t="str">
        <f t="shared" si="7"/>
        <v/>
      </c>
      <c r="F27" s="49" t="str">
        <f t="shared" si="7"/>
        <v/>
      </c>
      <c r="G27" s="49" t="str">
        <f t="shared" si="7"/>
        <v/>
      </c>
      <c r="H27" s="49" t="str">
        <f t="shared" si="7"/>
        <v/>
      </c>
      <c r="I27" s="49" t="str">
        <f t="shared" si="7"/>
        <v/>
      </c>
      <c r="J27" s="49" t="str">
        <f t="shared" si="7"/>
        <v/>
      </c>
      <c r="K27" s="49" t="str">
        <f t="shared" si="7"/>
        <v/>
      </c>
      <c r="L27" s="49" t="str">
        <f t="shared" si="7"/>
        <v/>
      </c>
      <c r="M27" s="49" t="str">
        <f t="shared" si="7"/>
        <v/>
      </c>
      <c r="N27" s="49" t="str">
        <f t="shared" si="7"/>
        <v/>
      </c>
      <c r="O27" s="49" t="str">
        <f t="shared" si="7"/>
        <v/>
      </c>
      <c r="P27" s="49" t="str">
        <f t="shared" si="7"/>
        <v/>
      </c>
      <c r="Q27" s="49" t="str">
        <f t="shared" si="7"/>
        <v/>
      </c>
      <c r="R27" s="49" t="str">
        <f t="shared" si="7"/>
        <v/>
      </c>
      <c r="S27" s="49" t="str">
        <f t="shared" si="7"/>
        <v/>
      </c>
      <c r="T27" s="49" t="str">
        <f t="shared" si="7"/>
        <v/>
      </c>
      <c r="U27" s="49" t="str">
        <f t="shared" si="7"/>
        <v/>
      </c>
      <c r="V27" s="49" t="str">
        <f t="shared" si="7"/>
        <v/>
      </c>
      <c r="W27" s="49" t="str">
        <f t="shared" si="7"/>
        <v/>
      </c>
      <c r="X27" s="49" t="str">
        <f t="shared" si="7"/>
        <v/>
      </c>
      <c r="Y27" s="49" t="str">
        <f t="shared" si="7"/>
        <v/>
      </c>
      <c r="Z27" s="49" t="str">
        <f t="shared" si="7"/>
        <v/>
      </c>
      <c r="AA27" s="49" t="str">
        <f t="shared" si="7"/>
        <v/>
      </c>
      <c r="AB27" s="49" t="str">
        <f t="shared" si="7"/>
        <v/>
      </c>
      <c r="AC27" s="49" t="str">
        <f t="shared" si="7"/>
        <v/>
      </c>
      <c r="AD27" s="49" t="str">
        <f t="shared" si="7"/>
        <v/>
      </c>
      <c r="AE27" s="49" t="str">
        <f t="shared" si="7"/>
        <v/>
      </c>
      <c r="AF27" s="49" t="str">
        <f t="shared" si="7"/>
        <v/>
      </c>
      <c r="AG27" s="49" t="str">
        <f t="shared" si="7"/>
        <v/>
      </c>
      <c r="AH27" s="44">
        <f>SUM(AH25:AH26)</f>
        <v>0</v>
      </c>
      <c r="AI27" s="45">
        <f>SUM(AI25:AI26)</f>
        <v>7</v>
      </c>
      <c r="AJ27" s="45">
        <f>SUM(AJ25:AJ26)</f>
        <v>0</v>
      </c>
      <c r="AK27" s="45">
        <f>SUM(AK25:AK26)</f>
        <v>0</v>
      </c>
      <c r="AL27" s="45">
        <f>SUM(AL25:AL26)</f>
        <v>0</v>
      </c>
      <c r="AM27" s="50">
        <f>Juin!AM27</f>
        <v>28.7</v>
      </c>
      <c r="AN27" s="51">
        <f>IF(A26="","",IF(A26&gt;NomMois,0,IF(A26&lt;$A$3,2.08,(NETWORKDAYS(A26,$A$2)/21.66667)*2.08)))</f>
        <v>2.08</v>
      </c>
      <c r="AO27" s="51">
        <f>IF( AN27="",0,+AN27+Mars!AO27)</f>
        <v>22.879999999999995</v>
      </c>
      <c r="AP27" s="50">
        <f>IF(A26="","",IF(A26&gt;NomMois,0,IF(A26&lt;$A$3,1.5,(NETWORKDAYS(A26,$A$2)/21.66667)*1.5)))+Mars!AP27</f>
        <v>6</v>
      </c>
      <c r="AQ27" s="45">
        <f>+AM27-AI27</f>
        <v>21.7</v>
      </c>
      <c r="AR27" s="45">
        <f>+IF(AP27="","",AP27-AJ27)</f>
        <v>6</v>
      </c>
      <c r="AS27" s="102">
        <f t="shared" ref="AS27" si="8">+AO27+AQ27</f>
        <v>44.58</v>
      </c>
    </row>
    <row r="28" spans="1:45" s="63" customFormat="1" ht="6.75" customHeight="1" x14ac:dyDescent="0.25">
      <c r="A28" s="60"/>
      <c r="B28" s="53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1"/>
      <c r="AI28" s="61"/>
      <c r="AJ28" s="61"/>
      <c r="AK28" s="61"/>
      <c r="AL28" s="61"/>
      <c r="AM28" s="60"/>
      <c r="AN28" s="61"/>
      <c r="AO28" s="61"/>
      <c r="AP28" s="60"/>
      <c r="AQ28" s="61"/>
      <c r="AR28" s="61"/>
      <c r="AS28" s="65"/>
    </row>
    <row r="29" spans="1:45" s="63" customFormat="1" ht="12.95" customHeight="1" x14ac:dyDescent="0.25">
      <c r="A29" s="41"/>
      <c r="B29" s="42" t="s">
        <v>15</v>
      </c>
      <c r="C29" s="67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4">
        <f>COUNTA(Avril!$C29:$AG29)</f>
        <v>0</v>
      </c>
      <c r="AI29" s="45">
        <f>(COUNTIFS(Avril!$C29:$AG29,("cp")))/2+Mars!AI29</f>
        <v>7.5</v>
      </c>
      <c r="AJ29" s="45">
        <f>COUNTIFS(Avril!$C29:$AG29,"RTT")/2+Mars!AJ29</f>
        <v>0</v>
      </c>
      <c r="AK29" s="45">
        <f>COUNTIFS(Avril!$C29:$AG29,"m")/2+Mars!AK29</f>
        <v>0</v>
      </c>
      <c r="AL29" s="45">
        <f>COUNTIFS(Avril!$C29:$AG29,"a")/2+Mars!AL29</f>
        <v>0</v>
      </c>
      <c r="AM29" s="46"/>
      <c r="AN29" s="47"/>
      <c r="AO29" s="47"/>
      <c r="AP29" s="46"/>
      <c r="AQ29" s="47"/>
      <c r="AR29" s="47"/>
      <c r="AS29" s="47"/>
    </row>
    <row r="30" spans="1:45" s="63" customFormat="1" ht="12.95" customHeight="1" x14ac:dyDescent="0.25">
      <c r="A30" s="48">
        <v>36892</v>
      </c>
      <c r="B30" s="42" t="s">
        <v>16</v>
      </c>
      <c r="C30" s="67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4">
        <f>COUNTA(Avril!$C30:$AG30)</f>
        <v>0</v>
      </c>
      <c r="AI30" s="45">
        <f>(COUNTIFS(Avril!$C30:$AG30,("cp")))/2+Mars!AI30</f>
        <v>8</v>
      </c>
      <c r="AJ30" s="45">
        <f>COUNTIFS(Avril!$C30:$AG30,"RTT")/2+Mars!AJ30</f>
        <v>0</v>
      </c>
      <c r="AK30" s="45">
        <f>COUNTIFS(Avril!$C30:$AG30,"m")/2+Mars!AK30</f>
        <v>0</v>
      </c>
      <c r="AL30" s="45">
        <f>COUNTIFS(Avril!$C30:$AG30,"a")/2+Mars!AL30</f>
        <v>0</v>
      </c>
      <c r="AM30" s="46"/>
      <c r="AN30" s="47"/>
      <c r="AO30" s="47"/>
      <c r="AP30" s="46"/>
      <c r="AQ30" s="47"/>
      <c r="AR30" s="47"/>
      <c r="AS30" s="101"/>
    </row>
    <row r="31" spans="1:45" s="63" customFormat="1" ht="12.95" customHeight="1" x14ac:dyDescent="0.25">
      <c r="A31" s="41"/>
      <c r="B31" s="42"/>
      <c r="C31" s="49" t="str">
        <f t="shared" ref="C31:AG31" si="9">IF(C29&gt;0,C29,IF(C30&gt;0,C30,""))</f>
        <v/>
      </c>
      <c r="D31" s="49" t="str">
        <f t="shared" si="9"/>
        <v/>
      </c>
      <c r="E31" s="49" t="str">
        <f t="shared" si="9"/>
        <v/>
      </c>
      <c r="F31" s="49" t="str">
        <f t="shared" si="9"/>
        <v/>
      </c>
      <c r="G31" s="49" t="str">
        <f t="shared" si="9"/>
        <v/>
      </c>
      <c r="H31" s="49" t="str">
        <f t="shared" si="9"/>
        <v/>
      </c>
      <c r="I31" s="49" t="str">
        <f t="shared" si="9"/>
        <v/>
      </c>
      <c r="J31" s="49" t="str">
        <f t="shared" si="9"/>
        <v/>
      </c>
      <c r="K31" s="49" t="str">
        <f t="shared" si="9"/>
        <v/>
      </c>
      <c r="L31" s="49" t="str">
        <f t="shared" si="9"/>
        <v/>
      </c>
      <c r="M31" s="49" t="str">
        <f t="shared" si="9"/>
        <v/>
      </c>
      <c r="N31" s="49" t="str">
        <f t="shared" si="9"/>
        <v/>
      </c>
      <c r="O31" s="49" t="str">
        <f t="shared" si="9"/>
        <v/>
      </c>
      <c r="P31" s="49" t="str">
        <f t="shared" si="9"/>
        <v/>
      </c>
      <c r="Q31" s="49" t="str">
        <f t="shared" si="9"/>
        <v/>
      </c>
      <c r="R31" s="49" t="str">
        <f t="shared" si="9"/>
        <v/>
      </c>
      <c r="S31" s="49" t="str">
        <f t="shared" si="9"/>
        <v/>
      </c>
      <c r="T31" s="49" t="str">
        <f t="shared" si="9"/>
        <v/>
      </c>
      <c r="U31" s="49" t="str">
        <f t="shared" si="9"/>
        <v/>
      </c>
      <c r="V31" s="49" t="str">
        <f t="shared" si="9"/>
        <v/>
      </c>
      <c r="W31" s="49" t="str">
        <f t="shared" si="9"/>
        <v/>
      </c>
      <c r="X31" s="49" t="str">
        <f t="shared" si="9"/>
        <v/>
      </c>
      <c r="Y31" s="49" t="str">
        <f t="shared" si="9"/>
        <v/>
      </c>
      <c r="Z31" s="49" t="str">
        <f t="shared" si="9"/>
        <v/>
      </c>
      <c r="AA31" s="49" t="str">
        <f t="shared" si="9"/>
        <v/>
      </c>
      <c r="AB31" s="49" t="str">
        <f t="shared" si="9"/>
        <v/>
      </c>
      <c r="AC31" s="49" t="str">
        <f t="shared" si="9"/>
        <v/>
      </c>
      <c r="AD31" s="49" t="str">
        <f t="shared" si="9"/>
        <v/>
      </c>
      <c r="AE31" s="49" t="str">
        <f t="shared" si="9"/>
        <v/>
      </c>
      <c r="AF31" s="49" t="str">
        <f t="shared" si="9"/>
        <v/>
      </c>
      <c r="AG31" s="49" t="str">
        <f t="shared" si="9"/>
        <v/>
      </c>
      <c r="AH31" s="44">
        <f>SUM(AH29:AH30)</f>
        <v>0</v>
      </c>
      <c r="AI31" s="45">
        <f>SUM(AI29:AI30)</f>
        <v>15.5</v>
      </c>
      <c r="AJ31" s="45">
        <f>SUM(AJ29:AJ30)</f>
        <v>0</v>
      </c>
      <c r="AK31" s="45">
        <f>SUM(AK29:AK30)</f>
        <v>0</v>
      </c>
      <c r="AL31" s="45">
        <f>SUM(AL29:AL30)</f>
        <v>0</v>
      </c>
      <c r="AM31" s="50">
        <f>Juin!AM31</f>
        <v>30.37</v>
      </c>
      <c r="AN31" s="51">
        <f>IF(A30="","",IF(A30&gt;NomMois,0,IF(A30&lt;$A$3,2.08,(NETWORKDAYS(A30,$A$2)/21.66667)*2.08)))</f>
        <v>2.08</v>
      </c>
      <c r="AO31" s="51">
        <f>IF( AN31="",0,+AN31+Mars!AO31)</f>
        <v>22.879999999999995</v>
      </c>
      <c r="AP31" s="50">
        <f>IF(A30="","",IF(A30&gt;NomMois,0,IF(A30&lt;$A$3,1.5,(NETWORKDAYS(A30,$A$2)/21.66667)*1.5)))+Mars!AP31</f>
        <v>6</v>
      </c>
      <c r="AQ31" s="45">
        <f>+AM31-AI31</f>
        <v>14.870000000000001</v>
      </c>
      <c r="AR31" s="45">
        <f>+IF(AP31="","",AP31-AJ31)</f>
        <v>6</v>
      </c>
      <c r="AS31" s="102">
        <f t="shared" ref="AS31:AS91" si="10">+AO31+AQ31</f>
        <v>37.75</v>
      </c>
    </row>
    <row r="32" spans="1:45" s="63" customFormat="1" ht="6.75" customHeight="1" x14ac:dyDescent="0.25">
      <c r="A32" s="60"/>
      <c r="B32" s="53"/>
      <c r="C32" s="60"/>
      <c r="D32" s="60"/>
      <c r="E32" s="60"/>
      <c r="F32" s="60"/>
      <c r="G32" s="60"/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1"/>
      <c r="AI32" s="61"/>
      <c r="AJ32" s="61"/>
      <c r="AK32" s="61"/>
      <c r="AL32" s="61"/>
      <c r="AM32" s="60"/>
      <c r="AN32" s="61"/>
      <c r="AO32" s="61"/>
      <c r="AP32" s="60"/>
      <c r="AQ32" s="69"/>
      <c r="AR32" s="69"/>
      <c r="AS32" s="65"/>
    </row>
    <row r="33" spans="1:45" s="63" customFormat="1" ht="12.95" customHeight="1" x14ac:dyDescent="0.25">
      <c r="A33" s="41"/>
      <c r="B33" s="42" t="s">
        <v>15</v>
      </c>
      <c r="C33" s="67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4">
        <f>COUNTA(Avril!$C33:$AG33)</f>
        <v>0</v>
      </c>
      <c r="AI33" s="45">
        <f>(COUNTIFS(Avril!$C33:$AG33,("cp")))/2+Mars!AI33</f>
        <v>8.5</v>
      </c>
      <c r="AJ33" s="45">
        <f>COUNTIFS(Avril!$C33:$AG33,"RTT")/2+Mars!AJ33</f>
        <v>0</v>
      </c>
      <c r="AK33" s="45">
        <f>COUNTIFS(Avril!$C33:$AG33,"m")/2+Mars!AK33</f>
        <v>0</v>
      </c>
      <c r="AL33" s="45">
        <f>COUNTIFS(Avril!$C33:$AG33,"a")/2+Mars!AL33</f>
        <v>0</v>
      </c>
      <c r="AM33" s="46"/>
      <c r="AN33" s="47"/>
      <c r="AO33" s="47"/>
      <c r="AP33" s="46"/>
      <c r="AQ33" s="47"/>
      <c r="AR33" s="47"/>
      <c r="AS33" s="47"/>
    </row>
    <row r="34" spans="1:45" s="63" customFormat="1" ht="12.95" customHeight="1" x14ac:dyDescent="0.25">
      <c r="A34" s="48">
        <v>42110</v>
      </c>
      <c r="B34" s="42" t="s">
        <v>16</v>
      </c>
      <c r="C34" s="67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3"/>
      <c r="AE34" s="43"/>
      <c r="AF34" s="43"/>
      <c r="AG34" s="43"/>
      <c r="AH34" s="44">
        <f>COUNTA(Avril!$C34:$AG34)</f>
        <v>0</v>
      </c>
      <c r="AI34" s="45">
        <f>(COUNTIFS(Avril!$C34:$AG34,("cp")))/2+Mars!AI34</f>
        <v>8.5</v>
      </c>
      <c r="AJ34" s="45">
        <f>COUNTIFS(Avril!$C34:$AG34,"RTT")/2+Mars!AJ34</f>
        <v>0</v>
      </c>
      <c r="AK34" s="45">
        <f>COUNTIFS(Avril!$C34:$AG34,"m")/2+Mars!AK34</f>
        <v>0</v>
      </c>
      <c r="AL34" s="45">
        <f>COUNTIFS(Avril!$C34:$AG34,"a")/2+Mars!AL34</f>
        <v>0</v>
      </c>
      <c r="AM34" s="46"/>
      <c r="AN34" s="47"/>
      <c r="AO34" s="47"/>
      <c r="AP34" s="46"/>
      <c r="AQ34" s="47"/>
      <c r="AR34" s="47"/>
      <c r="AS34" s="101"/>
    </row>
    <row r="35" spans="1:45" s="63" customFormat="1" ht="12.95" customHeight="1" x14ac:dyDescent="0.25">
      <c r="A35" s="41"/>
      <c r="B35" s="42"/>
      <c r="C35" s="49" t="str">
        <f t="shared" ref="C35:AG35" si="11">IF(C33&gt;0,C33,IF(C34&gt;0,C34,""))</f>
        <v/>
      </c>
      <c r="D35" s="49" t="str">
        <f t="shared" si="11"/>
        <v/>
      </c>
      <c r="E35" s="49" t="str">
        <f t="shared" si="11"/>
        <v/>
      </c>
      <c r="F35" s="49" t="str">
        <f t="shared" si="11"/>
        <v/>
      </c>
      <c r="G35" s="49" t="str">
        <f t="shared" si="11"/>
        <v/>
      </c>
      <c r="H35" s="49" t="str">
        <f t="shared" si="11"/>
        <v/>
      </c>
      <c r="I35" s="49" t="str">
        <f t="shared" si="11"/>
        <v/>
      </c>
      <c r="J35" s="49" t="str">
        <f t="shared" si="11"/>
        <v/>
      </c>
      <c r="K35" s="49" t="str">
        <f t="shared" si="11"/>
        <v/>
      </c>
      <c r="L35" s="49" t="str">
        <f t="shared" si="11"/>
        <v/>
      </c>
      <c r="M35" s="49" t="str">
        <f t="shared" si="11"/>
        <v/>
      </c>
      <c r="N35" s="49" t="str">
        <f t="shared" si="11"/>
        <v/>
      </c>
      <c r="O35" s="49" t="str">
        <f t="shared" si="11"/>
        <v/>
      </c>
      <c r="P35" s="49" t="str">
        <f t="shared" si="11"/>
        <v/>
      </c>
      <c r="Q35" s="49" t="str">
        <f t="shared" si="11"/>
        <v/>
      </c>
      <c r="R35" s="49" t="str">
        <f t="shared" si="11"/>
        <v/>
      </c>
      <c r="S35" s="49" t="str">
        <f t="shared" si="11"/>
        <v/>
      </c>
      <c r="T35" s="49" t="str">
        <f t="shared" si="11"/>
        <v/>
      </c>
      <c r="U35" s="49" t="str">
        <f t="shared" si="11"/>
        <v/>
      </c>
      <c r="V35" s="49" t="str">
        <f t="shared" si="11"/>
        <v/>
      </c>
      <c r="W35" s="49" t="str">
        <f t="shared" si="11"/>
        <v/>
      </c>
      <c r="X35" s="49" t="str">
        <f t="shared" si="11"/>
        <v/>
      </c>
      <c r="Y35" s="49" t="str">
        <f t="shared" si="11"/>
        <v/>
      </c>
      <c r="Z35" s="49" t="str">
        <f t="shared" si="11"/>
        <v/>
      </c>
      <c r="AA35" s="49" t="str">
        <f t="shared" si="11"/>
        <v/>
      </c>
      <c r="AB35" s="49" t="str">
        <f t="shared" si="11"/>
        <v/>
      </c>
      <c r="AC35" s="49" t="str">
        <f t="shared" si="11"/>
        <v/>
      </c>
      <c r="AD35" s="49" t="str">
        <f t="shared" si="11"/>
        <v/>
      </c>
      <c r="AE35" s="49" t="str">
        <f t="shared" si="11"/>
        <v/>
      </c>
      <c r="AF35" s="49" t="str">
        <f t="shared" si="11"/>
        <v/>
      </c>
      <c r="AG35" s="49" t="str">
        <f t="shared" si="11"/>
        <v/>
      </c>
      <c r="AH35" s="44">
        <f>SUM(AH33:AH34)</f>
        <v>0</v>
      </c>
      <c r="AI35" s="45">
        <f>SUM(AI33:AI34)</f>
        <v>17</v>
      </c>
      <c r="AJ35" s="45">
        <f>SUM(AJ33:AJ34)</f>
        <v>0</v>
      </c>
      <c r="AK35" s="45">
        <f>SUM(AK33:AK34)</f>
        <v>0</v>
      </c>
      <c r="AL35" s="45">
        <f>SUM(AL33:AL34)</f>
        <v>0</v>
      </c>
      <c r="AM35" s="50">
        <f>Juin!AM35</f>
        <v>14.56</v>
      </c>
      <c r="AN35" s="51">
        <f>IF(A34="","",IF(A34&gt;NomMois,0,IF(A34&lt;$A$3,2.08,(NETWORKDAYS(A34,$A$2)/21.66667)*2.08)))</f>
        <v>2.08</v>
      </c>
      <c r="AO35" s="51">
        <f>IF( AN35="",0,+AN35+Mars!AO35)</f>
        <v>22.879999999999995</v>
      </c>
      <c r="AP35" s="50">
        <f>IF(A34="","",IF(A34&gt;NomMois,0,IF(A34&lt;$A$3,1.5,(NETWORKDAYS(A34,$A$2)/21.66667)*1.5)))+Mars!AP35</f>
        <v>6</v>
      </c>
      <c r="AQ35" s="45">
        <f>+AM35-AI35</f>
        <v>-2.4399999999999995</v>
      </c>
      <c r="AR35" s="45">
        <f>+IF(AP35="","",AP35-AJ35)</f>
        <v>6</v>
      </c>
      <c r="AS35" s="102">
        <f t="shared" si="10"/>
        <v>20.439999999999998</v>
      </c>
    </row>
    <row r="36" spans="1:45" s="63" customFormat="1" ht="6.75" customHeight="1" x14ac:dyDescent="0.25">
      <c r="A36" s="60"/>
      <c r="B36" s="53"/>
      <c r="C36" s="60"/>
      <c r="D36" s="60"/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0"/>
      <c r="Z36" s="60"/>
      <c r="AA36" s="60"/>
      <c r="AB36" s="60"/>
      <c r="AC36" s="60"/>
      <c r="AD36" s="60"/>
      <c r="AE36" s="60"/>
      <c r="AF36" s="60"/>
      <c r="AG36" s="60"/>
      <c r="AH36" s="61"/>
      <c r="AI36" s="61"/>
      <c r="AJ36" s="61"/>
      <c r="AK36" s="61"/>
      <c r="AL36" s="61"/>
      <c r="AM36" s="60"/>
      <c r="AN36" s="61"/>
      <c r="AO36" s="61"/>
      <c r="AP36" s="60"/>
      <c r="AQ36" s="61"/>
      <c r="AR36" s="61"/>
      <c r="AS36" s="65"/>
    </row>
    <row r="37" spans="1:45" s="63" customFormat="1" ht="12.95" customHeight="1" x14ac:dyDescent="0.25">
      <c r="A37" s="41"/>
      <c r="B37" s="42" t="s">
        <v>15</v>
      </c>
      <c r="C37" s="67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  <c r="AB37" s="43"/>
      <c r="AC37" s="43"/>
      <c r="AD37" s="43"/>
      <c r="AE37" s="43"/>
      <c r="AF37" s="43"/>
      <c r="AG37" s="43"/>
      <c r="AH37" s="44">
        <f>COUNTA(Avril!$C37:$AG37)</f>
        <v>0</v>
      </c>
      <c r="AI37" s="45">
        <f>(COUNTIFS(Avril!$C37:$AG37,("cp")))/2+Mars!AI37</f>
        <v>6</v>
      </c>
      <c r="AJ37" s="45">
        <f>COUNTIFS(Avril!$C37:$AG37,"RTT")/2+Mars!AJ37</f>
        <v>0</v>
      </c>
      <c r="AK37" s="45">
        <f>COUNTIFS(Avril!$C37:$AG37,"m")/2+Mars!AK37</f>
        <v>0</v>
      </c>
      <c r="AL37" s="45">
        <f>COUNTIFS(Avril!$C37:$AG37,"a")/2+Mars!AL37</f>
        <v>0</v>
      </c>
      <c r="AM37" s="46"/>
      <c r="AN37" s="47"/>
      <c r="AO37" s="47"/>
      <c r="AP37" s="46"/>
      <c r="AQ37" s="47"/>
      <c r="AR37" s="47"/>
      <c r="AS37" s="47"/>
    </row>
    <row r="38" spans="1:45" s="63" customFormat="1" ht="12.95" customHeight="1" x14ac:dyDescent="0.25">
      <c r="A38" s="48">
        <v>42373</v>
      </c>
      <c r="B38" s="42" t="s">
        <v>16</v>
      </c>
      <c r="C38" s="67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4">
        <f>COUNTA(Avril!$C38:$AG38)</f>
        <v>0</v>
      </c>
      <c r="AI38" s="45">
        <f>(COUNTIFS(Avril!$C38:$AG38,("cp")))/2+Mars!AI38</f>
        <v>6</v>
      </c>
      <c r="AJ38" s="45">
        <f>COUNTIFS(Avril!$C38:$AG38,"RTT")/2+Mars!AJ38</f>
        <v>0</v>
      </c>
      <c r="AK38" s="45">
        <f>COUNTIFS(Avril!$C38:$AG38,"m")/2+Mars!AK38</f>
        <v>0</v>
      </c>
      <c r="AL38" s="45">
        <f>COUNTIFS(Avril!$C38:$AG38,"a")/2+Mars!AL38</f>
        <v>0</v>
      </c>
      <c r="AM38" s="46"/>
      <c r="AN38" s="47"/>
      <c r="AO38" s="47"/>
      <c r="AP38" s="46"/>
      <c r="AQ38" s="47"/>
      <c r="AR38" s="47"/>
      <c r="AS38" s="101"/>
    </row>
    <row r="39" spans="1:45" s="63" customFormat="1" ht="12.95" customHeight="1" x14ac:dyDescent="0.25">
      <c r="A39" s="41"/>
      <c r="B39" s="42"/>
      <c r="C39" s="49" t="str">
        <f t="shared" ref="C39:AG39" si="12">IF(C37&gt;0,C37,IF(C38&gt;0,C38,""))</f>
        <v/>
      </c>
      <c r="D39" s="49" t="str">
        <f t="shared" si="12"/>
        <v/>
      </c>
      <c r="E39" s="49" t="str">
        <f t="shared" si="12"/>
        <v/>
      </c>
      <c r="F39" s="49" t="str">
        <f t="shared" si="12"/>
        <v/>
      </c>
      <c r="G39" s="49" t="str">
        <f t="shared" si="12"/>
        <v/>
      </c>
      <c r="H39" s="49" t="str">
        <f t="shared" si="12"/>
        <v/>
      </c>
      <c r="I39" s="49" t="str">
        <f t="shared" si="12"/>
        <v/>
      </c>
      <c r="J39" s="49" t="str">
        <f t="shared" si="12"/>
        <v/>
      </c>
      <c r="K39" s="49" t="str">
        <f t="shared" si="12"/>
        <v/>
      </c>
      <c r="L39" s="49" t="str">
        <f t="shared" si="12"/>
        <v/>
      </c>
      <c r="M39" s="49" t="str">
        <f t="shared" si="12"/>
        <v/>
      </c>
      <c r="N39" s="49" t="str">
        <f t="shared" si="12"/>
        <v/>
      </c>
      <c r="O39" s="49" t="str">
        <f t="shared" si="12"/>
        <v/>
      </c>
      <c r="P39" s="49" t="str">
        <f t="shared" si="12"/>
        <v/>
      </c>
      <c r="Q39" s="49" t="str">
        <f t="shared" si="12"/>
        <v/>
      </c>
      <c r="R39" s="49" t="str">
        <f t="shared" si="12"/>
        <v/>
      </c>
      <c r="S39" s="49" t="str">
        <f t="shared" si="12"/>
        <v/>
      </c>
      <c r="T39" s="49" t="str">
        <f t="shared" si="12"/>
        <v/>
      </c>
      <c r="U39" s="49" t="str">
        <f t="shared" si="12"/>
        <v/>
      </c>
      <c r="V39" s="49" t="str">
        <f t="shared" si="12"/>
        <v/>
      </c>
      <c r="W39" s="49" t="str">
        <f t="shared" si="12"/>
        <v/>
      </c>
      <c r="X39" s="49" t="str">
        <f t="shared" si="12"/>
        <v/>
      </c>
      <c r="Y39" s="49" t="str">
        <f t="shared" si="12"/>
        <v/>
      </c>
      <c r="Z39" s="49" t="str">
        <f t="shared" si="12"/>
        <v/>
      </c>
      <c r="AA39" s="49" t="str">
        <f t="shared" si="12"/>
        <v/>
      </c>
      <c r="AB39" s="49" t="str">
        <f t="shared" si="12"/>
        <v/>
      </c>
      <c r="AC39" s="49" t="str">
        <f t="shared" si="12"/>
        <v/>
      </c>
      <c r="AD39" s="49" t="str">
        <f t="shared" si="12"/>
        <v/>
      </c>
      <c r="AE39" s="49" t="str">
        <f t="shared" si="12"/>
        <v/>
      </c>
      <c r="AF39" s="49" t="str">
        <f t="shared" si="12"/>
        <v/>
      </c>
      <c r="AG39" s="49" t="str">
        <f t="shared" si="12"/>
        <v/>
      </c>
      <c r="AH39" s="44">
        <f>SUM(AH37:AH38)</f>
        <v>0</v>
      </c>
      <c r="AI39" s="45">
        <f>SUM(AI37:AI38)</f>
        <v>12</v>
      </c>
      <c r="AJ39" s="45">
        <f>SUM(AJ37:AJ38)</f>
        <v>0</v>
      </c>
      <c r="AK39" s="45">
        <f>SUM(AK37:AK38)</f>
        <v>0</v>
      </c>
      <c r="AL39" s="45">
        <f>SUM(AL37:AL38)</f>
        <v>0</v>
      </c>
      <c r="AM39" s="50">
        <f>Juin!AM39</f>
        <v>14.14</v>
      </c>
      <c r="AN39" s="51">
        <f>IF(A38="","",IF(A38&gt;NomMois,0,IF(A38&lt;$A$3,2.08,(NETWORKDAYS(A38,$A$2)/21.66667)*2.08)))</f>
        <v>2.08</v>
      </c>
      <c r="AO39" s="51">
        <f>IF( AN39="",0,+AN39+Mars!AO39)</f>
        <v>22.879999999999995</v>
      </c>
      <c r="AP39" s="50">
        <f>IF(A38="","",IF(A38&gt;NomMois,0,IF(A38&lt;$A$3,1.5,(NETWORKDAYS(A38,$A$2)/21.66667)*1.5)))+Mars!AP39</f>
        <v>6</v>
      </c>
      <c r="AQ39" s="45">
        <f>+AM39-AI39</f>
        <v>2.1400000000000006</v>
      </c>
      <c r="AR39" s="45">
        <f>+IF(AP39="","",AP39-AJ39)</f>
        <v>6</v>
      </c>
      <c r="AS39" s="102">
        <f t="shared" si="10"/>
        <v>25.019999999999996</v>
      </c>
    </row>
    <row r="40" spans="1:45" s="63" customFormat="1" ht="6.75" customHeight="1" x14ac:dyDescent="0.25">
      <c r="A40" s="60"/>
      <c r="B40" s="53"/>
      <c r="C40" s="60"/>
      <c r="D40" s="60"/>
      <c r="E40" s="60"/>
      <c r="F40" s="60"/>
      <c r="G40" s="60"/>
      <c r="H40" s="60"/>
      <c r="I40" s="60"/>
      <c r="J40" s="60"/>
      <c r="K40" s="60"/>
      <c r="L40" s="60"/>
      <c r="M40" s="60"/>
      <c r="N40" s="60"/>
      <c r="O40" s="60"/>
      <c r="P40" s="60"/>
      <c r="Q40" s="60"/>
      <c r="R40" s="60"/>
      <c r="S40" s="60"/>
      <c r="T40" s="60"/>
      <c r="U40" s="60"/>
      <c r="V40" s="60"/>
      <c r="W40" s="60"/>
      <c r="X40" s="60"/>
      <c r="Y40" s="60"/>
      <c r="Z40" s="60"/>
      <c r="AA40" s="60"/>
      <c r="AB40" s="60"/>
      <c r="AC40" s="60"/>
      <c r="AD40" s="60"/>
      <c r="AE40" s="60"/>
      <c r="AF40" s="60"/>
      <c r="AG40" s="60"/>
      <c r="AH40" s="61"/>
      <c r="AI40" s="61"/>
      <c r="AJ40" s="61"/>
      <c r="AK40" s="61"/>
      <c r="AL40" s="61"/>
      <c r="AM40" s="60"/>
      <c r="AN40" s="61"/>
      <c r="AO40" s="61"/>
      <c r="AP40" s="60"/>
      <c r="AQ40" s="61"/>
      <c r="AR40" s="61"/>
      <c r="AS40" s="65"/>
    </row>
    <row r="41" spans="1:45" s="63" customFormat="1" ht="12.95" customHeight="1" x14ac:dyDescent="0.25">
      <c r="A41" s="41"/>
      <c r="B41" s="42" t="s">
        <v>15</v>
      </c>
      <c r="C41" s="67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4">
        <f>COUNTA(Avril!$C41:$AG41)</f>
        <v>0</v>
      </c>
      <c r="AI41" s="45">
        <f>(COUNTIFS(Avril!$C41:$AG41,("cp")))/2+Mars!AI41</f>
        <v>7.5</v>
      </c>
      <c r="AJ41" s="45">
        <f>COUNTIFS(Avril!$C41:$AG41,"RTT")/2+Mars!AJ41</f>
        <v>0</v>
      </c>
      <c r="AK41" s="45">
        <f>COUNTIFS(Avril!$C41:$AG41,"m")/2+Mars!AK41</f>
        <v>0</v>
      </c>
      <c r="AL41" s="45">
        <f>COUNTIFS(Avril!$C41:$AG41,"a")/2+Mars!AL41</f>
        <v>0</v>
      </c>
      <c r="AM41" s="46"/>
      <c r="AN41" s="47"/>
      <c r="AO41" s="47"/>
      <c r="AP41" s="46"/>
      <c r="AQ41" s="47"/>
      <c r="AR41" s="47"/>
      <c r="AS41" s="47"/>
    </row>
    <row r="42" spans="1:45" s="63" customFormat="1" ht="12.95" customHeight="1" x14ac:dyDescent="0.25">
      <c r="A42" s="48">
        <v>41821</v>
      </c>
      <c r="B42" s="42" t="s">
        <v>16</v>
      </c>
      <c r="C42" s="67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3"/>
      <c r="AE42" s="43"/>
      <c r="AF42" s="43"/>
      <c r="AG42" s="43"/>
      <c r="AH42" s="44">
        <f>COUNTA(Avril!$C42:$AG42)</f>
        <v>0</v>
      </c>
      <c r="AI42" s="45">
        <f>(COUNTIFS(Avril!$C42:$AG42,("cp")))/2+Mars!AI42</f>
        <v>7.5</v>
      </c>
      <c r="AJ42" s="45">
        <f>COUNTIFS(Avril!$C42:$AG42,"RTT")/2+Mars!AJ42</f>
        <v>0</v>
      </c>
      <c r="AK42" s="45">
        <f>COUNTIFS(Avril!$C42:$AG42,"m")/2+Mars!AK42</f>
        <v>0</v>
      </c>
      <c r="AL42" s="45">
        <f>COUNTIFS(Avril!$C42:$AG42,"a")/2+Mars!AL42</f>
        <v>0</v>
      </c>
      <c r="AM42" s="46"/>
      <c r="AN42" s="47"/>
      <c r="AO42" s="47"/>
      <c r="AP42" s="46"/>
      <c r="AQ42" s="47"/>
      <c r="AR42" s="47"/>
      <c r="AS42" s="101"/>
    </row>
    <row r="43" spans="1:45" s="63" customFormat="1" ht="12.95" customHeight="1" x14ac:dyDescent="0.25">
      <c r="A43" s="41"/>
      <c r="B43" s="42"/>
      <c r="C43" s="49" t="str">
        <f t="shared" ref="C43:AG43" si="13">IF(C41&gt;0,C41,IF(C42&gt;0,C42,""))</f>
        <v/>
      </c>
      <c r="D43" s="49" t="str">
        <f t="shared" si="13"/>
        <v/>
      </c>
      <c r="E43" s="49" t="str">
        <f t="shared" si="13"/>
        <v/>
      </c>
      <c r="F43" s="49" t="str">
        <f t="shared" si="13"/>
        <v/>
      </c>
      <c r="G43" s="49" t="str">
        <f t="shared" si="13"/>
        <v/>
      </c>
      <c r="H43" s="49" t="str">
        <f t="shared" si="13"/>
        <v/>
      </c>
      <c r="I43" s="49" t="str">
        <f t="shared" si="13"/>
        <v/>
      </c>
      <c r="J43" s="49" t="str">
        <f t="shared" si="13"/>
        <v/>
      </c>
      <c r="K43" s="49" t="str">
        <f t="shared" si="13"/>
        <v/>
      </c>
      <c r="L43" s="49" t="str">
        <f t="shared" si="13"/>
        <v/>
      </c>
      <c r="M43" s="49" t="str">
        <f t="shared" si="13"/>
        <v/>
      </c>
      <c r="N43" s="49" t="str">
        <f t="shared" si="13"/>
        <v/>
      </c>
      <c r="O43" s="49" t="str">
        <f t="shared" si="13"/>
        <v/>
      </c>
      <c r="P43" s="49" t="str">
        <f t="shared" si="13"/>
        <v/>
      </c>
      <c r="Q43" s="49" t="str">
        <f t="shared" si="13"/>
        <v/>
      </c>
      <c r="R43" s="49" t="str">
        <f t="shared" si="13"/>
        <v/>
      </c>
      <c r="S43" s="49" t="str">
        <f t="shared" si="13"/>
        <v/>
      </c>
      <c r="T43" s="49" t="str">
        <f t="shared" si="13"/>
        <v/>
      </c>
      <c r="U43" s="49" t="str">
        <f t="shared" si="13"/>
        <v/>
      </c>
      <c r="V43" s="49" t="str">
        <f t="shared" si="13"/>
        <v/>
      </c>
      <c r="W43" s="49" t="str">
        <f t="shared" si="13"/>
        <v/>
      </c>
      <c r="X43" s="49" t="str">
        <f t="shared" si="13"/>
        <v/>
      </c>
      <c r="Y43" s="49" t="str">
        <f t="shared" si="13"/>
        <v/>
      </c>
      <c r="Z43" s="49" t="str">
        <f t="shared" si="13"/>
        <v/>
      </c>
      <c r="AA43" s="49" t="str">
        <f t="shared" si="13"/>
        <v/>
      </c>
      <c r="AB43" s="49" t="str">
        <f t="shared" si="13"/>
        <v/>
      </c>
      <c r="AC43" s="49" t="str">
        <f t="shared" si="13"/>
        <v/>
      </c>
      <c r="AD43" s="49" t="str">
        <f t="shared" si="13"/>
        <v/>
      </c>
      <c r="AE43" s="49" t="str">
        <f t="shared" si="13"/>
        <v/>
      </c>
      <c r="AF43" s="49" t="str">
        <f t="shared" si="13"/>
        <v/>
      </c>
      <c r="AG43" s="49" t="str">
        <f t="shared" si="13"/>
        <v/>
      </c>
      <c r="AH43" s="44">
        <f>SUM(AH41:AH42)</f>
        <v>0</v>
      </c>
      <c r="AI43" s="45">
        <f>SUM(AI41:AI42)</f>
        <v>15</v>
      </c>
      <c r="AJ43" s="45">
        <f>SUM(AJ41:AJ42)</f>
        <v>0</v>
      </c>
      <c r="AK43" s="45">
        <f>SUM(AK41:AK42)</f>
        <v>0</v>
      </c>
      <c r="AL43" s="45">
        <f>SUM(AL41:AL42)</f>
        <v>0</v>
      </c>
      <c r="AM43" s="50">
        <f>Juin!AM43</f>
        <v>20.38</v>
      </c>
      <c r="AN43" s="51">
        <f>IF(A42="","",IF(A42&gt;NomMois,0,IF(A42&lt;$A$3,2.08,(NETWORKDAYS(A42,$A$2)/21.66667)*2.08)))</f>
        <v>2.08</v>
      </c>
      <c r="AO43" s="51">
        <f>IF( AN43="",0,+AN43+Mars!AO43)</f>
        <v>22.879999999999995</v>
      </c>
      <c r="AP43" s="50">
        <f>IF(A42="","",IF(A42&gt;NomMois,0,IF(A42&lt;$A$3,1.5,(NETWORKDAYS(A42,$A$2)/21.66667)*1.5)))+Mars!AP43</f>
        <v>6</v>
      </c>
      <c r="AQ43" s="45">
        <f>+AM43-AI43</f>
        <v>5.379999999999999</v>
      </c>
      <c r="AR43" s="45">
        <f>+IF(AP43="","",AP43-AJ43)</f>
        <v>6</v>
      </c>
      <c r="AS43" s="102">
        <f t="shared" si="10"/>
        <v>28.259999999999994</v>
      </c>
    </row>
    <row r="44" spans="1:45" s="63" customFormat="1" ht="6.75" customHeight="1" x14ac:dyDescent="0.25">
      <c r="A44" s="60"/>
      <c r="B44" s="53"/>
      <c r="C44" s="60"/>
      <c r="D44" s="60"/>
      <c r="E44" s="60"/>
      <c r="F44" s="60"/>
      <c r="G44" s="60"/>
      <c r="H44" s="60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61"/>
      <c r="AI44" s="61"/>
      <c r="AJ44" s="61"/>
      <c r="AK44" s="61"/>
      <c r="AL44" s="61"/>
      <c r="AM44" s="60"/>
      <c r="AN44" s="61"/>
      <c r="AO44" s="61"/>
      <c r="AP44" s="60"/>
      <c r="AQ44" s="69"/>
      <c r="AR44" s="69"/>
      <c r="AS44" s="65"/>
    </row>
    <row r="45" spans="1:45" s="63" customFormat="1" ht="12.95" customHeight="1" x14ac:dyDescent="0.25">
      <c r="A45" s="41"/>
      <c r="B45" s="42" t="s">
        <v>15</v>
      </c>
      <c r="C45" s="67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4">
        <f>COUNTA(Avril!$C45:$AG45)</f>
        <v>0</v>
      </c>
      <c r="AI45" s="45">
        <f>(COUNTIFS(Avril!$C45:$AG45,("cp")))/2+Mars!AI45</f>
        <v>5.5</v>
      </c>
      <c r="AJ45" s="45">
        <f>COUNTIFS(Avril!$C45:$AG45,"RTT")/2+Mars!AJ45</f>
        <v>0</v>
      </c>
      <c r="AK45" s="45">
        <f>COUNTIFS(Avril!$C45:$AG45,"m")/2+Mars!AK45</f>
        <v>0</v>
      </c>
      <c r="AL45" s="45">
        <f>COUNTIFS(Avril!$C45:$AG45,"a")/2+Mars!AL45</f>
        <v>0</v>
      </c>
      <c r="AM45" s="46"/>
      <c r="AN45" s="47"/>
      <c r="AO45" s="47"/>
      <c r="AP45" s="46"/>
      <c r="AQ45" s="47"/>
      <c r="AR45" s="47"/>
      <c r="AS45" s="47"/>
    </row>
    <row r="46" spans="1:45" s="63" customFormat="1" ht="12.95" customHeight="1" x14ac:dyDescent="0.25">
      <c r="A46" s="48">
        <v>40575</v>
      </c>
      <c r="B46" s="42" t="s">
        <v>16</v>
      </c>
      <c r="C46" s="67"/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3"/>
      <c r="AC46" s="43"/>
      <c r="AD46" s="43"/>
      <c r="AE46" s="43"/>
      <c r="AF46" s="43"/>
      <c r="AG46" s="43"/>
      <c r="AH46" s="44">
        <f>COUNTA(Avril!$C46:$AG46)</f>
        <v>0</v>
      </c>
      <c r="AI46" s="45">
        <f>(COUNTIFS(Avril!$C46:$AG46,("cp")))/2+Mars!AI46</f>
        <v>6</v>
      </c>
      <c r="AJ46" s="45">
        <f>COUNTIFS(Avril!$C46:$AG46,"RTT")/2+Mars!AJ46</f>
        <v>0</v>
      </c>
      <c r="AK46" s="45">
        <f>COUNTIFS(Avril!$C46:$AG46,"m")/2+Mars!AK46</f>
        <v>0</v>
      </c>
      <c r="AL46" s="45">
        <f>COUNTIFS(Avril!$C46:$AG46,"a")/2+Mars!AL46</f>
        <v>0</v>
      </c>
      <c r="AM46" s="46"/>
      <c r="AN46" s="47"/>
      <c r="AO46" s="47"/>
      <c r="AP46" s="46"/>
      <c r="AQ46" s="47"/>
      <c r="AR46" s="47"/>
      <c r="AS46" s="101"/>
    </row>
    <row r="47" spans="1:45" s="63" customFormat="1" ht="12.95" customHeight="1" x14ac:dyDescent="0.25">
      <c r="A47" s="41"/>
      <c r="B47" s="42"/>
      <c r="C47" s="49" t="str">
        <f t="shared" ref="C47:AG47" si="14">IF(C45&gt;0,C45,IF(C46&gt;0,C46,""))</f>
        <v/>
      </c>
      <c r="D47" s="49" t="str">
        <f t="shared" si="14"/>
        <v/>
      </c>
      <c r="E47" s="49" t="str">
        <f t="shared" si="14"/>
        <v/>
      </c>
      <c r="F47" s="49" t="str">
        <f t="shared" si="14"/>
        <v/>
      </c>
      <c r="G47" s="49" t="str">
        <f t="shared" si="14"/>
        <v/>
      </c>
      <c r="H47" s="49" t="str">
        <f t="shared" si="14"/>
        <v/>
      </c>
      <c r="I47" s="49" t="str">
        <f t="shared" si="14"/>
        <v/>
      </c>
      <c r="J47" s="49" t="str">
        <f t="shared" si="14"/>
        <v/>
      </c>
      <c r="K47" s="49" t="str">
        <f t="shared" si="14"/>
        <v/>
      </c>
      <c r="L47" s="49" t="str">
        <f t="shared" si="14"/>
        <v/>
      </c>
      <c r="M47" s="49" t="str">
        <f t="shared" si="14"/>
        <v/>
      </c>
      <c r="N47" s="49" t="str">
        <f t="shared" si="14"/>
        <v/>
      </c>
      <c r="O47" s="49" t="str">
        <f t="shared" si="14"/>
        <v/>
      </c>
      <c r="P47" s="49" t="str">
        <f t="shared" si="14"/>
        <v/>
      </c>
      <c r="Q47" s="49" t="str">
        <f t="shared" si="14"/>
        <v/>
      </c>
      <c r="R47" s="49" t="str">
        <f t="shared" si="14"/>
        <v/>
      </c>
      <c r="S47" s="49" t="str">
        <f t="shared" si="14"/>
        <v/>
      </c>
      <c r="T47" s="49" t="str">
        <f t="shared" si="14"/>
        <v/>
      </c>
      <c r="U47" s="49" t="str">
        <f t="shared" si="14"/>
        <v/>
      </c>
      <c r="V47" s="49" t="str">
        <f t="shared" si="14"/>
        <v/>
      </c>
      <c r="W47" s="49" t="str">
        <f t="shared" si="14"/>
        <v/>
      </c>
      <c r="X47" s="49" t="str">
        <f t="shared" si="14"/>
        <v/>
      </c>
      <c r="Y47" s="49" t="str">
        <f t="shared" si="14"/>
        <v/>
      </c>
      <c r="Z47" s="49" t="str">
        <f t="shared" si="14"/>
        <v/>
      </c>
      <c r="AA47" s="49" t="str">
        <f t="shared" si="14"/>
        <v/>
      </c>
      <c r="AB47" s="49" t="str">
        <f t="shared" si="14"/>
        <v/>
      </c>
      <c r="AC47" s="49" t="str">
        <f t="shared" si="14"/>
        <v/>
      </c>
      <c r="AD47" s="49" t="str">
        <f t="shared" si="14"/>
        <v/>
      </c>
      <c r="AE47" s="49" t="str">
        <f t="shared" si="14"/>
        <v/>
      </c>
      <c r="AF47" s="49" t="str">
        <f t="shared" si="14"/>
        <v/>
      </c>
      <c r="AG47" s="49" t="str">
        <f t="shared" si="14"/>
        <v/>
      </c>
      <c r="AH47" s="44">
        <f>SUM(AH45:AH46)</f>
        <v>0</v>
      </c>
      <c r="AI47" s="45">
        <f>SUM(AI45:AI46)</f>
        <v>11.5</v>
      </c>
      <c r="AJ47" s="45">
        <f>SUM(AJ45:AJ46)</f>
        <v>0</v>
      </c>
      <c r="AK47" s="45">
        <f>SUM(AK45:AK46)</f>
        <v>0</v>
      </c>
      <c r="AL47" s="45">
        <f>SUM(AL45:AL46)</f>
        <v>0</v>
      </c>
      <c r="AM47" s="50">
        <f>Juin!AM47</f>
        <v>24.96</v>
      </c>
      <c r="AN47" s="51">
        <f>IF(A46="","",IF(A46&gt;NomMois,0,IF(A46&lt;$A$3,2.08,(NETWORKDAYS(A46,$A$2)/21.66667)*2.08)))</f>
        <v>2.08</v>
      </c>
      <c r="AO47" s="51">
        <f>IF( AN47="",0,+AN47+Mars!AO47)</f>
        <v>22.879999999999995</v>
      </c>
      <c r="AP47" s="50">
        <f>IF(A46="","",IF(A46&gt;NomMois,0,IF(A46&lt;$A$3,1.5,(NETWORKDAYS(A46,$A$2)/21.66667)*1.5)))+Mars!AP47</f>
        <v>6</v>
      </c>
      <c r="AQ47" s="45">
        <f>+AM47-AI47</f>
        <v>13.46</v>
      </c>
      <c r="AR47" s="45">
        <f>+IF(AP47="","",AP47-AJ47)</f>
        <v>6</v>
      </c>
      <c r="AS47" s="102">
        <f t="shared" si="10"/>
        <v>36.339999999999996</v>
      </c>
    </row>
    <row r="48" spans="1:45" s="63" customFormat="1" ht="6.75" customHeight="1" x14ac:dyDescent="0.25">
      <c r="A48" s="60"/>
      <c r="B48" s="53"/>
      <c r="C48" s="60"/>
      <c r="D48" s="60"/>
      <c r="E48" s="60"/>
      <c r="F48" s="60"/>
      <c r="G48" s="60"/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60"/>
      <c r="Z48" s="60"/>
      <c r="AA48" s="60"/>
      <c r="AB48" s="60"/>
      <c r="AC48" s="60"/>
      <c r="AD48" s="60"/>
      <c r="AE48" s="60"/>
      <c r="AF48" s="60"/>
      <c r="AG48" s="60"/>
      <c r="AH48" s="61"/>
      <c r="AI48" s="61"/>
      <c r="AJ48" s="61"/>
      <c r="AK48" s="61"/>
      <c r="AL48" s="61"/>
      <c r="AM48" s="60"/>
      <c r="AN48" s="61"/>
      <c r="AO48" s="61"/>
      <c r="AP48" s="60"/>
      <c r="AQ48" s="69"/>
      <c r="AR48" s="69"/>
      <c r="AS48" s="65"/>
    </row>
    <row r="49" spans="1:45" s="63" customFormat="1" ht="12.95" customHeight="1" x14ac:dyDescent="0.25">
      <c r="A49" s="41"/>
      <c r="B49" s="42" t="s">
        <v>15</v>
      </c>
      <c r="C49" s="67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  <c r="AA49" s="43"/>
      <c r="AB49" s="43"/>
      <c r="AC49" s="43"/>
      <c r="AD49" s="43"/>
      <c r="AE49" s="43"/>
      <c r="AF49" s="43"/>
      <c r="AG49" s="43"/>
      <c r="AH49" s="44">
        <f>COUNTA(Avril!$C49:$AG49)</f>
        <v>0</v>
      </c>
      <c r="AI49" s="45">
        <f>(COUNTIFS(Avril!$C49:$AG49,("cp")))/2+Mars!AI49</f>
        <v>3</v>
      </c>
      <c r="AJ49" s="45">
        <f>COUNTIFS(Avril!$C49:$AG49,"RTT")/2+Mars!AJ49</f>
        <v>0</v>
      </c>
      <c r="AK49" s="45">
        <f>COUNTIFS(Avril!$C49:$AG49,"m")/2+Mars!AK49</f>
        <v>0</v>
      </c>
      <c r="AL49" s="45">
        <f>COUNTIFS(Avril!$C49:$AG49,"a")/2+Mars!AL49</f>
        <v>0</v>
      </c>
      <c r="AM49" s="46"/>
      <c r="AN49" s="47"/>
      <c r="AO49" s="47"/>
      <c r="AP49" s="46"/>
      <c r="AQ49" s="47"/>
      <c r="AR49" s="47"/>
      <c r="AS49" s="47"/>
    </row>
    <row r="50" spans="1:45" s="63" customFormat="1" ht="12.95" customHeight="1" x14ac:dyDescent="0.25">
      <c r="A50" s="48">
        <v>42793</v>
      </c>
      <c r="B50" s="42" t="s">
        <v>16</v>
      </c>
      <c r="C50" s="67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  <c r="AA50" s="43"/>
      <c r="AB50" s="43"/>
      <c r="AC50" s="43"/>
      <c r="AD50" s="43"/>
      <c r="AE50" s="43"/>
      <c r="AF50" s="43"/>
      <c r="AG50" s="43"/>
      <c r="AH50" s="44">
        <f>COUNTA(Avril!$C50:$AG50)</f>
        <v>0</v>
      </c>
      <c r="AI50" s="45">
        <f>(COUNTIFS(Avril!$C50:$AG50,("cp")))/2+Mars!AI50</f>
        <v>3</v>
      </c>
      <c r="AJ50" s="45">
        <f>COUNTIFS(Avril!$C50:$AG50,"RTT")/2+Mars!AJ50</f>
        <v>0</v>
      </c>
      <c r="AK50" s="45">
        <f>COUNTIFS(Avril!$C50:$AG50,"m")/2+Mars!AK50</f>
        <v>0</v>
      </c>
      <c r="AL50" s="45">
        <f>COUNTIFS(Avril!$C50:$AG50,"a")/2+Mars!AL50</f>
        <v>0</v>
      </c>
      <c r="AM50" s="46"/>
      <c r="AN50" s="47"/>
      <c r="AO50" s="47"/>
      <c r="AP50" s="46"/>
      <c r="AQ50" s="47"/>
      <c r="AR50" s="47"/>
      <c r="AS50" s="101"/>
    </row>
    <row r="51" spans="1:45" s="63" customFormat="1" ht="12.95" customHeight="1" x14ac:dyDescent="0.25">
      <c r="A51" s="41"/>
      <c r="B51" s="42"/>
      <c r="C51" s="49" t="str">
        <f t="shared" ref="C51:AG51" si="15">IF(C49&gt;0,C49,IF(C50&gt;0,C50,""))</f>
        <v/>
      </c>
      <c r="D51" s="49" t="str">
        <f t="shared" si="15"/>
        <v/>
      </c>
      <c r="E51" s="49" t="str">
        <f t="shared" si="15"/>
        <v/>
      </c>
      <c r="F51" s="49" t="str">
        <f t="shared" si="15"/>
        <v/>
      </c>
      <c r="G51" s="49" t="str">
        <f t="shared" si="15"/>
        <v/>
      </c>
      <c r="H51" s="49" t="str">
        <f t="shared" si="15"/>
        <v/>
      </c>
      <c r="I51" s="49" t="str">
        <f t="shared" si="15"/>
        <v/>
      </c>
      <c r="J51" s="49" t="str">
        <f t="shared" si="15"/>
        <v/>
      </c>
      <c r="K51" s="49" t="str">
        <f t="shared" si="15"/>
        <v/>
      </c>
      <c r="L51" s="49" t="str">
        <f t="shared" si="15"/>
        <v/>
      </c>
      <c r="M51" s="49" t="str">
        <f t="shared" si="15"/>
        <v/>
      </c>
      <c r="N51" s="49" t="str">
        <f t="shared" si="15"/>
        <v/>
      </c>
      <c r="O51" s="49" t="str">
        <f t="shared" si="15"/>
        <v/>
      </c>
      <c r="P51" s="49" t="str">
        <f t="shared" si="15"/>
        <v/>
      </c>
      <c r="Q51" s="49" t="str">
        <f t="shared" si="15"/>
        <v/>
      </c>
      <c r="R51" s="49" t="str">
        <f t="shared" si="15"/>
        <v/>
      </c>
      <c r="S51" s="49" t="str">
        <f t="shared" si="15"/>
        <v/>
      </c>
      <c r="T51" s="49" t="str">
        <f t="shared" si="15"/>
        <v/>
      </c>
      <c r="U51" s="49" t="str">
        <f t="shared" si="15"/>
        <v/>
      </c>
      <c r="V51" s="49" t="str">
        <f t="shared" si="15"/>
        <v/>
      </c>
      <c r="W51" s="49" t="str">
        <f t="shared" si="15"/>
        <v/>
      </c>
      <c r="X51" s="49" t="str">
        <f t="shared" si="15"/>
        <v/>
      </c>
      <c r="Y51" s="49" t="str">
        <f t="shared" si="15"/>
        <v/>
      </c>
      <c r="Z51" s="49" t="str">
        <f t="shared" si="15"/>
        <v/>
      </c>
      <c r="AA51" s="49" t="str">
        <f t="shared" si="15"/>
        <v/>
      </c>
      <c r="AB51" s="49" t="str">
        <f t="shared" si="15"/>
        <v/>
      </c>
      <c r="AC51" s="49" t="str">
        <f t="shared" si="15"/>
        <v/>
      </c>
      <c r="AD51" s="49" t="str">
        <f t="shared" si="15"/>
        <v/>
      </c>
      <c r="AE51" s="49" t="str">
        <f t="shared" si="15"/>
        <v/>
      </c>
      <c r="AF51" s="49" t="str">
        <f t="shared" si="15"/>
        <v/>
      </c>
      <c r="AG51" s="49" t="str">
        <f t="shared" si="15"/>
        <v/>
      </c>
      <c r="AH51" s="44">
        <f>SUM(AH49:AH50)</f>
        <v>0</v>
      </c>
      <c r="AI51" s="45">
        <f>SUM(AI49:AI50)</f>
        <v>6</v>
      </c>
      <c r="AJ51" s="45">
        <f>SUM(AJ49:AJ50)</f>
        <v>0</v>
      </c>
      <c r="AK51" s="45">
        <f>SUM(AK49:AK50)</f>
        <v>0</v>
      </c>
      <c r="AL51" s="45">
        <f>SUM(AL49:AL50)</f>
        <v>0</v>
      </c>
      <c r="AM51" s="50">
        <f>Juin!AM51</f>
        <v>6.41</v>
      </c>
      <c r="AN51" s="51">
        <f>IF(A50="","",IF(A50&gt;NomMois,0,IF(A50&lt;$A$3,2.08,(NETWORKDAYS(A50,$A$2)/21.66667)*2.08)))</f>
        <v>2.08</v>
      </c>
      <c r="AO51" s="51">
        <f>IF( AN51="",0,+AN51+Mars!AO51)</f>
        <v>22.879999999999995</v>
      </c>
      <c r="AP51" s="50">
        <f>IF(A50="","",IF(A50&gt;NomMois,0,IF(A50&lt;$A$3,1.5,(NETWORKDAYS(A50,$A$2)/21.66667)*1.5)))+Mars!AP51</f>
        <v>6</v>
      </c>
      <c r="AQ51" s="45">
        <f>+AM51-AI51</f>
        <v>0.41000000000000014</v>
      </c>
      <c r="AR51" s="45">
        <f>+IF(AP51="","",AP51-AJ51)</f>
        <v>6</v>
      </c>
      <c r="AS51" s="102">
        <f t="shared" si="10"/>
        <v>23.289999999999996</v>
      </c>
    </row>
    <row r="52" spans="1:45" s="63" customFormat="1" ht="6.75" customHeight="1" x14ac:dyDescent="0.25">
      <c r="A52" s="60"/>
      <c r="B52" s="53"/>
      <c r="C52" s="60"/>
      <c r="D52" s="60"/>
      <c r="E52" s="60"/>
      <c r="F52" s="60"/>
      <c r="G52" s="60"/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0"/>
      <c r="W52" s="60"/>
      <c r="X52" s="60"/>
      <c r="Y52" s="60"/>
      <c r="Z52" s="60"/>
      <c r="AA52" s="60"/>
      <c r="AB52" s="60"/>
      <c r="AC52" s="60"/>
      <c r="AD52" s="60"/>
      <c r="AE52" s="60"/>
      <c r="AF52" s="60"/>
      <c r="AG52" s="60"/>
      <c r="AH52" s="61"/>
      <c r="AI52" s="61"/>
      <c r="AJ52" s="61"/>
      <c r="AK52" s="61"/>
      <c r="AL52" s="61"/>
      <c r="AM52" s="60"/>
      <c r="AN52" s="61"/>
      <c r="AO52" s="61"/>
      <c r="AP52" s="60"/>
      <c r="AQ52" s="69"/>
      <c r="AR52" s="69"/>
      <c r="AS52" s="65"/>
    </row>
    <row r="53" spans="1:45" s="63" customFormat="1" ht="12.95" customHeight="1" x14ac:dyDescent="0.25">
      <c r="A53" s="41"/>
      <c r="B53" s="42" t="s">
        <v>15</v>
      </c>
      <c r="C53" s="67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  <c r="AA53" s="43"/>
      <c r="AB53" s="43"/>
      <c r="AC53" s="43"/>
      <c r="AD53" s="43"/>
      <c r="AE53" s="43"/>
      <c r="AF53" s="43"/>
      <c r="AG53" s="43"/>
      <c r="AH53" s="44">
        <f>COUNTA(Avril!$C53:$AG53)</f>
        <v>0</v>
      </c>
      <c r="AI53" s="45">
        <f>(COUNTIFS(Avril!$C53:$AG53,("cp")))/2+Mars!AI53</f>
        <v>9</v>
      </c>
      <c r="AJ53" s="45">
        <f>COUNTIFS(Avril!$C53:$AG53,"RTT")/2+Mars!AJ53</f>
        <v>0</v>
      </c>
      <c r="AK53" s="45">
        <f>COUNTIFS(Avril!$C53:$AG53,"m")/2+Mars!AK53</f>
        <v>0</v>
      </c>
      <c r="AL53" s="45">
        <f>COUNTIFS(Avril!$C53:$AG53,"a")/2+Mars!AL53</f>
        <v>0</v>
      </c>
      <c r="AM53" s="46"/>
      <c r="AN53" s="47"/>
      <c r="AO53" s="47"/>
      <c r="AP53" s="46"/>
      <c r="AQ53" s="47"/>
      <c r="AR53" s="47"/>
      <c r="AS53" s="47"/>
    </row>
    <row r="54" spans="1:45" s="63" customFormat="1" ht="12.95" customHeight="1" x14ac:dyDescent="0.25">
      <c r="A54" s="48">
        <v>42660</v>
      </c>
      <c r="B54" s="42" t="s">
        <v>16</v>
      </c>
      <c r="C54" s="67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  <c r="AA54" s="43"/>
      <c r="AB54" s="43"/>
      <c r="AC54" s="43"/>
      <c r="AD54" s="43"/>
      <c r="AE54" s="43"/>
      <c r="AF54" s="43"/>
      <c r="AG54" s="43"/>
      <c r="AH54" s="44">
        <f>COUNTA(Avril!$C54:$AG54)</f>
        <v>0</v>
      </c>
      <c r="AI54" s="45">
        <f>(COUNTIFS(Avril!$C54:$AG54,("cp")))/2+Mars!AI54</f>
        <v>9</v>
      </c>
      <c r="AJ54" s="45">
        <f>COUNTIFS(Avril!$C54:$AG54,"RTT")/2+Mars!AJ54</f>
        <v>0</v>
      </c>
      <c r="AK54" s="45">
        <f>COUNTIFS(Avril!$C54:$AG54,"m")/2+Mars!AK54</f>
        <v>0</v>
      </c>
      <c r="AL54" s="45">
        <f>COUNTIFS(Avril!$C54:$AG54,"a")/2+Mars!AL54</f>
        <v>0</v>
      </c>
      <c r="AM54" s="46"/>
      <c r="AN54" s="47"/>
      <c r="AO54" s="47"/>
      <c r="AP54" s="46"/>
      <c r="AQ54" s="47"/>
      <c r="AR54" s="47"/>
      <c r="AS54" s="101"/>
    </row>
    <row r="55" spans="1:45" s="63" customFormat="1" ht="12.95" customHeight="1" x14ac:dyDescent="0.25">
      <c r="A55" s="41"/>
      <c r="B55" s="42"/>
      <c r="C55" s="49" t="str">
        <f t="shared" ref="C55:AG55" si="16">IF(C53&gt;0,C53,IF(C54&gt;0,C54,""))</f>
        <v/>
      </c>
      <c r="D55" s="49" t="str">
        <f t="shared" si="16"/>
        <v/>
      </c>
      <c r="E55" s="49" t="str">
        <f t="shared" si="16"/>
        <v/>
      </c>
      <c r="F55" s="49" t="str">
        <f t="shared" si="16"/>
        <v/>
      </c>
      <c r="G55" s="49" t="str">
        <f t="shared" si="16"/>
        <v/>
      </c>
      <c r="H55" s="49" t="str">
        <f t="shared" si="16"/>
        <v/>
      </c>
      <c r="I55" s="49" t="str">
        <f t="shared" si="16"/>
        <v/>
      </c>
      <c r="J55" s="49" t="str">
        <f t="shared" si="16"/>
        <v/>
      </c>
      <c r="K55" s="49" t="str">
        <f t="shared" si="16"/>
        <v/>
      </c>
      <c r="L55" s="49" t="str">
        <f t="shared" si="16"/>
        <v/>
      </c>
      <c r="M55" s="49" t="str">
        <f t="shared" si="16"/>
        <v/>
      </c>
      <c r="N55" s="49" t="str">
        <f t="shared" si="16"/>
        <v/>
      </c>
      <c r="O55" s="49" t="str">
        <f t="shared" si="16"/>
        <v/>
      </c>
      <c r="P55" s="49" t="str">
        <f t="shared" si="16"/>
        <v/>
      </c>
      <c r="Q55" s="49" t="str">
        <f t="shared" si="16"/>
        <v/>
      </c>
      <c r="R55" s="49" t="str">
        <f t="shared" si="16"/>
        <v/>
      </c>
      <c r="S55" s="49" t="str">
        <f t="shared" si="16"/>
        <v/>
      </c>
      <c r="T55" s="49" t="str">
        <f t="shared" si="16"/>
        <v/>
      </c>
      <c r="U55" s="49" t="str">
        <f t="shared" si="16"/>
        <v/>
      </c>
      <c r="V55" s="49" t="str">
        <f t="shared" si="16"/>
        <v/>
      </c>
      <c r="W55" s="49" t="str">
        <f t="shared" si="16"/>
        <v/>
      </c>
      <c r="X55" s="49" t="str">
        <f t="shared" si="16"/>
        <v/>
      </c>
      <c r="Y55" s="49" t="str">
        <f t="shared" si="16"/>
        <v/>
      </c>
      <c r="Z55" s="49" t="str">
        <f t="shared" si="16"/>
        <v/>
      </c>
      <c r="AA55" s="49" t="str">
        <f t="shared" si="16"/>
        <v/>
      </c>
      <c r="AB55" s="49" t="str">
        <f t="shared" si="16"/>
        <v/>
      </c>
      <c r="AC55" s="49" t="str">
        <f t="shared" si="16"/>
        <v/>
      </c>
      <c r="AD55" s="49" t="str">
        <f t="shared" si="16"/>
        <v/>
      </c>
      <c r="AE55" s="49" t="str">
        <f t="shared" si="16"/>
        <v/>
      </c>
      <c r="AF55" s="49" t="str">
        <f t="shared" si="16"/>
        <v/>
      </c>
      <c r="AG55" s="49" t="str">
        <f t="shared" si="16"/>
        <v/>
      </c>
      <c r="AH55" s="44">
        <f>SUM(AH53:AH54)</f>
        <v>0</v>
      </c>
      <c r="AI55" s="45">
        <f>SUM(AI53:AI54)</f>
        <v>18</v>
      </c>
      <c r="AJ55" s="45">
        <f>SUM(AJ53:AJ54)</f>
        <v>0</v>
      </c>
      <c r="AK55" s="45">
        <f>SUM(AK53:AK54)</f>
        <v>0</v>
      </c>
      <c r="AL55" s="45">
        <f>SUM(AL53:AL54)</f>
        <v>0</v>
      </c>
      <c r="AM55" s="50">
        <f>Juin!AM55</f>
        <v>15.68</v>
      </c>
      <c r="AN55" s="51">
        <f>IF(A54="","",IF(A54&gt;NomMois,0,IF(A54&lt;$A$3,2.08,(NETWORKDAYS(A54,$A$2)/21.66667)*2.08)))</f>
        <v>2.08</v>
      </c>
      <c r="AO55" s="51">
        <f>IF( AN55="",0,+AN55+Mars!AO55)</f>
        <v>22.879999999999995</v>
      </c>
      <c r="AP55" s="50">
        <f>IF(A54="","",IF(A54&gt;NomMois,0,IF(A54&lt;$A$3,1.5,(NETWORKDAYS(A54,$A$2)/21.66667)*1.5)))+Mars!AP55</f>
        <v>6</v>
      </c>
      <c r="AQ55" s="45">
        <f>+AM55-AI55</f>
        <v>-2.3200000000000003</v>
      </c>
      <c r="AR55" s="45">
        <f>+IF(AP55="","",AP55-AJ55)</f>
        <v>6</v>
      </c>
      <c r="AS55" s="102">
        <f t="shared" si="10"/>
        <v>20.559999999999995</v>
      </c>
    </row>
    <row r="56" spans="1:45" s="63" customFormat="1" ht="6.75" customHeight="1" x14ac:dyDescent="0.25">
      <c r="A56" s="60"/>
      <c r="B56" s="53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60"/>
      <c r="X56" s="60"/>
      <c r="Y56" s="60"/>
      <c r="Z56" s="60"/>
      <c r="AA56" s="60"/>
      <c r="AB56" s="60"/>
      <c r="AC56" s="60"/>
      <c r="AD56" s="60"/>
      <c r="AE56" s="60"/>
      <c r="AF56" s="60"/>
      <c r="AG56" s="60"/>
      <c r="AH56" s="61"/>
      <c r="AI56" s="61"/>
      <c r="AJ56" s="61"/>
      <c r="AK56" s="61"/>
      <c r="AL56" s="61"/>
      <c r="AM56" s="60"/>
      <c r="AN56" s="61"/>
      <c r="AO56" s="61"/>
      <c r="AP56" s="60"/>
      <c r="AQ56" s="69"/>
      <c r="AR56" s="69"/>
      <c r="AS56" s="65"/>
    </row>
    <row r="57" spans="1:45" s="63" customFormat="1" ht="12.95" customHeight="1" x14ac:dyDescent="0.25">
      <c r="A57" s="41"/>
      <c r="B57" s="42" t="s">
        <v>15</v>
      </c>
      <c r="C57" s="67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3"/>
      <c r="AB57" s="43"/>
      <c r="AC57" s="43"/>
      <c r="AD57" s="43"/>
      <c r="AE57" s="43"/>
      <c r="AF57" s="43"/>
      <c r="AG57" s="43"/>
      <c r="AH57" s="44">
        <f>COUNTA(Avril!$C57:$AG57)</f>
        <v>0</v>
      </c>
      <c r="AI57" s="45">
        <f>(COUNTIFS(Avril!$C57:$AG57,("cp")))/2+Mars!AI57</f>
        <v>0</v>
      </c>
      <c r="AJ57" s="45">
        <f>COUNTIFS(Avril!$C57:$AG57,"RTT")/2+Mars!AJ57</f>
        <v>0</v>
      </c>
      <c r="AK57" s="45">
        <f>COUNTIFS(Avril!$C57:$AG57,"m")/2+Mars!AK57</f>
        <v>0</v>
      </c>
      <c r="AL57" s="45">
        <f>COUNTIFS(Avril!$C57:$AG57,"a")/2+Mars!AL57</f>
        <v>0</v>
      </c>
      <c r="AM57" s="46"/>
      <c r="AN57" s="47"/>
      <c r="AO57" s="47"/>
      <c r="AP57" s="46"/>
      <c r="AQ57" s="47"/>
      <c r="AR57" s="47"/>
      <c r="AS57" s="47"/>
    </row>
    <row r="58" spans="1:45" s="63" customFormat="1" ht="12.95" customHeight="1" x14ac:dyDescent="0.25">
      <c r="A58" s="48">
        <v>42975</v>
      </c>
      <c r="B58" s="42" t="s">
        <v>16</v>
      </c>
      <c r="C58" s="67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3"/>
      <c r="AB58" s="43"/>
      <c r="AC58" s="43"/>
      <c r="AD58" s="43"/>
      <c r="AE58" s="43"/>
      <c r="AF58" s="43"/>
      <c r="AG58" s="43"/>
      <c r="AH58" s="44">
        <f>COUNTA(Avril!$C58:$AG58)</f>
        <v>0</v>
      </c>
      <c r="AI58" s="45">
        <f>(COUNTIFS(Avril!$C58:$AG58,("cp")))/2+Mars!AI58</f>
        <v>0</v>
      </c>
      <c r="AJ58" s="45">
        <f>COUNTIFS(Avril!$C58:$AG58,"RTT")/2+Mars!AJ58</f>
        <v>0</v>
      </c>
      <c r="AK58" s="45">
        <f>COUNTIFS(Avril!$C58:$AG58,"m")/2+Mars!AK58</f>
        <v>0</v>
      </c>
      <c r="AL58" s="45">
        <f>COUNTIFS(Avril!$C58:$AG58,"a")/2+Mars!AL58</f>
        <v>0</v>
      </c>
      <c r="AM58" s="46"/>
      <c r="AN58" s="47"/>
      <c r="AO58" s="47"/>
      <c r="AP58" s="46"/>
      <c r="AQ58" s="47"/>
      <c r="AR58" s="47"/>
      <c r="AS58" s="101"/>
    </row>
    <row r="59" spans="1:45" s="63" customFormat="1" ht="12.95" customHeight="1" x14ac:dyDescent="0.25">
      <c r="A59" s="41"/>
      <c r="B59" s="42"/>
      <c r="C59" s="49" t="str">
        <f t="shared" ref="C59:AG59" si="17">IF(C57&gt;0,C57,IF(C58&gt;0,C58,""))</f>
        <v/>
      </c>
      <c r="D59" s="49" t="str">
        <f t="shared" si="17"/>
        <v/>
      </c>
      <c r="E59" s="49" t="str">
        <f t="shared" si="17"/>
        <v/>
      </c>
      <c r="F59" s="49" t="str">
        <f t="shared" si="17"/>
        <v/>
      </c>
      <c r="G59" s="49" t="str">
        <f t="shared" si="17"/>
        <v/>
      </c>
      <c r="H59" s="49" t="str">
        <f t="shared" si="17"/>
        <v/>
      </c>
      <c r="I59" s="49" t="str">
        <f t="shared" si="17"/>
        <v/>
      </c>
      <c r="J59" s="49" t="str">
        <f t="shared" si="17"/>
        <v/>
      </c>
      <c r="K59" s="49" t="str">
        <f t="shared" si="17"/>
        <v/>
      </c>
      <c r="L59" s="49" t="str">
        <f t="shared" si="17"/>
        <v/>
      </c>
      <c r="M59" s="49" t="str">
        <f t="shared" si="17"/>
        <v/>
      </c>
      <c r="N59" s="49" t="str">
        <f t="shared" si="17"/>
        <v/>
      </c>
      <c r="O59" s="49" t="str">
        <f t="shared" si="17"/>
        <v/>
      </c>
      <c r="P59" s="49" t="str">
        <f t="shared" si="17"/>
        <v/>
      </c>
      <c r="Q59" s="49" t="str">
        <f t="shared" si="17"/>
        <v/>
      </c>
      <c r="R59" s="49" t="str">
        <f t="shared" si="17"/>
        <v/>
      </c>
      <c r="S59" s="49" t="str">
        <f t="shared" si="17"/>
        <v/>
      </c>
      <c r="T59" s="49" t="str">
        <f t="shared" si="17"/>
        <v/>
      </c>
      <c r="U59" s="49" t="str">
        <f t="shared" si="17"/>
        <v/>
      </c>
      <c r="V59" s="49" t="str">
        <f t="shared" si="17"/>
        <v/>
      </c>
      <c r="W59" s="49" t="str">
        <f t="shared" si="17"/>
        <v/>
      </c>
      <c r="X59" s="49" t="str">
        <f t="shared" si="17"/>
        <v/>
      </c>
      <c r="Y59" s="49" t="str">
        <f t="shared" si="17"/>
        <v/>
      </c>
      <c r="Z59" s="49" t="str">
        <f t="shared" si="17"/>
        <v/>
      </c>
      <c r="AA59" s="49" t="str">
        <f t="shared" si="17"/>
        <v/>
      </c>
      <c r="AB59" s="49" t="str">
        <f t="shared" si="17"/>
        <v/>
      </c>
      <c r="AC59" s="49" t="str">
        <f t="shared" si="17"/>
        <v/>
      </c>
      <c r="AD59" s="49" t="str">
        <f t="shared" si="17"/>
        <v/>
      </c>
      <c r="AE59" s="49" t="str">
        <f t="shared" si="17"/>
        <v/>
      </c>
      <c r="AF59" s="49" t="str">
        <f t="shared" si="17"/>
        <v/>
      </c>
      <c r="AG59" s="49" t="str">
        <f t="shared" si="17"/>
        <v/>
      </c>
      <c r="AH59" s="44">
        <f>SUM(AH57:AH58)</f>
        <v>0</v>
      </c>
      <c r="AI59" s="45">
        <f>SUM(AI57:AI58)</f>
        <v>0</v>
      </c>
      <c r="AJ59" s="45">
        <f>SUM(AJ57:AJ58)</f>
        <v>0</v>
      </c>
      <c r="AK59" s="45">
        <f>SUM(AK57:AK58)</f>
        <v>0</v>
      </c>
      <c r="AL59" s="45">
        <f>SUM(AL57:AL58)</f>
        <v>0</v>
      </c>
      <c r="AM59" s="50">
        <v>0</v>
      </c>
      <c r="AN59" s="51">
        <f>IF(A58="","",IF(A58&gt;NomMois,0,IF(A58&lt;$A$3,2.08,(NETWORKDAYS(A58,$A$2)/21.66667)*2.08)))</f>
        <v>2.08</v>
      </c>
      <c r="AO59" s="51">
        <f>IF( AN59="",0,+AN59+Mars!AO59)</f>
        <v>17.023999940923087</v>
      </c>
      <c r="AP59" s="50">
        <f>IF(A58="","",IF(A58&gt;NomMois,0,IF(A58&lt;$A$3,1.5,(NETWORKDAYS(A58,$A$2)/21.66667)*1.5)))+Mars!AP59</f>
        <v>6</v>
      </c>
      <c r="AQ59" s="45">
        <f>+AM59-AI59</f>
        <v>0</v>
      </c>
      <c r="AR59" s="45">
        <f>+IF(AP59="","",AP59-AJ59)</f>
        <v>6</v>
      </c>
      <c r="AS59" s="102">
        <f t="shared" si="10"/>
        <v>17.023999940923087</v>
      </c>
    </row>
    <row r="60" spans="1:45" s="63" customFormat="1" ht="6.75" customHeight="1" x14ac:dyDescent="0.25">
      <c r="A60" s="60"/>
      <c r="B60" s="42"/>
      <c r="C60" s="64"/>
      <c r="D60" s="64"/>
      <c r="E60" s="64"/>
      <c r="F60" s="64"/>
      <c r="G60" s="64"/>
      <c r="H60" s="64"/>
      <c r="I60" s="64"/>
      <c r="J60" s="64"/>
      <c r="K60" s="64"/>
      <c r="L60" s="64"/>
      <c r="M60" s="64"/>
      <c r="N60" s="64"/>
      <c r="O60" s="64"/>
      <c r="P60" s="64"/>
      <c r="Q60" s="64"/>
      <c r="R60" s="64"/>
      <c r="S60" s="64"/>
      <c r="T60" s="64"/>
      <c r="U60" s="64"/>
      <c r="V60" s="64"/>
      <c r="W60" s="64"/>
      <c r="X60" s="64"/>
      <c r="Y60" s="64"/>
      <c r="Z60" s="64"/>
      <c r="AA60" s="64"/>
      <c r="AB60" s="64"/>
      <c r="AC60" s="64"/>
      <c r="AD60" s="64"/>
      <c r="AE60" s="64"/>
      <c r="AF60" s="64"/>
      <c r="AG60" s="64"/>
      <c r="AH60" s="65"/>
      <c r="AI60" s="65"/>
      <c r="AJ60" s="65"/>
      <c r="AK60" s="65"/>
      <c r="AL60" s="65"/>
      <c r="AM60" s="64"/>
      <c r="AN60" s="65"/>
      <c r="AO60" s="65"/>
      <c r="AP60" s="64"/>
      <c r="AQ60" s="69"/>
      <c r="AR60" s="69"/>
      <c r="AS60" s="65"/>
    </row>
    <row r="61" spans="1:45" s="63" customFormat="1" ht="12.95" customHeight="1" x14ac:dyDescent="0.25">
      <c r="A61" s="41"/>
      <c r="B61" s="42" t="s">
        <v>15</v>
      </c>
      <c r="C61" s="67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  <c r="AA61" s="43"/>
      <c r="AB61" s="43"/>
      <c r="AC61" s="43"/>
      <c r="AD61" s="43"/>
      <c r="AE61" s="43"/>
      <c r="AF61" s="43"/>
      <c r="AG61" s="43"/>
      <c r="AH61" s="44">
        <f>COUNTA(Avril!$C61:$AG61)</f>
        <v>0</v>
      </c>
      <c r="AI61" s="45">
        <f>(COUNTIFS(Avril!$C61:$AG61,("cp")))/2+Mars!AI61</f>
        <v>10</v>
      </c>
      <c r="AJ61" s="45">
        <f>COUNTIFS(Avril!$C61:$AG61,"RTT")/2+Mars!AJ61</f>
        <v>0</v>
      </c>
      <c r="AK61" s="45">
        <f>COUNTIFS(Avril!$C61:$AG61,"m")/2+Mars!AK61</f>
        <v>0</v>
      </c>
      <c r="AL61" s="45">
        <f>COUNTIFS(Avril!$C61:$AG61,"a")/2+Mars!AL61</f>
        <v>0</v>
      </c>
      <c r="AM61" s="46"/>
      <c r="AN61" s="47"/>
      <c r="AO61" s="47"/>
      <c r="AP61" s="46"/>
      <c r="AQ61" s="47"/>
      <c r="AR61" s="47"/>
      <c r="AS61" s="47"/>
    </row>
    <row r="62" spans="1:45" s="63" customFormat="1" ht="12.95" customHeight="1" x14ac:dyDescent="0.25">
      <c r="A62" s="48">
        <v>42646</v>
      </c>
      <c r="B62" s="42" t="s">
        <v>16</v>
      </c>
      <c r="C62" s="67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  <c r="AA62" s="43"/>
      <c r="AB62" s="43"/>
      <c r="AC62" s="43"/>
      <c r="AD62" s="43"/>
      <c r="AE62" s="43"/>
      <c r="AF62" s="43"/>
      <c r="AG62" s="43"/>
      <c r="AH62" s="44">
        <f>COUNTA(Avril!$C62:$AG62)</f>
        <v>0</v>
      </c>
      <c r="AI62" s="45">
        <f>(COUNTIFS(Avril!$C62:$AG62,("cp")))/2+Mars!AI62</f>
        <v>10</v>
      </c>
      <c r="AJ62" s="45">
        <f>COUNTIFS(Avril!$C62:$AG62,"RTT")/2+Mars!AJ62</f>
        <v>0</v>
      </c>
      <c r="AK62" s="45">
        <f>COUNTIFS(Avril!$C62:$AG62,"m")/2+Mars!AK62</f>
        <v>0</v>
      </c>
      <c r="AL62" s="45">
        <f>COUNTIFS(Avril!$C62:$AG62,"a")/2+Mars!AL62</f>
        <v>0</v>
      </c>
      <c r="AM62" s="46"/>
      <c r="AN62" s="47"/>
      <c r="AO62" s="47"/>
      <c r="AP62" s="46"/>
      <c r="AQ62" s="47"/>
      <c r="AR62" s="47"/>
      <c r="AS62" s="101"/>
    </row>
    <row r="63" spans="1:45" s="63" customFormat="1" ht="12.95" customHeight="1" x14ac:dyDescent="0.25">
      <c r="A63" s="41"/>
      <c r="B63" s="42"/>
      <c r="C63" s="49" t="str">
        <f t="shared" ref="C63:AG63" si="18">IF(C61&gt;0,C61,IF(C62&gt;0,C62,""))</f>
        <v/>
      </c>
      <c r="D63" s="49" t="str">
        <f t="shared" si="18"/>
        <v/>
      </c>
      <c r="E63" s="49" t="str">
        <f t="shared" si="18"/>
        <v/>
      </c>
      <c r="F63" s="49" t="str">
        <f t="shared" si="18"/>
        <v/>
      </c>
      <c r="G63" s="49" t="str">
        <f t="shared" si="18"/>
        <v/>
      </c>
      <c r="H63" s="49" t="str">
        <f t="shared" si="18"/>
        <v/>
      </c>
      <c r="I63" s="49" t="str">
        <f t="shared" si="18"/>
        <v/>
      </c>
      <c r="J63" s="49" t="str">
        <f t="shared" si="18"/>
        <v/>
      </c>
      <c r="K63" s="49" t="str">
        <f t="shared" si="18"/>
        <v/>
      </c>
      <c r="L63" s="49" t="str">
        <f t="shared" si="18"/>
        <v/>
      </c>
      <c r="M63" s="49" t="str">
        <f t="shared" si="18"/>
        <v/>
      </c>
      <c r="N63" s="49" t="str">
        <f t="shared" si="18"/>
        <v/>
      </c>
      <c r="O63" s="49" t="str">
        <f t="shared" si="18"/>
        <v/>
      </c>
      <c r="P63" s="49" t="str">
        <f t="shared" si="18"/>
        <v/>
      </c>
      <c r="Q63" s="49" t="str">
        <f t="shared" si="18"/>
        <v/>
      </c>
      <c r="R63" s="49" t="str">
        <f t="shared" si="18"/>
        <v/>
      </c>
      <c r="S63" s="49" t="str">
        <f t="shared" si="18"/>
        <v/>
      </c>
      <c r="T63" s="49" t="str">
        <f t="shared" si="18"/>
        <v/>
      </c>
      <c r="U63" s="49" t="str">
        <f t="shared" si="18"/>
        <v/>
      </c>
      <c r="V63" s="49" t="str">
        <f t="shared" si="18"/>
        <v/>
      </c>
      <c r="W63" s="49" t="str">
        <f t="shared" si="18"/>
        <v/>
      </c>
      <c r="X63" s="49" t="str">
        <f t="shared" si="18"/>
        <v/>
      </c>
      <c r="Y63" s="49" t="str">
        <f t="shared" si="18"/>
        <v/>
      </c>
      <c r="Z63" s="49" t="str">
        <f t="shared" si="18"/>
        <v/>
      </c>
      <c r="AA63" s="49" t="str">
        <f t="shared" si="18"/>
        <v/>
      </c>
      <c r="AB63" s="49" t="str">
        <f t="shared" si="18"/>
        <v/>
      </c>
      <c r="AC63" s="49" t="str">
        <f t="shared" si="18"/>
        <v/>
      </c>
      <c r="AD63" s="49" t="str">
        <f t="shared" si="18"/>
        <v/>
      </c>
      <c r="AE63" s="49" t="str">
        <f t="shared" si="18"/>
        <v/>
      </c>
      <c r="AF63" s="49" t="str">
        <f t="shared" si="18"/>
        <v/>
      </c>
      <c r="AG63" s="113" t="str">
        <f t="shared" si="18"/>
        <v/>
      </c>
      <c r="AH63" s="44">
        <f>SUM(AH61:AH62)</f>
        <v>0</v>
      </c>
      <c r="AI63" s="45">
        <f>SUM(AI61:AI62)</f>
        <v>20</v>
      </c>
      <c r="AJ63" s="45">
        <f>SUM(AJ61:AJ62)</f>
        <v>0</v>
      </c>
      <c r="AK63" s="45">
        <f>SUM(AK61:AK62)</f>
        <v>0</v>
      </c>
      <c r="AL63" s="45">
        <f>SUM(AL61:AL62)</f>
        <v>0</v>
      </c>
      <c r="AM63" s="50">
        <f>Juin!AM63</f>
        <v>16.64</v>
      </c>
      <c r="AN63" s="51">
        <f>IF(A62="","",IF(A62&gt;NomMois,0,IF(A62&lt;$A$3,2.08,(NETWORKDAYS(A62,$A$2)/21.66667)*2.08)))</f>
        <v>2.08</v>
      </c>
      <c r="AO63" s="51">
        <f>IF( AN63="",0,+AN63+Mars!AO63)</f>
        <v>22.879999999999995</v>
      </c>
      <c r="AP63" s="50">
        <f>IF(A62="","",IF(A62&gt;NomMois,0,IF(A62&lt;$A$3,1.5,(NETWORKDAYS(A62,$A$2)/21.66667)*1.5)))+Mars!AP63</f>
        <v>6</v>
      </c>
      <c r="AQ63" s="45">
        <f>+AM63-AI63</f>
        <v>-3.3599999999999994</v>
      </c>
      <c r="AR63" s="45">
        <f>+IF(AP63="","",AP63-AJ63)</f>
        <v>6</v>
      </c>
      <c r="AS63" s="102">
        <f t="shared" si="10"/>
        <v>19.519999999999996</v>
      </c>
    </row>
    <row r="64" spans="1:45" s="63" customFormat="1" ht="6.75" customHeight="1" x14ac:dyDescent="0.25">
      <c r="A64" s="60"/>
      <c r="B64" s="53"/>
      <c r="C64" s="60"/>
      <c r="D64" s="60"/>
      <c r="E64" s="60"/>
      <c r="F64" s="60"/>
      <c r="G64" s="60"/>
      <c r="H64" s="60"/>
      <c r="I64" s="60"/>
      <c r="J64" s="60"/>
      <c r="K64" s="60"/>
      <c r="L64" s="60"/>
      <c r="M64" s="60"/>
      <c r="N64" s="60"/>
      <c r="O64" s="60"/>
      <c r="P64" s="60"/>
      <c r="Q64" s="60"/>
      <c r="R64" s="60"/>
      <c r="S64" s="60"/>
      <c r="T64" s="60"/>
      <c r="U64" s="60"/>
      <c r="V64" s="60"/>
      <c r="W64" s="60"/>
      <c r="X64" s="60"/>
      <c r="Y64" s="60"/>
      <c r="Z64" s="60"/>
      <c r="AA64" s="60"/>
      <c r="AB64" s="60"/>
      <c r="AC64" s="60"/>
      <c r="AD64" s="60"/>
      <c r="AE64" s="60"/>
      <c r="AF64" s="60"/>
      <c r="AG64" s="60"/>
      <c r="AH64" s="61">
        <v>0</v>
      </c>
      <c r="AI64" s="61">
        <v>0</v>
      </c>
      <c r="AJ64" s="61">
        <v>0</v>
      </c>
      <c r="AK64" s="61">
        <v>0</v>
      </c>
      <c r="AL64" s="61">
        <v>0</v>
      </c>
      <c r="AM64" s="60"/>
      <c r="AN64" s="61"/>
      <c r="AO64" s="61"/>
      <c r="AP64" s="60"/>
      <c r="AQ64" s="69"/>
      <c r="AR64" s="69"/>
      <c r="AS64" s="65"/>
    </row>
    <row r="65" spans="1:45" s="63" customFormat="1" ht="12.95" customHeight="1" x14ac:dyDescent="0.25">
      <c r="A65" s="41"/>
      <c r="B65" s="42" t="s">
        <v>15</v>
      </c>
      <c r="C65" s="67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  <c r="W65" s="43"/>
      <c r="X65" s="43"/>
      <c r="Y65" s="43"/>
      <c r="Z65" s="43"/>
      <c r="AA65" s="43"/>
      <c r="AB65" s="43"/>
      <c r="AC65" s="43"/>
      <c r="AD65" s="43"/>
      <c r="AE65" s="43"/>
      <c r="AF65" s="43"/>
      <c r="AG65" s="43"/>
      <c r="AH65" s="44">
        <f>COUNTA(Avril!$C65:$AG65)</f>
        <v>0</v>
      </c>
      <c r="AI65" s="45">
        <f>(COUNTIFS(Avril!$C65:$AG65,("cp")))/2+Mars!AI65</f>
        <v>8</v>
      </c>
      <c r="AJ65" s="45">
        <f>COUNTIFS(Avril!$C65:$AG65,"RTT")/2+Mars!AJ65</f>
        <v>0</v>
      </c>
      <c r="AK65" s="45">
        <f>COUNTIFS(Avril!$C65:$AG65,"m")/2+Mars!AK65</f>
        <v>0</v>
      </c>
      <c r="AL65" s="45">
        <f>COUNTIFS(Avril!$C65:$AG65,"a")/2+Mars!AL65</f>
        <v>0</v>
      </c>
      <c r="AM65" s="46"/>
      <c r="AN65" s="47"/>
      <c r="AO65" s="47"/>
      <c r="AP65" s="46"/>
      <c r="AQ65" s="47"/>
      <c r="AR65" s="47"/>
      <c r="AS65" s="47"/>
    </row>
    <row r="66" spans="1:45" s="63" customFormat="1" ht="12.95" customHeight="1" x14ac:dyDescent="0.25">
      <c r="A66" s="48">
        <v>42410</v>
      </c>
      <c r="B66" s="42" t="s">
        <v>16</v>
      </c>
      <c r="C66" s="67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3"/>
      <c r="T66" s="43"/>
      <c r="U66" s="43"/>
      <c r="V66" s="43"/>
      <c r="W66" s="43"/>
      <c r="X66" s="43"/>
      <c r="Y66" s="43"/>
      <c r="Z66" s="43"/>
      <c r="AA66" s="43"/>
      <c r="AB66" s="43"/>
      <c r="AC66" s="43"/>
      <c r="AD66" s="43"/>
      <c r="AE66" s="43"/>
      <c r="AF66" s="43"/>
      <c r="AG66" s="43"/>
      <c r="AH66" s="44">
        <f>COUNTA(Avril!$C66:$AG66)</f>
        <v>0</v>
      </c>
      <c r="AI66" s="45">
        <f>(COUNTIFS(Avril!$C66:$AG66,("cp")))/2+Mars!AI66</f>
        <v>8</v>
      </c>
      <c r="AJ66" s="45">
        <f>COUNTIFS(Avril!$C66:$AG66,"RTT")/2+Mars!AJ66</f>
        <v>0</v>
      </c>
      <c r="AK66" s="45">
        <f>COUNTIFS(Avril!$C66:$AG66,"m")/2+Mars!AK66</f>
        <v>0</v>
      </c>
      <c r="AL66" s="45">
        <f>COUNTIFS(Avril!$C66:$AG66,"a")/2+Mars!AL66</f>
        <v>0</v>
      </c>
      <c r="AM66" s="46"/>
      <c r="AN66" s="47"/>
      <c r="AO66" s="47"/>
      <c r="AP66" s="46"/>
      <c r="AQ66" s="47"/>
      <c r="AR66" s="47"/>
      <c r="AS66" s="101"/>
    </row>
    <row r="67" spans="1:45" s="63" customFormat="1" ht="12.95" customHeight="1" x14ac:dyDescent="0.25">
      <c r="A67" s="41"/>
      <c r="B67" s="42"/>
      <c r="C67" s="49" t="str">
        <f t="shared" ref="C67:AG67" si="19">IF(C65&gt;0,C65,IF(C66&gt;0,C66,""))</f>
        <v/>
      </c>
      <c r="D67" s="49" t="str">
        <f t="shared" si="19"/>
        <v/>
      </c>
      <c r="E67" s="49" t="str">
        <f t="shared" si="19"/>
        <v/>
      </c>
      <c r="F67" s="49" t="str">
        <f t="shared" si="19"/>
        <v/>
      </c>
      <c r="G67" s="49" t="str">
        <f t="shared" si="19"/>
        <v/>
      </c>
      <c r="H67" s="49" t="str">
        <f t="shared" si="19"/>
        <v/>
      </c>
      <c r="I67" s="49" t="str">
        <f t="shared" si="19"/>
        <v/>
      </c>
      <c r="J67" s="49" t="str">
        <f t="shared" si="19"/>
        <v/>
      </c>
      <c r="K67" s="49" t="str">
        <f t="shared" si="19"/>
        <v/>
      </c>
      <c r="L67" s="49" t="str">
        <f t="shared" si="19"/>
        <v/>
      </c>
      <c r="M67" s="49" t="str">
        <f t="shared" si="19"/>
        <v/>
      </c>
      <c r="N67" s="49" t="str">
        <f t="shared" si="19"/>
        <v/>
      </c>
      <c r="O67" s="49" t="str">
        <f t="shared" si="19"/>
        <v/>
      </c>
      <c r="P67" s="49" t="str">
        <f t="shared" si="19"/>
        <v/>
      </c>
      <c r="Q67" s="49" t="str">
        <f t="shared" si="19"/>
        <v/>
      </c>
      <c r="R67" s="49" t="str">
        <f t="shared" si="19"/>
        <v/>
      </c>
      <c r="S67" s="49" t="str">
        <f t="shared" si="19"/>
        <v/>
      </c>
      <c r="T67" s="49" t="str">
        <f t="shared" si="19"/>
        <v/>
      </c>
      <c r="U67" s="49" t="str">
        <f t="shared" si="19"/>
        <v/>
      </c>
      <c r="V67" s="49" t="str">
        <f t="shared" si="19"/>
        <v/>
      </c>
      <c r="W67" s="49" t="str">
        <f t="shared" si="19"/>
        <v/>
      </c>
      <c r="X67" s="49" t="str">
        <f t="shared" si="19"/>
        <v/>
      </c>
      <c r="Y67" s="49" t="str">
        <f t="shared" si="19"/>
        <v/>
      </c>
      <c r="Z67" s="49" t="str">
        <f t="shared" si="19"/>
        <v/>
      </c>
      <c r="AA67" s="49" t="str">
        <f t="shared" si="19"/>
        <v/>
      </c>
      <c r="AB67" s="49" t="str">
        <f t="shared" si="19"/>
        <v/>
      </c>
      <c r="AC67" s="49" t="str">
        <f t="shared" si="19"/>
        <v/>
      </c>
      <c r="AD67" s="49" t="str">
        <f t="shared" si="19"/>
        <v/>
      </c>
      <c r="AE67" s="49" t="str">
        <f t="shared" si="19"/>
        <v/>
      </c>
      <c r="AF67" s="49" t="str">
        <f t="shared" si="19"/>
        <v/>
      </c>
      <c r="AG67" s="49" t="str">
        <f t="shared" si="19"/>
        <v/>
      </c>
      <c r="AH67" s="44">
        <f>SUM(AH65:AH66)</f>
        <v>0</v>
      </c>
      <c r="AI67" s="45">
        <f>SUM(AI65:AI66)</f>
        <v>16</v>
      </c>
      <c r="AJ67" s="45">
        <f>SUM(AJ65:AJ66)</f>
        <v>0</v>
      </c>
      <c r="AK67" s="45">
        <f>SUM(AK65:AK66)</f>
        <v>0</v>
      </c>
      <c r="AL67" s="45">
        <f>SUM(AL65:AL66)</f>
        <v>0</v>
      </c>
      <c r="AM67" s="50">
        <f>Juin!AM67</f>
        <v>22.46</v>
      </c>
      <c r="AN67" s="51">
        <f>IF(A66="","",IF(A66&gt;NomMois,0,IF(A66&lt;$A$3,2.08,(NETWORKDAYS(A66,$A$2)/21.66667)*2.08)))</f>
        <v>2.08</v>
      </c>
      <c r="AO67" s="51">
        <f>IF( AN67="",0,+AN67+Mars!AO67)</f>
        <v>22.879999999999995</v>
      </c>
      <c r="AP67" s="50">
        <f>IF(A66="","",IF(A66&gt;NomMois,0,IF(A66&lt;$A$3,1.5,(NETWORKDAYS(A66,$A$2)/21.66667)*1.5)))+Mars!AP67</f>
        <v>6</v>
      </c>
      <c r="AQ67" s="45">
        <f>+AM67-AI67</f>
        <v>6.4600000000000009</v>
      </c>
      <c r="AR67" s="45">
        <f>+IF(AP67="","",AP67-AJ67)</f>
        <v>6</v>
      </c>
      <c r="AS67" s="102">
        <f t="shared" si="10"/>
        <v>29.339999999999996</v>
      </c>
    </row>
    <row r="68" spans="1:45" s="63" customFormat="1" ht="6.75" customHeight="1" x14ac:dyDescent="0.25">
      <c r="A68" s="64"/>
      <c r="B68" s="42"/>
      <c r="C68" s="64"/>
      <c r="D68" s="64"/>
      <c r="E68" s="64"/>
      <c r="F68" s="64"/>
      <c r="G68" s="64"/>
      <c r="H68" s="64"/>
      <c r="I68" s="64"/>
      <c r="J68" s="64"/>
      <c r="K68" s="64"/>
      <c r="L68" s="64"/>
      <c r="M68" s="64"/>
      <c r="N68" s="64"/>
      <c r="O68" s="64"/>
      <c r="P68" s="64"/>
      <c r="Q68" s="64"/>
      <c r="R68" s="64"/>
      <c r="S68" s="64"/>
      <c r="T68" s="64"/>
      <c r="U68" s="64"/>
      <c r="V68" s="64"/>
      <c r="W68" s="64"/>
      <c r="X68" s="64"/>
      <c r="Y68" s="64"/>
      <c r="Z68" s="64"/>
      <c r="AA68" s="64"/>
      <c r="AB68" s="64"/>
      <c r="AC68" s="64"/>
      <c r="AD68" s="64"/>
      <c r="AE68" s="64"/>
      <c r="AF68" s="64"/>
      <c r="AG68" s="64"/>
      <c r="AH68" s="65"/>
      <c r="AI68" s="65"/>
      <c r="AJ68" s="65"/>
      <c r="AK68" s="65"/>
      <c r="AL68" s="65"/>
      <c r="AM68" s="64"/>
      <c r="AN68" s="65"/>
      <c r="AO68" s="65"/>
      <c r="AP68" s="64"/>
      <c r="AQ68" s="69"/>
      <c r="AR68" s="69"/>
      <c r="AS68" s="65"/>
    </row>
    <row r="69" spans="1:45" s="63" customFormat="1" ht="12.95" customHeight="1" x14ac:dyDescent="0.25">
      <c r="A69" s="41"/>
      <c r="B69" s="42" t="s">
        <v>15</v>
      </c>
      <c r="C69" s="67"/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43"/>
      <c r="AA69" s="43"/>
      <c r="AB69" s="43"/>
      <c r="AC69" s="43"/>
      <c r="AD69" s="43"/>
      <c r="AE69" s="43"/>
      <c r="AF69" s="43"/>
      <c r="AG69" s="43"/>
      <c r="AH69" s="44">
        <f>COUNTA(Avril!$C69:$AG69)</f>
        <v>0</v>
      </c>
      <c r="AI69" s="45">
        <f>(COUNTIFS(Avril!$C69:$AG69,("cp")))/2+Mars!AI69</f>
        <v>14</v>
      </c>
      <c r="AJ69" s="45">
        <f>COUNTIFS(Avril!$C69:$AG69,"RTT")/2+Mars!AJ69</f>
        <v>0</v>
      </c>
      <c r="AK69" s="45">
        <f>COUNTIFS(Avril!$C69:$AG69,"m")/2+Mars!AK69</f>
        <v>0</v>
      </c>
      <c r="AL69" s="45">
        <f>COUNTIFS(Avril!$C69:$AG69,"a")/2+Mars!AL69</f>
        <v>2</v>
      </c>
      <c r="AM69" s="46"/>
      <c r="AN69" s="47"/>
      <c r="AO69" s="47"/>
      <c r="AP69" s="46"/>
      <c r="AQ69" s="47"/>
      <c r="AR69" s="47"/>
      <c r="AS69" s="47"/>
    </row>
    <row r="70" spans="1:45" s="63" customFormat="1" ht="12.95" customHeight="1" x14ac:dyDescent="0.25">
      <c r="A70" s="48">
        <v>41701</v>
      </c>
      <c r="B70" s="42" t="s">
        <v>16</v>
      </c>
      <c r="C70" s="67"/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  <c r="S70" s="43"/>
      <c r="T70" s="43"/>
      <c r="U70" s="43"/>
      <c r="V70" s="43"/>
      <c r="W70" s="43"/>
      <c r="X70" s="43"/>
      <c r="Y70" s="43"/>
      <c r="Z70" s="43"/>
      <c r="AA70" s="43"/>
      <c r="AB70" s="43"/>
      <c r="AC70" s="43"/>
      <c r="AD70" s="43"/>
      <c r="AE70" s="43"/>
      <c r="AF70" s="43"/>
      <c r="AG70" s="43"/>
      <c r="AH70" s="44">
        <f>COUNTA(Avril!$C70:$AG70)</f>
        <v>0</v>
      </c>
      <c r="AI70" s="45">
        <f>(COUNTIFS(Avril!$C70:$AG70,("cp")))/2+Mars!AI70</f>
        <v>14</v>
      </c>
      <c r="AJ70" s="45">
        <f>COUNTIFS(Avril!$C70:$AG70,"RTT")/2+Mars!AJ70</f>
        <v>0</v>
      </c>
      <c r="AK70" s="45">
        <f>COUNTIFS(Avril!$C70:$AG70,"m")/2+Mars!AK70</f>
        <v>0</v>
      </c>
      <c r="AL70" s="45">
        <f>COUNTIFS(Avril!$C70:$AG70,"a")/2+Mars!AL70</f>
        <v>2</v>
      </c>
      <c r="AM70" s="46"/>
      <c r="AN70" s="47"/>
      <c r="AO70" s="47"/>
      <c r="AP70" s="46"/>
      <c r="AQ70" s="47"/>
      <c r="AR70" s="47"/>
      <c r="AS70" s="101"/>
    </row>
    <row r="71" spans="1:45" s="63" customFormat="1" ht="12.95" customHeight="1" x14ac:dyDescent="0.25">
      <c r="A71" s="41"/>
      <c r="B71" s="42"/>
      <c r="C71" s="49" t="str">
        <f t="shared" ref="C71:AG71" si="20">IF(C69&gt;0,C69,IF(C70&gt;0,C70,""))</f>
        <v/>
      </c>
      <c r="D71" s="49" t="str">
        <f t="shared" si="20"/>
        <v/>
      </c>
      <c r="E71" s="49" t="str">
        <f t="shared" si="20"/>
        <v/>
      </c>
      <c r="F71" s="49" t="str">
        <f t="shared" si="20"/>
        <v/>
      </c>
      <c r="G71" s="49" t="str">
        <f t="shared" si="20"/>
        <v/>
      </c>
      <c r="H71" s="49" t="str">
        <f t="shared" si="20"/>
        <v/>
      </c>
      <c r="I71" s="49" t="str">
        <f t="shared" si="20"/>
        <v/>
      </c>
      <c r="J71" s="49" t="str">
        <f t="shared" si="20"/>
        <v/>
      </c>
      <c r="K71" s="49" t="str">
        <f t="shared" si="20"/>
        <v/>
      </c>
      <c r="L71" s="49" t="str">
        <f t="shared" si="20"/>
        <v/>
      </c>
      <c r="M71" s="49" t="str">
        <f t="shared" si="20"/>
        <v/>
      </c>
      <c r="N71" s="49" t="str">
        <f t="shared" si="20"/>
        <v/>
      </c>
      <c r="O71" s="49" t="str">
        <f t="shared" si="20"/>
        <v/>
      </c>
      <c r="P71" s="49" t="str">
        <f t="shared" si="20"/>
        <v/>
      </c>
      <c r="Q71" s="49" t="str">
        <f t="shared" si="20"/>
        <v/>
      </c>
      <c r="R71" s="49" t="str">
        <f t="shared" si="20"/>
        <v/>
      </c>
      <c r="S71" s="49" t="str">
        <f t="shared" si="20"/>
        <v/>
      </c>
      <c r="T71" s="49" t="str">
        <f t="shared" si="20"/>
        <v/>
      </c>
      <c r="U71" s="49" t="str">
        <f t="shared" si="20"/>
        <v/>
      </c>
      <c r="V71" s="49" t="str">
        <f t="shared" si="20"/>
        <v/>
      </c>
      <c r="W71" s="49" t="str">
        <f t="shared" si="20"/>
        <v/>
      </c>
      <c r="X71" s="49" t="str">
        <f t="shared" si="20"/>
        <v/>
      </c>
      <c r="Y71" s="49" t="str">
        <f t="shared" si="20"/>
        <v/>
      </c>
      <c r="Z71" s="49" t="str">
        <f t="shared" si="20"/>
        <v/>
      </c>
      <c r="AA71" s="49" t="str">
        <f t="shared" si="20"/>
        <v/>
      </c>
      <c r="AB71" s="49" t="str">
        <f t="shared" si="20"/>
        <v/>
      </c>
      <c r="AC71" s="49" t="str">
        <f t="shared" si="20"/>
        <v/>
      </c>
      <c r="AD71" s="49" t="str">
        <f t="shared" si="20"/>
        <v/>
      </c>
      <c r="AE71" s="49" t="str">
        <f t="shared" si="20"/>
        <v/>
      </c>
      <c r="AF71" s="49" t="str">
        <f t="shared" si="20"/>
        <v/>
      </c>
      <c r="AG71" s="49" t="str">
        <f t="shared" si="20"/>
        <v/>
      </c>
      <c r="AH71" s="44">
        <f>SUM(AH69:AH70)</f>
        <v>0</v>
      </c>
      <c r="AI71" s="45">
        <f>SUM(AI69:AI70)</f>
        <v>28</v>
      </c>
      <c r="AJ71" s="45">
        <f>SUM(AJ69:AJ70)</f>
        <v>0</v>
      </c>
      <c r="AK71" s="45">
        <f>SUM(AK69:AK70)</f>
        <v>0</v>
      </c>
      <c r="AL71" s="45">
        <f>SUM(AL69:AL70)</f>
        <v>4</v>
      </c>
      <c r="AM71" s="50">
        <f>Juin!AM71</f>
        <v>45.34</v>
      </c>
      <c r="AN71" s="51">
        <f>IF(A70="","",IF(A70&gt;NomMois,0,IF(A70&lt;$A$3,2.08,(NETWORKDAYS(A70,$A$2)/21.66667)*2.08)))</f>
        <v>2.08</v>
      </c>
      <c r="AO71" s="51">
        <f>IF( AN71="",0,+AN71+Mars!AO71)</f>
        <v>22.879999999999995</v>
      </c>
      <c r="AP71" s="50">
        <f>IF(A70="","",IF(A70&gt;NomMois,0,IF(A70&lt;$A$3,1.5,(NETWORKDAYS(A70,$A$2)/21.66667)*1.5)))+Mars!AP71</f>
        <v>6</v>
      </c>
      <c r="AQ71" s="45">
        <f>+AM71-AI71</f>
        <v>17.340000000000003</v>
      </c>
      <c r="AR71" s="45">
        <f>+IF(AP71="","",AP71-AJ71)</f>
        <v>6</v>
      </c>
      <c r="AS71" s="102">
        <f t="shared" si="10"/>
        <v>40.22</v>
      </c>
    </row>
    <row r="72" spans="1:45" s="63" customFormat="1" ht="6.75" customHeight="1" x14ac:dyDescent="0.25">
      <c r="A72" s="60"/>
      <c r="B72" s="53"/>
      <c r="C72" s="60"/>
      <c r="D72" s="60"/>
      <c r="E72" s="60"/>
      <c r="F72" s="60"/>
      <c r="G72" s="60"/>
      <c r="H72" s="60"/>
      <c r="I72" s="60"/>
      <c r="J72" s="60"/>
      <c r="K72" s="60"/>
      <c r="L72" s="60"/>
      <c r="M72" s="60"/>
      <c r="N72" s="60"/>
      <c r="O72" s="60"/>
      <c r="P72" s="60"/>
      <c r="Q72" s="60"/>
      <c r="R72" s="60"/>
      <c r="S72" s="60"/>
      <c r="T72" s="60"/>
      <c r="U72" s="60"/>
      <c r="V72" s="60"/>
      <c r="W72" s="60"/>
      <c r="X72" s="60"/>
      <c r="Y72" s="60"/>
      <c r="Z72" s="60"/>
      <c r="AA72" s="60"/>
      <c r="AB72" s="60"/>
      <c r="AC72" s="60"/>
      <c r="AD72" s="60"/>
      <c r="AE72" s="60"/>
      <c r="AF72" s="60"/>
      <c r="AG72" s="60"/>
      <c r="AH72" s="61"/>
      <c r="AI72" s="61"/>
      <c r="AJ72" s="61"/>
      <c r="AK72" s="61"/>
      <c r="AL72" s="61"/>
      <c r="AM72" s="60"/>
      <c r="AN72" s="61"/>
      <c r="AO72" s="61"/>
      <c r="AP72" s="60"/>
      <c r="AQ72" s="69"/>
      <c r="AR72" s="69"/>
      <c r="AS72" s="65"/>
    </row>
    <row r="73" spans="1:45" s="63" customFormat="1" ht="12.95" customHeight="1" x14ac:dyDescent="0.25">
      <c r="A73" s="41"/>
      <c r="B73" s="42" t="s">
        <v>15</v>
      </c>
      <c r="C73" s="67"/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43"/>
      <c r="AH73" s="44">
        <f>COUNTA(Avril!$C73:$AG73)</f>
        <v>0</v>
      </c>
      <c r="AI73" s="45">
        <f>(COUNTIFS(Avril!$C73:$AG73,("cp")))/2+Mars!AI73</f>
        <v>0</v>
      </c>
      <c r="AJ73" s="45">
        <f>COUNTIFS(Avril!$C73:$AG73,"RTT")/2+Mars!AJ73</f>
        <v>0</v>
      </c>
      <c r="AK73" s="45">
        <f>COUNTIFS(Avril!$C73:$AG73,"m")/2+Mars!AK73</f>
        <v>0</v>
      </c>
      <c r="AL73" s="45">
        <f>COUNTIFS(Avril!$C73:$AG73,"a")/2+Mars!AL73</f>
        <v>0</v>
      </c>
      <c r="AM73" s="46"/>
      <c r="AN73" s="47"/>
      <c r="AO73" s="47"/>
      <c r="AP73" s="46"/>
      <c r="AQ73" s="47"/>
      <c r="AR73" s="47"/>
      <c r="AS73" s="47"/>
    </row>
    <row r="74" spans="1:45" s="63" customFormat="1" ht="12.95" customHeight="1" x14ac:dyDescent="0.25">
      <c r="A74" s="48">
        <v>42979</v>
      </c>
      <c r="B74" s="42" t="s">
        <v>16</v>
      </c>
      <c r="C74" s="67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43"/>
      <c r="AH74" s="44">
        <f>COUNTA(Avril!$C74:$AG74)</f>
        <v>0</v>
      </c>
      <c r="AI74" s="45">
        <f>(COUNTIFS(Avril!$C74:$AG74,("cp")))/2+Mars!AI74</f>
        <v>0</v>
      </c>
      <c r="AJ74" s="45">
        <f>COUNTIFS(Avril!$C74:$AG74,"RTT")/2+Mars!AJ74</f>
        <v>0</v>
      </c>
      <c r="AK74" s="45">
        <f>COUNTIFS(Avril!$C74:$AG74,"m")/2+Mars!AK74</f>
        <v>0</v>
      </c>
      <c r="AL74" s="45">
        <f>COUNTIFS(Avril!$C74:$AG74,"a")/2+Mars!AL74</f>
        <v>0</v>
      </c>
      <c r="AM74" s="46"/>
      <c r="AN74" s="47"/>
      <c r="AO74" s="47"/>
      <c r="AP74" s="46"/>
      <c r="AQ74" s="47"/>
      <c r="AR74" s="47"/>
      <c r="AS74" s="101"/>
    </row>
    <row r="75" spans="1:45" s="63" customFormat="1" ht="12.95" customHeight="1" x14ac:dyDescent="0.25">
      <c r="A75" s="41"/>
      <c r="B75" s="42"/>
      <c r="C75" s="49" t="str">
        <f t="shared" ref="C75:AG75" si="21">IF(C73&gt;0,C73,IF(C74&gt;0,C74,""))</f>
        <v/>
      </c>
      <c r="D75" s="49" t="str">
        <f t="shared" si="21"/>
        <v/>
      </c>
      <c r="E75" s="49" t="str">
        <f t="shared" si="21"/>
        <v/>
      </c>
      <c r="F75" s="49" t="str">
        <f t="shared" si="21"/>
        <v/>
      </c>
      <c r="G75" s="49" t="str">
        <f t="shared" si="21"/>
        <v/>
      </c>
      <c r="H75" s="49" t="str">
        <f t="shared" si="21"/>
        <v/>
      </c>
      <c r="I75" s="49" t="str">
        <f t="shared" si="21"/>
        <v/>
      </c>
      <c r="J75" s="49" t="str">
        <f t="shared" si="21"/>
        <v/>
      </c>
      <c r="K75" s="49" t="str">
        <f t="shared" si="21"/>
        <v/>
      </c>
      <c r="L75" s="49" t="str">
        <f t="shared" si="21"/>
        <v/>
      </c>
      <c r="M75" s="49" t="str">
        <f t="shared" si="21"/>
        <v/>
      </c>
      <c r="N75" s="49" t="str">
        <f t="shared" si="21"/>
        <v/>
      </c>
      <c r="O75" s="49" t="str">
        <f t="shared" si="21"/>
        <v/>
      </c>
      <c r="P75" s="49" t="str">
        <f t="shared" si="21"/>
        <v/>
      </c>
      <c r="Q75" s="49" t="str">
        <f t="shared" si="21"/>
        <v/>
      </c>
      <c r="R75" s="49" t="str">
        <f t="shared" si="21"/>
        <v/>
      </c>
      <c r="S75" s="49" t="str">
        <f t="shared" si="21"/>
        <v/>
      </c>
      <c r="T75" s="49" t="str">
        <f t="shared" si="21"/>
        <v/>
      </c>
      <c r="U75" s="49" t="str">
        <f t="shared" si="21"/>
        <v/>
      </c>
      <c r="V75" s="49" t="str">
        <f t="shared" si="21"/>
        <v/>
      </c>
      <c r="W75" s="49" t="str">
        <f t="shared" si="21"/>
        <v/>
      </c>
      <c r="X75" s="49" t="str">
        <f t="shared" si="21"/>
        <v/>
      </c>
      <c r="Y75" s="49" t="str">
        <f t="shared" si="21"/>
        <v/>
      </c>
      <c r="Z75" s="49" t="str">
        <f t="shared" si="21"/>
        <v/>
      </c>
      <c r="AA75" s="49" t="str">
        <f t="shared" si="21"/>
        <v/>
      </c>
      <c r="AB75" s="49" t="str">
        <f t="shared" si="21"/>
        <v/>
      </c>
      <c r="AC75" s="49" t="str">
        <f t="shared" si="21"/>
        <v/>
      </c>
      <c r="AD75" s="49" t="str">
        <f t="shared" si="21"/>
        <v/>
      </c>
      <c r="AE75" s="49" t="str">
        <f t="shared" si="21"/>
        <v/>
      </c>
      <c r="AF75" s="49" t="str">
        <f t="shared" si="21"/>
        <v/>
      </c>
      <c r="AG75" s="49" t="str">
        <f t="shared" si="21"/>
        <v/>
      </c>
      <c r="AH75" s="44">
        <f>SUM(AH73:AH74)</f>
        <v>0</v>
      </c>
      <c r="AI75" s="45">
        <f>SUM(AI73:AI74)</f>
        <v>0</v>
      </c>
      <c r="AJ75" s="45">
        <f>SUM(AJ73:AJ74)</f>
        <v>0</v>
      </c>
      <c r="AK75" s="45">
        <f>SUM(AK73:AK74)</f>
        <v>0</v>
      </c>
      <c r="AL75" s="45">
        <f>SUM(AL73:AL74)</f>
        <v>0</v>
      </c>
      <c r="AM75" s="50">
        <f>Juin!AM75</f>
        <v>0</v>
      </c>
      <c r="AN75" s="51">
        <f>IF(A74="","",IF(A74&gt;NomMois,0,IF(A74&lt;$A$3,2.08,(NETWORKDAYS(A74,$A$2)/21.66667)*2.08)))</f>
        <v>2.08</v>
      </c>
      <c r="AO75" s="51">
        <f>IF( AN75="",0,+AN75+Mars!AO75)</f>
        <v>16.575999689846203</v>
      </c>
      <c r="AP75" s="50">
        <f>IF(A74="","",IF(A74&gt;NomMois,0,IF(A74&lt;$A$3,1.5,(NETWORKDAYS(A74,$A$2)/21.66667)*1.5)))+Mars!AP75</f>
        <v>6</v>
      </c>
      <c r="AQ75" s="45">
        <f>+AM75-AI75</f>
        <v>0</v>
      </c>
      <c r="AR75" s="45">
        <f>+IF(AP75="","",AP75-AJ75)</f>
        <v>6</v>
      </c>
      <c r="AS75" s="102">
        <f t="shared" si="10"/>
        <v>16.575999689846203</v>
      </c>
    </row>
    <row r="76" spans="1:45" s="63" customFormat="1" ht="6.75" customHeight="1" x14ac:dyDescent="0.25">
      <c r="A76" s="64"/>
      <c r="B76" s="42"/>
      <c r="C76" s="64"/>
      <c r="D76" s="64"/>
      <c r="E76" s="64"/>
      <c r="F76" s="64"/>
      <c r="G76" s="64"/>
      <c r="H76" s="64"/>
      <c r="I76" s="64"/>
      <c r="J76" s="64"/>
      <c r="K76" s="64"/>
      <c r="L76" s="64"/>
      <c r="M76" s="64"/>
      <c r="N76" s="64"/>
      <c r="O76" s="64"/>
      <c r="P76" s="64"/>
      <c r="Q76" s="64"/>
      <c r="R76" s="64"/>
      <c r="S76" s="64"/>
      <c r="T76" s="64"/>
      <c r="U76" s="64"/>
      <c r="V76" s="64"/>
      <c r="W76" s="64"/>
      <c r="X76" s="64"/>
      <c r="Y76" s="64"/>
      <c r="Z76" s="64"/>
      <c r="AA76" s="64"/>
      <c r="AB76" s="64"/>
      <c r="AC76" s="64"/>
      <c r="AD76" s="64"/>
      <c r="AE76" s="64"/>
      <c r="AF76" s="64"/>
      <c r="AG76" s="64"/>
      <c r="AH76" s="65"/>
      <c r="AI76" s="65"/>
      <c r="AJ76" s="65"/>
      <c r="AK76" s="65"/>
      <c r="AL76" s="65"/>
      <c r="AM76" s="64"/>
      <c r="AN76" s="65"/>
      <c r="AO76" s="65"/>
      <c r="AP76" s="64"/>
      <c r="AQ76" s="69"/>
      <c r="AR76" s="69"/>
      <c r="AS76" s="65"/>
    </row>
    <row r="77" spans="1:45" s="63" customFormat="1" ht="12.95" customHeight="1" x14ac:dyDescent="0.25">
      <c r="A77" s="41"/>
      <c r="B77" s="42" t="s">
        <v>15</v>
      </c>
      <c r="C77" s="67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43"/>
      <c r="AH77" s="44">
        <f>COUNTA(Avril!$C77:$AG77)</f>
        <v>0</v>
      </c>
      <c r="AI77" s="45">
        <f>(COUNTIFS(Avril!$C77:$AG77,("cp")))/2+Mars!AI77</f>
        <v>0</v>
      </c>
      <c r="AJ77" s="45">
        <f>COUNTIFS(Avril!$C77:$AG77,"RTT")/2+Mars!AJ77</f>
        <v>0</v>
      </c>
      <c r="AK77" s="45">
        <f>COUNTIFS(Avril!$C77:$AG77,"m")/2+Mars!AK77</f>
        <v>0</v>
      </c>
      <c r="AL77" s="45">
        <f>COUNTIFS(Avril!$C77:$AG77,"a")/2+Mars!AL77</f>
        <v>0</v>
      </c>
      <c r="AM77" s="46"/>
      <c r="AN77" s="47"/>
      <c r="AO77" s="47"/>
      <c r="AP77" s="46"/>
      <c r="AQ77" s="47"/>
      <c r="AR77" s="47"/>
      <c r="AS77" s="47"/>
    </row>
    <row r="78" spans="1:45" s="63" customFormat="1" ht="12.95" customHeight="1" x14ac:dyDescent="0.25">
      <c r="A78" s="48">
        <v>43059</v>
      </c>
      <c r="B78" s="42" t="s">
        <v>16</v>
      </c>
      <c r="C78" s="67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  <c r="AA78" s="43"/>
      <c r="AB78" s="43"/>
      <c r="AC78" s="43"/>
      <c r="AD78" s="43"/>
      <c r="AE78" s="43"/>
      <c r="AF78" s="43"/>
      <c r="AG78" s="43"/>
      <c r="AH78" s="44">
        <f>COUNTA(Avril!$C78:$AG78)</f>
        <v>0</v>
      </c>
      <c r="AI78" s="45">
        <f>(COUNTIFS(Avril!$C78:$AG78,("cp")))/2+Mars!AI78</f>
        <v>0</v>
      </c>
      <c r="AJ78" s="45">
        <f>COUNTIFS(Avril!$C78:$AG78,"RTT")/2+Mars!AJ78</f>
        <v>0</v>
      </c>
      <c r="AK78" s="45">
        <f>COUNTIFS(Avril!$C78:$AG78,"m")/2+Mars!AK78</f>
        <v>0</v>
      </c>
      <c r="AL78" s="45">
        <f>COUNTIFS(Avril!$C78:$AG78,"a")/2+Mars!AL78</f>
        <v>0</v>
      </c>
      <c r="AM78" s="46"/>
      <c r="AN78" s="47"/>
      <c r="AO78" s="47"/>
      <c r="AP78" s="46"/>
      <c r="AQ78" s="47"/>
      <c r="AR78" s="47"/>
      <c r="AS78" s="101"/>
    </row>
    <row r="79" spans="1:45" s="63" customFormat="1" ht="12.95" customHeight="1" x14ac:dyDescent="0.25">
      <c r="A79" s="41"/>
      <c r="B79" s="42"/>
      <c r="C79" s="49" t="str">
        <f t="shared" ref="C79:AG79" si="22">IF(C77&gt;0,C77,IF(C78&gt;0,C78,""))</f>
        <v/>
      </c>
      <c r="D79" s="49" t="str">
        <f t="shared" si="22"/>
        <v/>
      </c>
      <c r="E79" s="49" t="str">
        <f t="shared" si="22"/>
        <v/>
      </c>
      <c r="F79" s="49" t="str">
        <f t="shared" si="22"/>
        <v/>
      </c>
      <c r="G79" s="49" t="str">
        <f t="shared" si="22"/>
        <v/>
      </c>
      <c r="H79" s="49" t="str">
        <f t="shared" si="22"/>
        <v/>
      </c>
      <c r="I79" s="49" t="str">
        <f t="shared" si="22"/>
        <v/>
      </c>
      <c r="J79" s="49" t="str">
        <f t="shared" si="22"/>
        <v/>
      </c>
      <c r="K79" s="49" t="str">
        <f t="shared" si="22"/>
        <v/>
      </c>
      <c r="L79" s="49" t="str">
        <f t="shared" si="22"/>
        <v/>
      </c>
      <c r="M79" s="49" t="str">
        <f t="shared" si="22"/>
        <v/>
      </c>
      <c r="N79" s="49" t="str">
        <f t="shared" si="22"/>
        <v/>
      </c>
      <c r="O79" s="49" t="str">
        <f t="shared" si="22"/>
        <v/>
      </c>
      <c r="P79" s="49" t="str">
        <f t="shared" si="22"/>
        <v/>
      </c>
      <c r="Q79" s="49" t="str">
        <f t="shared" si="22"/>
        <v/>
      </c>
      <c r="R79" s="49" t="str">
        <f t="shared" si="22"/>
        <v/>
      </c>
      <c r="S79" s="49" t="str">
        <f t="shared" si="22"/>
        <v/>
      </c>
      <c r="T79" s="49" t="str">
        <f t="shared" si="22"/>
        <v/>
      </c>
      <c r="U79" s="49" t="str">
        <f t="shared" si="22"/>
        <v/>
      </c>
      <c r="V79" s="49" t="str">
        <f t="shared" si="22"/>
        <v/>
      </c>
      <c r="W79" s="49" t="str">
        <f t="shared" si="22"/>
        <v/>
      </c>
      <c r="X79" s="49" t="str">
        <f t="shared" si="22"/>
        <v/>
      </c>
      <c r="Y79" s="49" t="str">
        <f t="shared" si="22"/>
        <v/>
      </c>
      <c r="Z79" s="49" t="str">
        <f t="shared" si="22"/>
        <v/>
      </c>
      <c r="AA79" s="49" t="str">
        <f t="shared" si="22"/>
        <v/>
      </c>
      <c r="AB79" s="49" t="str">
        <f t="shared" si="22"/>
        <v/>
      </c>
      <c r="AC79" s="49" t="str">
        <f t="shared" si="22"/>
        <v/>
      </c>
      <c r="AD79" s="49" t="str">
        <f t="shared" si="22"/>
        <v/>
      </c>
      <c r="AE79" s="49" t="str">
        <f t="shared" si="22"/>
        <v/>
      </c>
      <c r="AF79" s="49" t="str">
        <f t="shared" si="22"/>
        <v/>
      </c>
      <c r="AG79" s="49" t="str">
        <f t="shared" si="22"/>
        <v/>
      </c>
      <c r="AH79" s="44">
        <f>SUM(AH77:AH78)</f>
        <v>0</v>
      </c>
      <c r="AI79" s="45">
        <f>SUM(AI77:AI78)</f>
        <v>0</v>
      </c>
      <c r="AJ79" s="45">
        <f>SUM(AJ77:AJ78)</f>
        <v>0</v>
      </c>
      <c r="AK79" s="45">
        <f>SUM(AK77:AK78)</f>
        <v>0</v>
      </c>
      <c r="AL79" s="45">
        <f>SUM(AL77:AL78)</f>
        <v>0</v>
      </c>
      <c r="AM79" s="50">
        <f>Juin!AM79</f>
        <v>0</v>
      </c>
      <c r="AN79" s="51">
        <f>IF(A78="","",IF(A78&gt;NomMois,0,IF(A78&lt;$A$3,2.08,(NETWORKDAYS(A78,$A$2)/21.66667)*2.08)))</f>
        <v>2.08</v>
      </c>
      <c r="AO79" s="51">
        <f>IF( AN79="",0,+AN79+Mars!AO79)</f>
        <v>11.263999867076944</v>
      </c>
      <c r="AP79" s="50">
        <f>IF(A78="","",IF(A78&gt;NomMois,0,IF(A78&lt;$A$3,1.5,(NETWORKDAYS(A78,$A$2)/21.66667)*1.5)))+Mars!AP79</f>
        <v>6</v>
      </c>
      <c r="AQ79" s="45">
        <f>+AM79-AI79</f>
        <v>0</v>
      </c>
      <c r="AR79" s="45">
        <f>+IF(AP79="","",AP79-AJ79)</f>
        <v>6</v>
      </c>
      <c r="AS79" s="102">
        <f t="shared" si="10"/>
        <v>11.263999867076944</v>
      </c>
    </row>
    <row r="80" spans="1:45" s="63" customFormat="1" ht="6.75" customHeight="1" x14ac:dyDescent="0.25">
      <c r="A80" s="64"/>
      <c r="B80" s="42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  <c r="X80" s="64"/>
      <c r="Y80" s="64"/>
      <c r="Z80" s="64"/>
      <c r="AA80" s="64"/>
      <c r="AB80" s="64"/>
      <c r="AC80" s="64"/>
      <c r="AD80" s="64"/>
      <c r="AE80" s="64"/>
      <c r="AF80" s="64"/>
      <c r="AG80" s="64"/>
      <c r="AH80" s="65"/>
      <c r="AI80" s="65"/>
      <c r="AJ80" s="65"/>
      <c r="AK80" s="65"/>
      <c r="AL80" s="65"/>
      <c r="AM80" s="64"/>
      <c r="AN80" s="65"/>
      <c r="AO80" s="65"/>
      <c r="AP80" s="64"/>
      <c r="AQ80" s="69"/>
      <c r="AR80" s="69"/>
      <c r="AS80" s="65"/>
    </row>
    <row r="81" spans="1:45" s="63" customFormat="1" ht="12.95" customHeight="1" x14ac:dyDescent="0.25">
      <c r="A81" s="41"/>
      <c r="B81" s="42" t="s">
        <v>15</v>
      </c>
      <c r="C81" s="67"/>
      <c r="D81" s="43"/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  <c r="AA81" s="43"/>
      <c r="AB81" s="43"/>
      <c r="AC81" s="43"/>
      <c r="AD81" s="43"/>
      <c r="AE81" s="43"/>
      <c r="AF81" s="43"/>
      <c r="AG81" s="43"/>
      <c r="AH81" s="44">
        <f>COUNTA(Avril!$C81:$AG81)</f>
        <v>0</v>
      </c>
      <c r="AI81" s="45">
        <f>(COUNTIFS(Avril!$C81:$AG81,("cp")))/2+Mars!AI81</f>
        <v>4.5</v>
      </c>
      <c r="AJ81" s="45">
        <f>COUNTIFS(Avril!$C81:$AG81,"RTT")/2+Mars!AJ81</f>
        <v>0</v>
      </c>
      <c r="AK81" s="45">
        <f>COUNTIFS(Avril!$C81:$AG81,"m")/2+Mars!AK81</f>
        <v>0</v>
      </c>
      <c r="AL81" s="45">
        <f>COUNTIFS(Avril!$C81:$AG81,"a")/2+Mars!AL81</f>
        <v>0</v>
      </c>
      <c r="AM81" s="46"/>
      <c r="AN81" s="47"/>
      <c r="AO81" s="47"/>
      <c r="AP81" s="46"/>
      <c r="AQ81" s="47"/>
      <c r="AR81" s="47"/>
      <c r="AS81" s="47"/>
    </row>
    <row r="82" spans="1:45" s="63" customFormat="1" ht="12.95" customHeight="1" x14ac:dyDescent="0.25">
      <c r="A82" s="48">
        <v>42506</v>
      </c>
      <c r="B82" s="42" t="s">
        <v>16</v>
      </c>
      <c r="C82" s="67"/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  <c r="S82" s="43"/>
      <c r="T82" s="43"/>
      <c r="U82" s="43"/>
      <c r="V82" s="43"/>
      <c r="W82" s="43"/>
      <c r="X82" s="43"/>
      <c r="Y82" s="43"/>
      <c r="Z82" s="43"/>
      <c r="AA82" s="43"/>
      <c r="AB82" s="43"/>
      <c r="AC82" s="43"/>
      <c r="AD82" s="43"/>
      <c r="AE82" s="43"/>
      <c r="AF82" s="43"/>
      <c r="AG82" s="43"/>
      <c r="AH82" s="44">
        <f>COUNTA(Avril!$C82:$AG82)</f>
        <v>0</v>
      </c>
      <c r="AI82" s="45">
        <f>(COUNTIFS(Avril!$C82:$AG82,("cp")))/2+Mars!AI82</f>
        <v>4.5</v>
      </c>
      <c r="AJ82" s="45">
        <f>COUNTIFS(Avril!$C82:$AG82,"RTT")/2+Mars!AJ82</f>
        <v>0</v>
      </c>
      <c r="AK82" s="45">
        <f>COUNTIFS(Avril!$C82:$AG82,"m")/2+Mars!AK82</f>
        <v>0</v>
      </c>
      <c r="AL82" s="45">
        <f>COUNTIFS(Avril!$C82:$AG82,"a")/2+Mars!AL82</f>
        <v>0</v>
      </c>
      <c r="AM82" s="46"/>
      <c r="AN82" s="47"/>
      <c r="AO82" s="47"/>
      <c r="AP82" s="46"/>
      <c r="AQ82" s="47"/>
      <c r="AR82" s="47"/>
      <c r="AS82" s="101"/>
    </row>
    <row r="83" spans="1:45" s="63" customFormat="1" ht="12.95" customHeight="1" x14ac:dyDescent="0.25">
      <c r="A83" s="41"/>
      <c r="B83" s="42"/>
      <c r="C83" s="49" t="str">
        <f t="shared" ref="C83:AG83" si="23">IF(C81&gt;0,C81,IF(C82&gt;0,C82,""))</f>
        <v/>
      </c>
      <c r="D83" s="49" t="str">
        <f t="shared" si="23"/>
        <v/>
      </c>
      <c r="E83" s="49" t="str">
        <f t="shared" si="23"/>
        <v/>
      </c>
      <c r="F83" s="49" t="str">
        <f t="shared" si="23"/>
        <v/>
      </c>
      <c r="G83" s="49" t="str">
        <f t="shared" si="23"/>
        <v/>
      </c>
      <c r="H83" s="49" t="str">
        <f t="shared" si="23"/>
        <v/>
      </c>
      <c r="I83" s="49" t="str">
        <f t="shared" si="23"/>
        <v/>
      </c>
      <c r="J83" s="49" t="str">
        <f t="shared" si="23"/>
        <v/>
      </c>
      <c r="K83" s="49" t="str">
        <f t="shared" si="23"/>
        <v/>
      </c>
      <c r="L83" s="49" t="str">
        <f t="shared" si="23"/>
        <v/>
      </c>
      <c r="M83" s="49" t="str">
        <f t="shared" si="23"/>
        <v/>
      </c>
      <c r="N83" s="49" t="str">
        <f t="shared" si="23"/>
        <v/>
      </c>
      <c r="O83" s="49" t="str">
        <f t="shared" si="23"/>
        <v/>
      </c>
      <c r="P83" s="49" t="str">
        <f t="shared" si="23"/>
        <v/>
      </c>
      <c r="Q83" s="49" t="str">
        <f t="shared" si="23"/>
        <v/>
      </c>
      <c r="R83" s="49" t="str">
        <f t="shared" si="23"/>
        <v/>
      </c>
      <c r="S83" s="49" t="str">
        <f t="shared" si="23"/>
        <v/>
      </c>
      <c r="T83" s="49" t="str">
        <f t="shared" si="23"/>
        <v/>
      </c>
      <c r="U83" s="49" t="str">
        <f t="shared" si="23"/>
        <v/>
      </c>
      <c r="V83" s="49" t="str">
        <f t="shared" si="23"/>
        <v/>
      </c>
      <c r="W83" s="49" t="str">
        <f t="shared" si="23"/>
        <v/>
      </c>
      <c r="X83" s="49" t="str">
        <f t="shared" si="23"/>
        <v/>
      </c>
      <c r="Y83" s="49" t="str">
        <f t="shared" si="23"/>
        <v/>
      </c>
      <c r="Z83" s="49" t="str">
        <f t="shared" si="23"/>
        <v/>
      </c>
      <c r="AA83" s="49" t="str">
        <f t="shared" si="23"/>
        <v/>
      </c>
      <c r="AB83" s="49" t="str">
        <f t="shared" si="23"/>
        <v/>
      </c>
      <c r="AC83" s="49" t="str">
        <f t="shared" si="23"/>
        <v/>
      </c>
      <c r="AD83" s="49" t="str">
        <f t="shared" si="23"/>
        <v/>
      </c>
      <c r="AE83" s="49" t="str">
        <f t="shared" si="23"/>
        <v/>
      </c>
      <c r="AF83" s="49" t="str">
        <f t="shared" si="23"/>
        <v/>
      </c>
      <c r="AG83" s="49" t="str">
        <f t="shared" si="23"/>
        <v/>
      </c>
      <c r="AH83" s="44">
        <f>SUM(AH81:AH82)</f>
        <v>0</v>
      </c>
      <c r="AI83" s="45">
        <f>SUM(AI81:AI82)</f>
        <v>9</v>
      </c>
      <c r="AJ83" s="45">
        <f>SUM(AJ81:AJ82)</f>
        <v>0</v>
      </c>
      <c r="AK83" s="45">
        <f>SUM(AK81:AK82)</f>
        <v>0</v>
      </c>
      <c r="AL83" s="45">
        <f>SUM(AL81:AL82)</f>
        <v>0</v>
      </c>
      <c r="AM83" s="50">
        <f>Juin!AM83</f>
        <v>-9.98</v>
      </c>
      <c r="AN83" s="51">
        <f>IF(A82="","",IF(A82&gt;NomMois,0,IF(A82&lt;$A$3,2.08,(NETWORKDAYS(A82,$A$2)/21.66667)*2.08)))</f>
        <v>2.08</v>
      </c>
      <c r="AO83" s="51">
        <f>IF( AN83="",0,+AN83+Mars!AO83)</f>
        <v>22.879999999999995</v>
      </c>
      <c r="AP83" s="50"/>
      <c r="AQ83" s="45">
        <f>+AM83-AI83</f>
        <v>-18.98</v>
      </c>
      <c r="AR83" s="45" t="str">
        <f>+IF(AP83="","",AP83-AJ83)</f>
        <v/>
      </c>
      <c r="AS83" s="102">
        <f t="shared" si="10"/>
        <v>3.899999999999995</v>
      </c>
    </row>
    <row r="84" spans="1:45" s="63" customFormat="1" ht="6.75" customHeight="1" x14ac:dyDescent="0.25">
      <c r="A84" s="64"/>
      <c r="B84" s="42"/>
      <c r="C84" s="64"/>
      <c r="D84" s="64"/>
      <c r="E84" s="64"/>
      <c r="F84" s="64"/>
      <c r="G84" s="64"/>
      <c r="H84" s="64"/>
      <c r="I84" s="64"/>
      <c r="J84" s="64"/>
      <c r="K84" s="64"/>
      <c r="L84" s="64"/>
      <c r="M84" s="64"/>
      <c r="N84" s="64"/>
      <c r="O84" s="64"/>
      <c r="P84" s="64"/>
      <c r="Q84" s="64"/>
      <c r="R84" s="64"/>
      <c r="S84" s="64"/>
      <c r="T84" s="64"/>
      <c r="U84" s="64"/>
      <c r="V84" s="64"/>
      <c r="W84" s="64"/>
      <c r="X84" s="64"/>
      <c r="Y84" s="64"/>
      <c r="Z84" s="64"/>
      <c r="AA84" s="64"/>
      <c r="AB84" s="64"/>
      <c r="AC84" s="64"/>
      <c r="AD84" s="64"/>
      <c r="AE84" s="64"/>
      <c r="AF84" s="64"/>
      <c r="AG84" s="64"/>
      <c r="AH84" s="65"/>
      <c r="AI84" s="65"/>
      <c r="AJ84" s="65"/>
      <c r="AK84" s="65"/>
      <c r="AL84" s="65"/>
      <c r="AM84" s="64"/>
      <c r="AN84" s="65"/>
      <c r="AO84" s="65"/>
      <c r="AP84" s="64"/>
      <c r="AQ84" s="69"/>
      <c r="AR84" s="69"/>
      <c r="AS84" s="65"/>
    </row>
    <row r="85" spans="1:45" s="63" customFormat="1" ht="12.95" customHeight="1" x14ac:dyDescent="0.25">
      <c r="A85" s="41"/>
      <c r="B85" s="42" t="s">
        <v>15</v>
      </c>
      <c r="C85" s="67"/>
      <c r="D85" s="43"/>
      <c r="E85" s="43"/>
      <c r="F85" s="43"/>
      <c r="G85" s="43"/>
      <c r="H85" s="43"/>
      <c r="I85" s="43"/>
      <c r="J85" s="43"/>
      <c r="K85" s="43"/>
      <c r="L85" s="43"/>
      <c r="M85" s="43"/>
      <c r="N85" s="43"/>
      <c r="O85" s="43"/>
      <c r="P85" s="43"/>
      <c r="Q85" s="43"/>
      <c r="R85" s="43"/>
      <c r="S85" s="43"/>
      <c r="T85" s="43"/>
      <c r="U85" s="43"/>
      <c r="V85" s="43"/>
      <c r="W85" s="43"/>
      <c r="X85" s="43"/>
      <c r="Y85" s="43"/>
      <c r="Z85" s="43"/>
      <c r="AA85" s="43"/>
      <c r="AB85" s="43"/>
      <c r="AC85" s="43"/>
      <c r="AD85" s="43"/>
      <c r="AE85" s="43"/>
      <c r="AF85" s="43"/>
      <c r="AG85" s="43"/>
      <c r="AH85" s="44">
        <f>COUNTA(Avril!$C85:$AG85)</f>
        <v>0</v>
      </c>
      <c r="AI85" s="45">
        <f>(COUNTIFS(Avril!$C85:$AG85,("cp")))/2+Mars!AI85</f>
        <v>13</v>
      </c>
      <c r="AJ85" s="45">
        <f>COUNTIFS(Avril!$C85:$AG85,"RTT")/2+Mars!AJ85</f>
        <v>0</v>
      </c>
      <c r="AK85" s="45">
        <f>COUNTIFS(Avril!$C85:$AG85,"m")/2+Mars!AK85</f>
        <v>0</v>
      </c>
      <c r="AL85" s="45">
        <f>COUNTIFS(Avril!$C85:$AG85,"a")/2+Mars!AL85</f>
        <v>0</v>
      </c>
      <c r="AM85" s="46"/>
      <c r="AN85" s="47"/>
      <c r="AO85" s="47"/>
      <c r="AP85" s="46"/>
      <c r="AQ85" s="47"/>
      <c r="AR85" s="47"/>
      <c r="AS85" s="47"/>
    </row>
    <row r="86" spans="1:45" s="63" customFormat="1" ht="12.95" customHeight="1" x14ac:dyDescent="0.25">
      <c r="A86" s="48">
        <v>42303</v>
      </c>
      <c r="B86" s="42" t="s">
        <v>16</v>
      </c>
      <c r="C86" s="67"/>
      <c r="D86" s="43"/>
      <c r="E86" s="43"/>
      <c r="F86" s="43"/>
      <c r="G86" s="43"/>
      <c r="H86" s="43"/>
      <c r="I86" s="43"/>
      <c r="J86" s="43"/>
      <c r="K86" s="43"/>
      <c r="L86" s="43"/>
      <c r="M86" s="43"/>
      <c r="N86" s="43"/>
      <c r="O86" s="43"/>
      <c r="P86" s="43"/>
      <c r="Q86" s="43"/>
      <c r="R86" s="43"/>
      <c r="S86" s="43"/>
      <c r="T86" s="43"/>
      <c r="U86" s="43"/>
      <c r="V86" s="43"/>
      <c r="W86" s="43"/>
      <c r="X86" s="43"/>
      <c r="Y86" s="43"/>
      <c r="Z86" s="43"/>
      <c r="AA86" s="43"/>
      <c r="AB86" s="43"/>
      <c r="AC86" s="43"/>
      <c r="AD86" s="43"/>
      <c r="AE86" s="43"/>
      <c r="AF86" s="43"/>
      <c r="AG86" s="43"/>
      <c r="AH86" s="44">
        <f>COUNTA(Avril!$C86:$AG86)</f>
        <v>0</v>
      </c>
      <c r="AI86" s="45">
        <f>(COUNTIFS(Avril!$C86:$AG86,("cp")))/2+Mars!AI86</f>
        <v>13</v>
      </c>
      <c r="AJ86" s="45">
        <f>COUNTIFS(Avril!$C86:$AG86,"RTT")/2+Mars!AJ86</f>
        <v>0</v>
      </c>
      <c r="AK86" s="45">
        <f>COUNTIFS(Avril!$C86:$AG86,"m")/2+Mars!AK86</f>
        <v>0</v>
      </c>
      <c r="AL86" s="45">
        <f>COUNTIFS(Avril!$C86:$AG86,"a")/2+Mars!AL86</f>
        <v>0</v>
      </c>
      <c r="AM86" s="46"/>
      <c r="AN86" s="47"/>
      <c r="AO86" s="47"/>
      <c r="AP86" s="46"/>
      <c r="AQ86" s="47"/>
      <c r="AR86" s="47"/>
      <c r="AS86" s="101"/>
    </row>
    <row r="87" spans="1:45" s="63" customFormat="1" ht="12.95" customHeight="1" x14ac:dyDescent="0.25">
      <c r="A87" s="41"/>
      <c r="B87" s="42"/>
      <c r="C87" s="49" t="str">
        <f t="shared" ref="C87:AG87" si="24">IF(C85&gt;0,C85,IF(C86&gt;0,C86,""))</f>
        <v/>
      </c>
      <c r="D87" s="49" t="str">
        <f t="shared" si="24"/>
        <v/>
      </c>
      <c r="E87" s="49" t="str">
        <f t="shared" si="24"/>
        <v/>
      </c>
      <c r="F87" s="49" t="str">
        <f t="shared" si="24"/>
        <v/>
      </c>
      <c r="G87" s="49" t="str">
        <f t="shared" si="24"/>
        <v/>
      </c>
      <c r="H87" s="49" t="str">
        <f t="shared" si="24"/>
        <v/>
      </c>
      <c r="I87" s="49" t="str">
        <f t="shared" si="24"/>
        <v/>
      </c>
      <c r="J87" s="49" t="str">
        <f t="shared" si="24"/>
        <v/>
      </c>
      <c r="K87" s="49" t="str">
        <f t="shared" si="24"/>
        <v/>
      </c>
      <c r="L87" s="49" t="str">
        <f t="shared" si="24"/>
        <v/>
      </c>
      <c r="M87" s="49" t="str">
        <f t="shared" si="24"/>
        <v/>
      </c>
      <c r="N87" s="49" t="str">
        <f t="shared" si="24"/>
        <v/>
      </c>
      <c r="O87" s="49" t="str">
        <f t="shared" si="24"/>
        <v/>
      </c>
      <c r="P87" s="49" t="str">
        <f t="shared" si="24"/>
        <v/>
      </c>
      <c r="Q87" s="49" t="str">
        <f t="shared" si="24"/>
        <v/>
      </c>
      <c r="R87" s="49" t="str">
        <f t="shared" si="24"/>
        <v/>
      </c>
      <c r="S87" s="49" t="str">
        <f t="shared" si="24"/>
        <v/>
      </c>
      <c r="T87" s="49" t="str">
        <f t="shared" si="24"/>
        <v/>
      </c>
      <c r="U87" s="49" t="str">
        <f t="shared" si="24"/>
        <v/>
      </c>
      <c r="V87" s="49" t="str">
        <f t="shared" si="24"/>
        <v/>
      </c>
      <c r="W87" s="49" t="str">
        <f t="shared" si="24"/>
        <v/>
      </c>
      <c r="X87" s="49" t="str">
        <f t="shared" si="24"/>
        <v/>
      </c>
      <c r="Y87" s="49" t="str">
        <f t="shared" si="24"/>
        <v/>
      </c>
      <c r="Z87" s="49" t="str">
        <f t="shared" si="24"/>
        <v/>
      </c>
      <c r="AA87" s="49" t="str">
        <f t="shared" si="24"/>
        <v/>
      </c>
      <c r="AB87" s="49" t="str">
        <f t="shared" si="24"/>
        <v/>
      </c>
      <c r="AC87" s="49" t="str">
        <f t="shared" si="24"/>
        <v/>
      </c>
      <c r="AD87" s="49" t="str">
        <f t="shared" si="24"/>
        <v/>
      </c>
      <c r="AE87" s="49" t="str">
        <f t="shared" si="24"/>
        <v/>
      </c>
      <c r="AF87" s="49" t="str">
        <f t="shared" si="24"/>
        <v/>
      </c>
      <c r="AG87" s="49" t="str">
        <f t="shared" si="24"/>
        <v/>
      </c>
      <c r="AH87" s="44">
        <f>SUM(AH85:AH86)</f>
        <v>0</v>
      </c>
      <c r="AI87" s="45">
        <f>SUM(AI85:AI86)</f>
        <v>26</v>
      </c>
      <c r="AJ87" s="45">
        <f>SUM(AJ85:AJ86)</f>
        <v>0</v>
      </c>
      <c r="AK87" s="45">
        <f>SUM(AK85:AK86)</f>
        <v>0</v>
      </c>
      <c r="AL87" s="45">
        <f>SUM(AL85:AL86)</f>
        <v>0</v>
      </c>
      <c r="AM87" s="50">
        <f>Juin!AM87</f>
        <v>12.02</v>
      </c>
      <c r="AN87" s="51">
        <f>IF(A86="","",IF(A86&gt;NomMois,0,IF(A86&lt;$A$3,2.5,(NETWORKDAYS(A86,$A$2)/21.66667)*2.5)))</f>
        <v>2.5</v>
      </c>
      <c r="AO87" s="51">
        <f>IF( AN87="",0,+AN87+Mars!AO87)</f>
        <v>27.5</v>
      </c>
      <c r="AP87" s="50"/>
      <c r="AQ87" s="45">
        <f>+AM87-AI87</f>
        <v>-13.98</v>
      </c>
      <c r="AR87" s="45" t="str">
        <f>+IF(AP87="","",AP87-AJ87)</f>
        <v/>
      </c>
      <c r="AS87" s="102">
        <f t="shared" si="10"/>
        <v>13.52</v>
      </c>
    </row>
    <row r="88" spans="1:45" s="63" customFormat="1" ht="6.75" customHeight="1" x14ac:dyDescent="0.25">
      <c r="A88" s="64"/>
      <c r="B88" s="42"/>
      <c r="C88" s="64"/>
      <c r="D88" s="64"/>
      <c r="E88" s="64"/>
      <c r="F88" s="64"/>
      <c r="G88" s="64"/>
      <c r="H88" s="64"/>
      <c r="I88" s="64"/>
      <c r="J88" s="64"/>
      <c r="K88" s="64"/>
      <c r="L88" s="64"/>
      <c r="M88" s="64"/>
      <c r="N88" s="64"/>
      <c r="O88" s="64"/>
      <c r="P88" s="64"/>
      <c r="Q88" s="64"/>
      <c r="R88" s="64"/>
      <c r="S88" s="64"/>
      <c r="T88" s="64"/>
      <c r="U88" s="64"/>
      <c r="V88" s="64"/>
      <c r="W88" s="64"/>
      <c r="X88" s="64"/>
      <c r="Y88" s="64"/>
      <c r="Z88" s="64"/>
      <c r="AA88" s="64"/>
      <c r="AB88" s="64"/>
      <c r="AC88" s="64"/>
      <c r="AD88" s="64"/>
      <c r="AE88" s="64"/>
      <c r="AF88" s="64"/>
      <c r="AG88" s="64"/>
      <c r="AH88" s="65"/>
      <c r="AI88" s="65"/>
      <c r="AJ88" s="65"/>
      <c r="AK88" s="65"/>
      <c r="AL88" s="65"/>
      <c r="AM88" s="64"/>
      <c r="AN88" s="65"/>
      <c r="AO88" s="65"/>
      <c r="AP88" s="64"/>
      <c r="AQ88" s="69"/>
      <c r="AR88" s="69"/>
      <c r="AS88" s="65"/>
    </row>
    <row r="89" spans="1:45" s="63" customFormat="1" ht="12.95" customHeight="1" x14ac:dyDescent="0.25">
      <c r="A89" s="41"/>
      <c r="B89" s="42" t="s">
        <v>15</v>
      </c>
      <c r="C89" s="67"/>
      <c r="D89" s="43"/>
      <c r="E89" s="43"/>
      <c r="F89" s="43"/>
      <c r="G89" s="43"/>
      <c r="H89" s="43"/>
      <c r="I89" s="43"/>
      <c r="J89" s="43"/>
      <c r="K89" s="43"/>
      <c r="L89" s="43"/>
      <c r="M89" s="43"/>
      <c r="N89" s="43"/>
      <c r="O89" s="43"/>
      <c r="P89" s="43"/>
      <c r="Q89" s="43"/>
      <c r="R89" s="43"/>
      <c r="S89" s="43"/>
      <c r="T89" s="43"/>
      <c r="U89" s="43"/>
      <c r="V89" s="43"/>
      <c r="W89" s="43"/>
      <c r="X89" s="43"/>
      <c r="Y89" s="43"/>
      <c r="Z89" s="43"/>
      <c r="AA89" s="43"/>
      <c r="AB89" s="43"/>
      <c r="AC89" s="43"/>
      <c r="AD89" s="43"/>
      <c r="AE89" s="43"/>
      <c r="AF89" s="43"/>
      <c r="AG89" s="43"/>
      <c r="AH89" s="44">
        <f>COUNTA(Avril!$C89:$AG89)</f>
        <v>0</v>
      </c>
      <c r="AI89" s="45">
        <f>(COUNTIFS(Avril!$C89:$AG89,("cp")))/2+Mars!AI89</f>
        <v>19.5</v>
      </c>
      <c r="AJ89" s="45">
        <f>COUNTIFS(Avril!$C89:$AG89,"RTT")/2+Mars!AJ89</f>
        <v>0</v>
      </c>
      <c r="AK89" s="45">
        <f>COUNTIFS(Avril!$C89:$AG89,"m")/2+Mars!AK89</f>
        <v>0</v>
      </c>
      <c r="AL89" s="45">
        <f>COUNTIFS(Avril!$C89:$AG89,"a")/2+Mars!AL89</f>
        <v>0</v>
      </c>
      <c r="AM89" s="46"/>
      <c r="AN89" s="47"/>
      <c r="AO89" s="47"/>
      <c r="AP89" s="46"/>
      <c r="AQ89" s="47"/>
      <c r="AR89" s="47"/>
      <c r="AS89" s="47"/>
    </row>
    <row r="90" spans="1:45" s="63" customFormat="1" ht="12.95" customHeight="1" x14ac:dyDescent="0.25">
      <c r="A90" s="48">
        <v>42303</v>
      </c>
      <c r="B90" s="42" t="s">
        <v>16</v>
      </c>
      <c r="C90" s="67"/>
      <c r="D90" s="43"/>
      <c r="E90" s="43"/>
      <c r="F90" s="43"/>
      <c r="G90" s="43"/>
      <c r="H90" s="43"/>
      <c r="I90" s="43"/>
      <c r="J90" s="43"/>
      <c r="K90" s="43"/>
      <c r="L90" s="43"/>
      <c r="M90" s="43"/>
      <c r="N90" s="43"/>
      <c r="O90" s="43"/>
      <c r="P90" s="43"/>
      <c r="Q90" s="43"/>
      <c r="R90" s="43"/>
      <c r="S90" s="43"/>
      <c r="T90" s="43"/>
      <c r="U90" s="43"/>
      <c r="V90" s="43"/>
      <c r="W90" s="43"/>
      <c r="X90" s="43"/>
      <c r="Y90" s="43"/>
      <c r="Z90" s="43"/>
      <c r="AA90" s="43"/>
      <c r="AB90" s="43"/>
      <c r="AC90" s="43"/>
      <c r="AD90" s="43"/>
      <c r="AE90" s="43"/>
      <c r="AF90" s="43"/>
      <c r="AG90" s="43"/>
      <c r="AH90" s="44">
        <f>COUNTA(Avril!$C90:$AG90)</f>
        <v>0</v>
      </c>
      <c r="AI90" s="45">
        <f>(COUNTIFS(Avril!$C90:$AG90,("cp")))/2+Mars!AI90</f>
        <v>19.5</v>
      </c>
      <c r="AJ90" s="45">
        <f>COUNTIFS(Avril!$C90:$AG90,"RTT")/2+Mars!AJ90</f>
        <v>0</v>
      </c>
      <c r="AK90" s="45">
        <f>COUNTIFS(Avril!$C90:$AG90,"m")/2+Mars!AK90</f>
        <v>0</v>
      </c>
      <c r="AL90" s="45">
        <f>COUNTIFS(Avril!$C90:$AG90,"a")/2+Mars!AL90</f>
        <v>0</v>
      </c>
      <c r="AM90" s="46"/>
      <c r="AN90" s="47"/>
      <c r="AO90" s="47"/>
      <c r="AP90" s="46"/>
      <c r="AQ90" s="47"/>
      <c r="AR90" s="47"/>
      <c r="AS90" s="101"/>
    </row>
    <row r="91" spans="1:45" s="63" customFormat="1" ht="12.95" customHeight="1" x14ac:dyDescent="0.25">
      <c r="A91" s="41"/>
      <c r="B91" s="42"/>
      <c r="C91" s="49" t="str">
        <f t="shared" ref="C91:AG91" si="25">IF(C89&gt;0,C89,IF(C90&gt;0,C90,""))</f>
        <v/>
      </c>
      <c r="D91" s="49" t="str">
        <f t="shared" si="25"/>
        <v/>
      </c>
      <c r="E91" s="49" t="str">
        <f t="shared" si="25"/>
        <v/>
      </c>
      <c r="F91" s="49" t="str">
        <f t="shared" si="25"/>
        <v/>
      </c>
      <c r="G91" s="49" t="str">
        <f t="shared" si="25"/>
        <v/>
      </c>
      <c r="H91" s="49" t="str">
        <f t="shared" si="25"/>
        <v/>
      </c>
      <c r="I91" s="49" t="str">
        <f t="shared" si="25"/>
        <v/>
      </c>
      <c r="J91" s="49" t="str">
        <f t="shared" si="25"/>
        <v/>
      </c>
      <c r="K91" s="49" t="str">
        <f t="shared" si="25"/>
        <v/>
      </c>
      <c r="L91" s="49" t="str">
        <f t="shared" si="25"/>
        <v/>
      </c>
      <c r="M91" s="49" t="str">
        <f t="shared" si="25"/>
        <v/>
      </c>
      <c r="N91" s="49" t="str">
        <f t="shared" si="25"/>
        <v/>
      </c>
      <c r="O91" s="49" t="str">
        <f t="shared" si="25"/>
        <v/>
      </c>
      <c r="P91" s="49" t="str">
        <f t="shared" si="25"/>
        <v/>
      </c>
      <c r="Q91" s="49" t="str">
        <f t="shared" si="25"/>
        <v/>
      </c>
      <c r="R91" s="49" t="str">
        <f t="shared" si="25"/>
        <v/>
      </c>
      <c r="S91" s="49" t="str">
        <f t="shared" si="25"/>
        <v/>
      </c>
      <c r="T91" s="49" t="str">
        <f t="shared" si="25"/>
        <v/>
      </c>
      <c r="U91" s="49" t="str">
        <f t="shared" si="25"/>
        <v/>
      </c>
      <c r="V91" s="49" t="str">
        <f t="shared" si="25"/>
        <v/>
      </c>
      <c r="W91" s="49" t="str">
        <f t="shared" si="25"/>
        <v/>
      </c>
      <c r="X91" s="49" t="str">
        <f t="shared" si="25"/>
        <v/>
      </c>
      <c r="Y91" s="49" t="str">
        <f t="shared" si="25"/>
        <v/>
      </c>
      <c r="Z91" s="49" t="str">
        <f t="shared" si="25"/>
        <v/>
      </c>
      <c r="AA91" s="49" t="str">
        <f t="shared" si="25"/>
        <v/>
      </c>
      <c r="AB91" s="49" t="str">
        <f t="shared" si="25"/>
        <v/>
      </c>
      <c r="AC91" s="49" t="str">
        <f t="shared" si="25"/>
        <v/>
      </c>
      <c r="AD91" s="49" t="str">
        <f t="shared" si="25"/>
        <v/>
      </c>
      <c r="AE91" s="49" t="str">
        <f t="shared" si="25"/>
        <v/>
      </c>
      <c r="AF91" s="49" t="str">
        <f t="shared" si="25"/>
        <v/>
      </c>
      <c r="AG91" s="49" t="str">
        <f t="shared" si="25"/>
        <v/>
      </c>
      <c r="AH91" s="44">
        <f>SUM(AH89:AH90)</f>
        <v>0</v>
      </c>
      <c r="AI91" s="45">
        <f>SUM(AI89:AI90)</f>
        <v>39</v>
      </c>
      <c r="AJ91" s="45">
        <f>SUM(AJ89:AJ90)</f>
        <v>0</v>
      </c>
      <c r="AK91" s="45">
        <f>SUM(AK89:AK90)</f>
        <v>0</v>
      </c>
      <c r="AL91" s="45">
        <f>SUM(AL89:AL90)</f>
        <v>0</v>
      </c>
      <c r="AM91" s="50">
        <f>Juin!AM91</f>
        <v>-0.82</v>
      </c>
      <c r="AN91" s="51">
        <f>IF(A90="","",IF(A90&gt;NomMois,0,IF(A90&lt;$A$3,2.5,(NETWORKDAYS(A90,$A$2)/21.66667)*2.5)))</f>
        <v>2.5</v>
      </c>
      <c r="AO91" s="51">
        <f>IF( AN91="",0,+AN91+Mars!AO91)</f>
        <v>27.5</v>
      </c>
      <c r="AP91" s="50"/>
      <c r="AQ91" s="45">
        <f>+AM91-AI91</f>
        <v>-39.82</v>
      </c>
      <c r="AR91" s="45" t="str">
        <f>+IF(AP91="","",AP91-AJ91)</f>
        <v/>
      </c>
      <c r="AS91" s="102">
        <f t="shared" si="10"/>
        <v>-12.32</v>
      </c>
    </row>
    <row r="92" spans="1:45" s="63" customFormat="1" ht="6.75" customHeight="1" x14ac:dyDescent="0.25">
      <c r="A92" s="64"/>
      <c r="B92" s="42"/>
      <c r="C92" s="64"/>
      <c r="D92" s="64"/>
      <c r="E92" s="64"/>
      <c r="F92" s="64"/>
      <c r="G92" s="64"/>
      <c r="H92" s="64"/>
      <c r="I92" s="64"/>
      <c r="J92" s="64"/>
      <c r="K92" s="64"/>
      <c r="L92" s="64"/>
      <c r="M92" s="64"/>
      <c r="N92" s="64"/>
      <c r="O92" s="64"/>
      <c r="P92" s="64"/>
      <c r="Q92" s="64"/>
      <c r="R92" s="64"/>
      <c r="S92" s="64"/>
      <c r="T92" s="64"/>
      <c r="U92" s="64"/>
      <c r="V92" s="64"/>
      <c r="W92" s="64"/>
      <c r="X92" s="64"/>
      <c r="Y92" s="64"/>
      <c r="Z92" s="64"/>
      <c r="AA92" s="64"/>
      <c r="AB92" s="64"/>
      <c r="AC92" s="64"/>
      <c r="AD92" s="64"/>
      <c r="AE92" s="64"/>
      <c r="AF92" s="64"/>
      <c r="AG92" s="64"/>
      <c r="AH92" s="65"/>
      <c r="AI92" s="65"/>
      <c r="AJ92" s="65"/>
      <c r="AK92" s="65"/>
      <c r="AL92" s="65"/>
      <c r="AM92" s="64"/>
      <c r="AN92" s="65"/>
      <c r="AO92" s="65"/>
      <c r="AP92" s="64"/>
      <c r="AQ92" s="69"/>
      <c r="AR92" s="69"/>
      <c r="AS92" s="65"/>
    </row>
    <row r="93" spans="1:45" ht="12.95" customHeight="1" x14ac:dyDescent="0.25">
      <c r="A93" s="41"/>
      <c r="B93" s="42" t="s">
        <v>15</v>
      </c>
      <c r="C93" s="67"/>
      <c r="D93" s="43"/>
      <c r="E93" s="43"/>
      <c r="F93" s="43"/>
      <c r="G93" s="43"/>
      <c r="H93" s="43"/>
      <c r="I93" s="43"/>
      <c r="J93" s="43"/>
      <c r="K93" s="43"/>
      <c r="L93" s="43"/>
      <c r="M93" s="43"/>
      <c r="N93" s="43"/>
      <c r="O93" s="43"/>
      <c r="P93" s="43"/>
      <c r="Q93" s="43"/>
      <c r="R93" s="43"/>
      <c r="S93" s="43"/>
      <c r="T93" s="43"/>
      <c r="U93" s="43"/>
      <c r="V93" s="43"/>
      <c r="W93" s="43"/>
      <c r="X93" s="43"/>
      <c r="Y93" s="43"/>
      <c r="Z93" s="43"/>
      <c r="AA93" s="43"/>
      <c r="AB93" s="43"/>
      <c r="AC93" s="43"/>
      <c r="AD93" s="43"/>
      <c r="AE93" s="43"/>
      <c r="AF93" s="43"/>
      <c r="AG93" s="43"/>
      <c r="AH93" s="44">
        <f>COUNTA(Avril!$C93:$AG93)</f>
        <v>0</v>
      </c>
      <c r="AI93" s="45">
        <f>(COUNTIFS(Avril!$C93:$AG93,("cp")))/2+Mars!AI93</f>
        <v>0</v>
      </c>
      <c r="AJ93" s="45">
        <f>COUNTIFS(Avril!$C93:$AG93,"RTT")/2+Mars!AJ93</f>
        <v>0</v>
      </c>
      <c r="AK93" s="45">
        <f>COUNTIFS(Avril!$C93:$AG93,"m")/2+Mars!AK93</f>
        <v>5</v>
      </c>
      <c r="AL93" s="45">
        <f>COUNTIFS(Avril!$C93:$AG93,"a")/2+Mars!AL93</f>
        <v>0</v>
      </c>
      <c r="AM93" s="46"/>
      <c r="AN93" s="47"/>
      <c r="AO93" s="47"/>
      <c r="AP93" s="46"/>
      <c r="AQ93" s="47"/>
      <c r="AR93" s="47"/>
      <c r="AS93" s="47"/>
    </row>
    <row r="94" spans="1:45" s="79" customFormat="1" ht="12.95" customHeight="1" x14ac:dyDescent="0.25">
      <c r="A94" s="48">
        <v>42921</v>
      </c>
      <c r="B94" s="42" t="s">
        <v>16</v>
      </c>
      <c r="C94" s="67"/>
      <c r="D94" s="43"/>
      <c r="E94" s="43"/>
      <c r="F94" s="43"/>
      <c r="G94" s="43"/>
      <c r="H94" s="43"/>
      <c r="I94" s="43"/>
      <c r="J94" s="43"/>
      <c r="K94" s="43"/>
      <c r="L94" s="43"/>
      <c r="M94" s="43"/>
      <c r="N94" s="43"/>
      <c r="O94" s="43"/>
      <c r="P94" s="43"/>
      <c r="Q94" s="43"/>
      <c r="R94" s="43"/>
      <c r="S94" s="43"/>
      <c r="T94" s="43"/>
      <c r="U94" s="43"/>
      <c r="V94" s="43"/>
      <c r="W94" s="43"/>
      <c r="X94" s="43"/>
      <c r="Y94" s="43"/>
      <c r="Z94" s="43"/>
      <c r="AA94" s="43"/>
      <c r="AB94" s="43"/>
      <c r="AC94" s="43"/>
      <c r="AD94" s="43"/>
      <c r="AE94" s="43"/>
      <c r="AF94" s="43"/>
      <c r="AG94" s="43"/>
      <c r="AH94" s="44">
        <f>COUNTA(Avril!$C94:$AG94)</f>
        <v>0</v>
      </c>
      <c r="AI94" s="45">
        <f>(COUNTIFS(Avril!$C94:$AG94,("cp")))/2+Mars!AI94</f>
        <v>0</v>
      </c>
      <c r="AJ94" s="45">
        <f>COUNTIFS(Avril!$C94:$AG94,"RTT")/2+Mars!AJ94</f>
        <v>0</v>
      </c>
      <c r="AK94" s="45">
        <f>COUNTIFS(Avril!$C94:$AG94,"m")/2+Mars!AK94</f>
        <v>5</v>
      </c>
      <c r="AL94" s="45">
        <f>COUNTIFS(Avril!$C94:$AG94,"a")/2+Mars!AL94</f>
        <v>0</v>
      </c>
      <c r="AM94" s="46"/>
      <c r="AN94" s="47"/>
      <c r="AO94" s="47"/>
      <c r="AP94" s="46"/>
      <c r="AQ94" s="47"/>
      <c r="AR94" s="47"/>
      <c r="AS94" s="101"/>
    </row>
    <row r="95" spans="1:45" s="79" customFormat="1" ht="12.95" customHeight="1" x14ac:dyDescent="0.25">
      <c r="A95" s="41"/>
      <c r="B95" s="42"/>
      <c r="C95" s="49" t="str">
        <f t="shared" ref="C95:AG95" si="26">IF(C93&gt;0,C93,IF(C94&gt;0,C94,""))</f>
        <v/>
      </c>
      <c r="D95" s="49" t="str">
        <f t="shared" si="26"/>
        <v/>
      </c>
      <c r="E95" s="49" t="str">
        <f t="shared" si="26"/>
        <v/>
      </c>
      <c r="F95" s="49" t="str">
        <f t="shared" si="26"/>
        <v/>
      </c>
      <c r="G95" s="49" t="str">
        <f t="shared" si="26"/>
        <v/>
      </c>
      <c r="H95" s="49" t="str">
        <f t="shared" si="26"/>
        <v/>
      </c>
      <c r="I95" s="49" t="str">
        <f t="shared" si="26"/>
        <v/>
      </c>
      <c r="J95" s="49" t="str">
        <f t="shared" si="26"/>
        <v/>
      </c>
      <c r="K95" s="49" t="str">
        <f t="shared" si="26"/>
        <v/>
      </c>
      <c r="L95" s="49" t="str">
        <f t="shared" si="26"/>
        <v/>
      </c>
      <c r="M95" s="49" t="str">
        <f t="shared" si="26"/>
        <v/>
      </c>
      <c r="N95" s="49" t="str">
        <f t="shared" si="26"/>
        <v/>
      </c>
      <c r="O95" s="49" t="str">
        <f t="shared" si="26"/>
        <v/>
      </c>
      <c r="P95" s="49" t="str">
        <f t="shared" si="26"/>
        <v/>
      </c>
      <c r="Q95" s="49" t="str">
        <f t="shared" si="26"/>
        <v/>
      </c>
      <c r="R95" s="49" t="str">
        <f t="shared" si="26"/>
        <v/>
      </c>
      <c r="S95" s="49" t="str">
        <f t="shared" si="26"/>
        <v/>
      </c>
      <c r="T95" s="49" t="str">
        <f t="shared" si="26"/>
        <v/>
      </c>
      <c r="U95" s="49" t="str">
        <f t="shared" si="26"/>
        <v/>
      </c>
      <c r="V95" s="49" t="str">
        <f t="shared" si="26"/>
        <v/>
      </c>
      <c r="W95" s="49" t="str">
        <f t="shared" si="26"/>
        <v/>
      </c>
      <c r="X95" s="49" t="str">
        <f t="shared" si="26"/>
        <v/>
      </c>
      <c r="Y95" s="49" t="str">
        <f t="shared" si="26"/>
        <v/>
      </c>
      <c r="Z95" s="49" t="str">
        <f t="shared" si="26"/>
        <v/>
      </c>
      <c r="AA95" s="49" t="str">
        <f t="shared" si="26"/>
        <v/>
      </c>
      <c r="AB95" s="49" t="str">
        <f t="shared" si="26"/>
        <v/>
      </c>
      <c r="AC95" s="49" t="str">
        <f t="shared" si="26"/>
        <v/>
      </c>
      <c r="AD95" s="49" t="str">
        <f t="shared" si="26"/>
        <v/>
      </c>
      <c r="AE95" s="49" t="str">
        <f t="shared" si="26"/>
        <v/>
      </c>
      <c r="AF95" s="49" t="str">
        <f t="shared" si="26"/>
        <v/>
      </c>
      <c r="AG95" s="49" t="str">
        <f t="shared" si="26"/>
        <v/>
      </c>
      <c r="AH95" s="44">
        <f>SUM(AH93:AH94)</f>
        <v>0</v>
      </c>
      <c r="AI95" s="45">
        <f>SUM(AI93:AI94)</f>
        <v>0</v>
      </c>
      <c r="AJ95" s="45">
        <f>SUM(AJ93:AJ94)</f>
        <v>0</v>
      </c>
      <c r="AK95" s="45">
        <f>SUM(AK93:AK94)</f>
        <v>10</v>
      </c>
      <c r="AL95" s="45">
        <f>SUM(AL93:AL94)</f>
        <v>0</v>
      </c>
      <c r="AM95" s="50">
        <f>Juin!AM95</f>
        <v>0</v>
      </c>
      <c r="AN95" s="51">
        <f>IF(A94="","",IF(A94&gt;NomMois,0,IF(A94&lt;$A$3,2.08,(NETWORKDAYS(A94,$A$2)/21.66667)*2.08)))</f>
        <v>2.08</v>
      </c>
      <c r="AO95" s="51">
        <f>IF( AN95="",0,+AN95+Mars!AO95)</f>
        <v>20.543999719384658</v>
      </c>
      <c r="AP95" s="50"/>
      <c r="AQ95" s="45">
        <f>+AM95-AI95</f>
        <v>0</v>
      </c>
      <c r="AR95" s="45" t="str">
        <f>+IF(AP95="","",AP95-AJ95)</f>
        <v/>
      </c>
      <c r="AS95" s="102">
        <f t="shared" ref="AS95:AS123" si="27">+AO95+AQ95</f>
        <v>20.543999719384658</v>
      </c>
    </row>
    <row r="96" spans="1:45" s="63" customFormat="1" ht="6.75" customHeight="1" x14ac:dyDescent="0.25">
      <c r="A96" s="64"/>
      <c r="B96" s="42"/>
      <c r="C96" s="64"/>
      <c r="D96" s="64"/>
      <c r="E96" s="64"/>
      <c r="F96" s="64"/>
      <c r="G96" s="64"/>
      <c r="H96" s="64"/>
      <c r="I96" s="64"/>
      <c r="J96" s="64"/>
      <c r="K96" s="64"/>
      <c r="L96" s="64"/>
      <c r="M96" s="64"/>
      <c r="N96" s="64"/>
      <c r="O96" s="64"/>
      <c r="P96" s="64"/>
      <c r="Q96" s="64"/>
      <c r="R96" s="64"/>
      <c r="S96" s="64"/>
      <c r="T96" s="64"/>
      <c r="U96" s="64"/>
      <c r="V96" s="64"/>
      <c r="W96" s="64"/>
      <c r="X96" s="64"/>
      <c r="Y96" s="64"/>
      <c r="Z96" s="64"/>
      <c r="AA96" s="64"/>
      <c r="AB96" s="64"/>
      <c r="AC96" s="64"/>
      <c r="AD96" s="64"/>
      <c r="AE96" s="64"/>
      <c r="AF96" s="64"/>
      <c r="AG96" s="64"/>
      <c r="AH96" s="65"/>
      <c r="AI96" s="65"/>
      <c r="AJ96" s="65"/>
      <c r="AK96" s="65"/>
      <c r="AL96" s="65"/>
      <c r="AM96" s="64"/>
      <c r="AN96" s="65"/>
      <c r="AO96" s="65"/>
      <c r="AP96" s="64"/>
      <c r="AQ96" s="69"/>
      <c r="AR96" s="69"/>
      <c r="AS96" s="65"/>
    </row>
    <row r="97" spans="1:45" s="79" customFormat="1" ht="12.95" customHeight="1" x14ac:dyDescent="0.25">
      <c r="A97" s="70"/>
      <c r="B97" s="42" t="s">
        <v>15</v>
      </c>
      <c r="C97" s="71"/>
      <c r="D97" s="71"/>
      <c r="E97" s="71"/>
      <c r="F97" s="71"/>
      <c r="G97" s="71"/>
      <c r="H97" s="71"/>
      <c r="I97" s="71"/>
      <c r="J97" s="71"/>
      <c r="K97" s="71"/>
      <c r="L97" s="71"/>
      <c r="M97" s="71"/>
      <c r="N97" s="71"/>
      <c r="O97" s="71"/>
      <c r="P97" s="71"/>
      <c r="Q97" s="71"/>
      <c r="R97" s="71"/>
      <c r="S97" s="71"/>
      <c r="T97" s="71"/>
      <c r="U97" s="71"/>
      <c r="V97" s="71"/>
      <c r="W97" s="71"/>
      <c r="X97" s="71"/>
      <c r="Y97" s="71"/>
      <c r="Z97" s="71"/>
      <c r="AA97" s="71"/>
      <c r="AB97" s="71"/>
      <c r="AC97" s="71"/>
      <c r="AD97" s="71"/>
      <c r="AE97" s="71"/>
      <c r="AF97" s="71"/>
      <c r="AG97" s="71"/>
      <c r="AH97" s="72">
        <f>COUNTA(Avril!$C97:$AG97)</f>
        <v>0</v>
      </c>
      <c r="AI97" s="45">
        <f>(COUNTIFS(Avril!$C97:$AG97,("cp")))/2+Mars!AI97</f>
        <v>14.5</v>
      </c>
      <c r="AJ97" s="45">
        <f>COUNTIFS(Avril!$C97:$AG97,"RTT")/2+Mars!AJ97</f>
        <v>0</v>
      </c>
      <c r="AK97" s="45">
        <f>COUNTIFS(Avril!$C97:$AG97,"m")/2+Mars!AK97</f>
        <v>0</v>
      </c>
      <c r="AL97" s="45">
        <f>COUNTIFS(Avril!$C97:$AG97,"a")/2+Mars!AL97</f>
        <v>0</v>
      </c>
      <c r="AM97" s="46"/>
      <c r="AN97" s="47"/>
      <c r="AO97" s="47"/>
      <c r="AP97" s="46"/>
      <c r="AQ97" s="47"/>
      <c r="AR97" s="47"/>
      <c r="AS97" s="47"/>
    </row>
    <row r="98" spans="1:45" s="79" customFormat="1" ht="12.95" customHeight="1" x14ac:dyDescent="0.25">
      <c r="A98" s="73">
        <v>42736</v>
      </c>
      <c r="B98" s="42" t="s">
        <v>16</v>
      </c>
      <c r="C98" s="71"/>
      <c r="D98" s="71"/>
      <c r="E98" s="71"/>
      <c r="F98" s="71"/>
      <c r="G98" s="71"/>
      <c r="H98" s="71"/>
      <c r="I98" s="71"/>
      <c r="J98" s="71"/>
      <c r="K98" s="71"/>
      <c r="L98" s="71"/>
      <c r="M98" s="71"/>
      <c r="N98" s="71"/>
      <c r="O98" s="71"/>
      <c r="P98" s="71"/>
      <c r="Q98" s="71"/>
      <c r="R98" s="71"/>
      <c r="S98" s="71"/>
      <c r="T98" s="71"/>
      <c r="U98" s="71"/>
      <c r="V98" s="71"/>
      <c r="W98" s="71"/>
      <c r="X98" s="71"/>
      <c r="Y98" s="71"/>
      <c r="Z98" s="71"/>
      <c r="AA98" s="71"/>
      <c r="AB98" s="71"/>
      <c r="AC98" s="71"/>
      <c r="AD98" s="71"/>
      <c r="AE98" s="71"/>
      <c r="AF98" s="71"/>
      <c r="AG98" s="71"/>
      <c r="AH98" s="72">
        <f>COUNTA(Avril!$C98:$AG98)</f>
        <v>0</v>
      </c>
      <c r="AI98" s="45">
        <f>(COUNTIFS(Avril!$C98:$AG98,("cp")))/2+Mars!AI98</f>
        <v>14.5</v>
      </c>
      <c r="AJ98" s="45">
        <f>COUNTIFS(Avril!$C98:$AG98,"RTT")/2+Mars!AJ98</f>
        <v>0</v>
      </c>
      <c r="AK98" s="45">
        <f>COUNTIFS(Avril!$C98:$AG98,"m")/2+Mars!AK98</f>
        <v>0</v>
      </c>
      <c r="AL98" s="45">
        <f>COUNTIFS(Avril!$C98:$AG98,"a")/2+Mars!AL98</f>
        <v>0</v>
      </c>
      <c r="AM98" s="46"/>
      <c r="AN98" s="47"/>
      <c r="AO98" s="47"/>
      <c r="AP98" s="46"/>
      <c r="AQ98" s="47"/>
      <c r="AR98" s="47"/>
      <c r="AS98" s="101"/>
    </row>
    <row r="99" spans="1:45" s="79" customFormat="1" ht="12.95" customHeight="1" x14ac:dyDescent="0.25">
      <c r="A99" s="70"/>
      <c r="B99" s="42"/>
      <c r="C99" s="71" t="str">
        <f t="shared" ref="C99:AG99" si="28">IF(C97&gt;0,C97,IF(C98&gt;0,C98,""))</f>
        <v/>
      </c>
      <c r="D99" s="71" t="str">
        <f t="shared" si="28"/>
        <v/>
      </c>
      <c r="E99" s="71" t="str">
        <f t="shared" si="28"/>
        <v/>
      </c>
      <c r="F99" s="71" t="str">
        <f t="shared" si="28"/>
        <v/>
      </c>
      <c r="G99" s="71" t="str">
        <f t="shared" si="28"/>
        <v/>
      </c>
      <c r="H99" s="71" t="str">
        <f t="shared" si="28"/>
        <v/>
      </c>
      <c r="I99" s="71" t="str">
        <f t="shared" si="28"/>
        <v/>
      </c>
      <c r="J99" s="71" t="str">
        <f t="shared" si="28"/>
        <v/>
      </c>
      <c r="K99" s="71" t="str">
        <f t="shared" si="28"/>
        <v/>
      </c>
      <c r="L99" s="71" t="str">
        <f t="shared" si="28"/>
        <v/>
      </c>
      <c r="M99" s="71" t="str">
        <f t="shared" si="28"/>
        <v/>
      </c>
      <c r="N99" s="71" t="str">
        <f t="shared" si="28"/>
        <v/>
      </c>
      <c r="O99" s="71" t="str">
        <f t="shared" si="28"/>
        <v/>
      </c>
      <c r="P99" s="71" t="str">
        <f t="shared" si="28"/>
        <v/>
      </c>
      <c r="Q99" s="71" t="str">
        <f t="shared" si="28"/>
        <v/>
      </c>
      <c r="R99" s="71" t="str">
        <f t="shared" si="28"/>
        <v/>
      </c>
      <c r="S99" s="71" t="str">
        <f t="shared" si="28"/>
        <v/>
      </c>
      <c r="T99" s="71" t="str">
        <f t="shared" si="28"/>
        <v/>
      </c>
      <c r="U99" s="71" t="str">
        <f t="shared" si="28"/>
        <v/>
      </c>
      <c r="V99" s="71" t="str">
        <f t="shared" si="28"/>
        <v/>
      </c>
      <c r="W99" s="71" t="str">
        <f t="shared" si="28"/>
        <v/>
      </c>
      <c r="X99" s="71" t="str">
        <f t="shared" si="28"/>
        <v/>
      </c>
      <c r="Y99" s="71" t="str">
        <f t="shared" si="28"/>
        <v/>
      </c>
      <c r="Z99" s="71" t="str">
        <f t="shared" si="28"/>
        <v/>
      </c>
      <c r="AA99" s="71" t="str">
        <f t="shared" si="28"/>
        <v/>
      </c>
      <c r="AB99" s="71" t="str">
        <f t="shared" si="28"/>
        <v/>
      </c>
      <c r="AC99" s="71" t="str">
        <f t="shared" si="28"/>
        <v/>
      </c>
      <c r="AD99" s="71" t="str">
        <f t="shared" si="28"/>
        <v/>
      </c>
      <c r="AE99" s="71" t="str">
        <f t="shared" si="28"/>
        <v/>
      </c>
      <c r="AF99" s="71" t="str">
        <f t="shared" si="28"/>
        <v/>
      </c>
      <c r="AG99" s="71" t="str">
        <f t="shared" si="28"/>
        <v/>
      </c>
      <c r="AH99" s="72">
        <f>SUM(AH97:AH98)</f>
        <v>0</v>
      </c>
      <c r="AI99" s="45">
        <f>SUM(AI97:AI98)</f>
        <v>29</v>
      </c>
      <c r="AJ99" s="45">
        <f>SUM(AJ97:AJ98)</f>
        <v>0</v>
      </c>
      <c r="AK99" s="45">
        <f>SUM(AK97:AK98)</f>
        <v>0</v>
      </c>
      <c r="AL99" s="45">
        <f>SUM(AL97:AL98)</f>
        <v>0</v>
      </c>
      <c r="AM99" s="50">
        <f>Juin!AM99</f>
        <v>5.41</v>
      </c>
      <c r="AN99" s="51">
        <f>IF(A98="","",IF(A98&gt;NomMois,0,IF(A98&lt;$A$3,2.08,(NETWORKDAYS(A98,$A$2)/21.66667)*2.08)))</f>
        <v>2.08</v>
      </c>
      <c r="AO99" s="51">
        <f>IF( AN99="",0,+AN99+Mars!AO99)</f>
        <v>22.879999999999995</v>
      </c>
      <c r="AP99" s="50"/>
      <c r="AQ99" s="45">
        <f>+AM99-AI99</f>
        <v>-23.59</v>
      </c>
      <c r="AR99" s="45" t="str">
        <f>+IF(AP99="","",AP99-AJ99)</f>
        <v/>
      </c>
      <c r="AS99" s="102">
        <f t="shared" si="27"/>
        <v>-0.71000000000000441</v>
      </c>
    </row>
    <row r="100" spans="1:45" s="63" customFormat="1" ht="6.75" customHeight="1" x14ac:dyDescent="0.25">
      <c r="A100" s="64"/>
      <c r="B100" s="42"/>
      <c r="C100" s="64"/>
      <c r="D100" s="64"/>
      <c r="E100" s="64"/>
      <c r="F100" s="64"/>
      <c r="G100" s="64"/>
      <c r="H100" s="64"/>
      <c r="I100" s="64"/>
      <c r="J100" s="64"/>
      <c r="K100" s="64"/>
      <c r="L100" s="64"/>
      <c r="M100" s="64"/>
      <c r="N100" s="64"/>
      <c r="O100" s="64"/>
      <c r="P100" s="64"/>
      <c r="Q100" s="64"/>
      <c r="R100" s="64"/>
      <c r="S100" s="64"/>
      <c r="T100" s="64"/>
      <c r="U100" s="64"/>
      <c r="V100" s="64"/>
      <c r="W100" s="64"/>
      <c r="X100" s="64"/>
      <c r="Y100" s="64"/>
      <c r="Z100" s="64"/>
      <c r="AA100" s="64"/>
      <c r="AB100" s="64"/>
      <c r="AC100" s="64"/>
      <c r="AD100" s="64"/>
      <c r="AE100" s="64"/>
      <c r="AF100" s="64"/>
      <c r="AG100" s="64"/>
      <c r="AH100" s="65"/>
      <c r="AI100" s="65"/>
      <c r="AJ100" s="65"/>
      <c r="AK100" s="65"/>
      <c r="AL100" s="65"/>
      <c r="AM100" s="64"/>
      <c r="AN100" s="65"/>
      <c r="AO100" s="65"/>
      <c r="AP100" s="64"/>
      <c r="AQ100" s="69"/>
      <c r="AR100" s="69"/>
      <c r="AS100" s="65"/>
    </row>
    <row r="101" spans="1:45" s="79" customFormat="1" ht="12.95" customHeight="1" x14ac:dyDescent="0.25">
      <c r="A101" s="70"/>
      <c r="B101" s="42" t="s">
        <v>15</v>
      </c>
      <c r="C101" s="71"/>
      <c r="D101" s="71"/>
      <c r="E101" s="71"/>
      <c r="F101" s="71"/>
      <c r="G101" s="71"/>
      <c r="H101" s="71"/>
      <c r="I101" s="71"/>
      <c r="J101" s="71"/>
      <c r="K101" s="71"/>
      <c r="L101" s="71"/>
      <c r="M101" s="71"/>
      <c r="N101" s="71"/>
      <c r="O101" s="71"/>
      <c r="P101" s="71"/>
      <c r="Q101" s="71"/>
      <c r="R101" s="71"/>
      <c r="S101" s="71"/>
      <c r="T101" s="71"/>
      <c r="U101" s="71"/>
      <c r="V101" s="71"/>
      <c r="W101" s="71"/>
      <c r="X101" s="71"/>
      <c r="Y101" s="71"/>
      <c r="Z101" s="71"/>
      <c r="AA101" s="71"/>
      <c r="AB101" s="71"/>
      <c r="AC101" s="71"/>
      <c r="AD101" s="71"/>
      <c r="AE101" s="71"/>
      <c r="AF101" s="71"/>
      <c r="AG101" s="71"/>
      <c r="AH101" s="72">
        <f>COUNTA(Avril!$C101:$AG101)</f>
        <v>0</v>
      </c>
      <c r="AI101" s="45">
        <f>(COUNTIFS(Avril!$C101:$AG101,("cp")))/2+Mars!AI101</f>
        <v>5</v>
      </c>
      <c r="AJ101" s="45">
        <f>COUNTIFS(Avril!$C101:$AG101,"RTT")/2+Mars!AJ101</f>
        <v>0</v>
      </c>
      <c r="AK101" s="45">
        <f>COUNTIFS(Avril!$C101:$AG101,"m")/2+Mars!AK101</f>
        <v>0</v>
      </c>
      <c r="AL101" s="45">
        <f>COUNTIFS(Avril!$C101:$AG101,"a")/2+Mars!AL101</f>
        <v>0</v>
      </c>
      <c r="AM101" s="46"/>
      <c r="AN101" s="47"/>
      <c r="AO101" s="47"/>
      <c r="AP101" s="46"/>
      <c r="AQ101" s="47"/>
      <c r="AR101" s="47"/>
      <c r="AS101" s="47"/>
    </row>
    <row r="102" spans="1:45" s="79" customFormat="1" ht="12.95" customHeight="1" x14ac:dyDescent="0.25">
      <c r="A102" s="73">
        <v>42814</v>
      </c>
      <c r="B102" s="42" t="s">
        <v>16</v>
      </c>
      <c r="C102" s="71"/>
      <c r="D102" s="71"/>
      <c r="E102" s="71"/>
      <c r="F102" s="71"/>
      <c r="G102" s="71"/>
      <c r="H102" s="71"/>
      <c r="I102" s="71"/>
      <c r="J102" s="71"/>
      <c r="K102" s="71"/>
      <c r="L102" s="71"/>
      <c r="M102" s="71"/>
      <c r="N102" s="71"/>
      <c r="O102" s="71"/>
      <c r="P102" s="71"/>
      <c r="Q102" s="71"/>
      <c r="R102" s="71"/>
      <c r="S102" s="71"/>
      <c r="T102" s="71"/>
      <c r="U102" s="71"/>
      <c r="V102" s="71"/>
      <c r="W102" s="71"/>
      <c r="X102" s="71"/>
      <c r="Y102" s="71"/>
      <c r="Z102" s="71"/>
      <c r="AA102" s="71"/>
      <c r="AB102" s="71"/>
      <c r="AC102" s="71"/>
      <c r="AD102" s="71"/>
      <c r="AE102" s="71"/>
      <c r="AF102" s="71"/>
      <c r="AG102" s="71"/>
      <c r="AH102" s="72">
        <f>COUNTA(Avril!$C102:$AG102)</f>
        <v>0</v>
      </c>
      <c r="AI102" s="45">
        <f>(COUNTIFS(Avril!$C102:$AG102,("cp")))/2+Mars!AI102</f>
        <v>5</v>
      </c>
      <c r="AJ102" s="45">
        <f>COUNTIFS(Avril!$C102:$AG102,"RTT")/2+Mars!AJ102</f>
        <v>0</v>
      </c>
      <c r="AK102" s="45">
        <f>COUNTIFS(Avril!$C102:$AG102,"m")/2+Mars!AK102</f>
        <v>0</v>
      </c>
      <c r="AL102" s="45">
        <f>COUNTIFS(Avril!$C102:$AG102,"a")/2+Mars!AL102</f>
        <v>0</v>
      </c>
      <c r="AM102" s="46"/>
      <c r="AN102" s="47"/>
      <c r="AO102" s="47"/>
      <c r="AP102" s="46"/>
      <c r="AQ102" s="47"/>
      <c r="AR102" s="47"/>
      <c r="AS102" s="101"/>
    </row>
    <row r="103" spans="1:45" s="79" customFormat="1" ht="12.95" customHeight="1" x14ac:dyDescent="0.25">
      <c r="A103" s="70"/>
      <c r="B103" s="42"/>
      <c r="C103" s="71" t="str">
        <f t="shared" ref="C103:AG103" si="29">IF(C101&gt;0,C101,IF(C102&gt;0,C102,""))</f>
        <v/>
      </c>
      <c r="D103" s="71" t="str">
        <f t="shared" si="29"/>
        <v/>
      </c>
      <c r="E103" s="71" t="str">
        <f t="shared" si="29"/>
        <v/>
      </c>
      <c r="F103" s="71" t="str">
        <f t="shared" si="29"/>
        <v/>
      </c>
      <c r="G103" s="71" t="str">
        <f t="shared" si="29"/>
        <v/>
      </c>
      <c r="H103" s="71" t="str">
        <f t="shared" si="29"/>
        <v/>
      </c>
      <c r="I103" s="71" t="str">
        <f t="shared" si="29"/>
        <v/>
      </c>
      <c r="J103" s="71" t="str">
        <f t="shared" si="29"/>
        <v/>
      </c>
      <c r="K103" s="71" t="str">
        <f t="shared" si="29"/>
        <v/>
      </c>
      <c r="L103" s="71" t="str">
        <f t="shared" si="29"/>
        <v/>
      </c>
      <c r="M103" s="71" t="str">
        <f t="shared" si="29"/>
        <v/>
      </c>
      <c r="N103" s="71" t="str">
        <f t="shared" si="29"/>
        <v/>
      </c>
      <c r="O103" s="71" t="str">
        <f t="shared" si="29"/>
        <v/>
      </c>
      <c r="P103" s="71" t="str">
        <f t="shared" si="29"/>
        <v/>
      </c>
      <c r="Q103" s="71" t="str">
        <f t="shared" si="29"/>
        <v/>
      </c>
      <c r="R103" s="71" t="str">
        <f t="shared" si="29"/>
        <v/>
      </c>
      <c r="S103" s="71" t="str">
        <f t="shared" si="29"/>
        <v/>
      </c>
      <c r="T103" s="71" t="str">
        <f t="shared" si="29"/>
        <v/>
      </c>
      <c r="U103" s="71" t="str">
        <f t="shared" si="29"/>
        <v/>
      </c>
      <c r="V103" s="71" t="str">
        <f t="shared" si="29"/>
        <v/>
      </c>
      <c r="W103" s="71" t="str">
        <f t="shared" si="29"/>
        <v/>
      </c>
      <c r="X103" s="71" t="str">
        <f t="shared" si="29"/>
        <v/>
      </c>
      <c r="Y103" s="71" t="str">
        <f t="shared" si="29"/>
        <v/>
      </c>
      <c r="Z103" s="71" t="str">
        <f t="shared" si="29"/>
        <v/>
      </c>
      <c r="AA103" s="71" t="str">
        <f t="shared" si="29"/>
        <v/>
      </c>
      <c r="AB103" s="71" t="str">
        <f t="shared" si="29"/>
        <v/>
      </c>
      <c r="AC103" s="71" t="str">
        <f t="shared" si="29"/>
        <v/>
      </c>
      <c r="AD103" s="71" t="str">
        <f t="shared" si="29"/>
        <v/>
      </c>
      <c r="AE103" s="71" t="str">
        <f t="shared" si="29"/>
        <v/>
      </c>
      <c r="AF103" s="71" t="str">
        <f t="shared" si="29"/>
        <v/>
      </c>
      <c r="AG103" s="71" t="str">
        <f t="shared" si="29"/>
        <v/>
      </c>
      <c r="AH103" s="72">
        <f>SUM(AH101:AH102)</f>
        <v>0</v>
      </c>
      <c r="AI103" s="45">
        <f>SUM(AI101:AI102)</f>
        <v>10</v>
      </c>
      <c r="AJ103" s="45">
        <f>SUM(AJ101:AJ102)</f>
        <v>0</v>
      </c>
      <c r="AK103" s="45">
        <f>SUM(AK101:AK102)</f>
        <v>0</v>
      </c>
      <c r="AL103" s="45">
        <f>SUM(AL101:AL102)</f>
        <v>0</v>
      </c>
      <c r="AM103" s="50">
        <f>Juin!AM103</f>
        <v>2.65</v>
      </c>
      <c r="AN103" s="51">
        <f>IF(A102="","",IF(A102&gt;NomMois,0,IF(A102&lt;$A$3,2.08,(NETWORKDAYS(A102,$A$2)/21.66667)*2.08)))</f>
        <v>2.08</v>
      </c>
      <c r="AO103" s="51">
        <f>IF( AN103="",0,+AN103+Mars!AO103)</f>
        <v>22.879999999999995</v>
      </c>
      <c r="AP103" s="50"/>
      <c r="AQ103" s="45">
        <f>+AM103-AI103</f>
        <v>-7.35</v>
      </c>
      <c r="AR103" s="45" t="str">
        <f>+IF(AP103="","",AP103-AJ103)</f>
        <v/>
      </c>
      <c r="AS103" s="102">
        <f t="shared" si="27"/>
        <v>15.529999999999996</v>
      </c>
    </row>
    <row r="104" spans="1:45" s="79" customFormat="1" ht="8.25" customHeight="1" x14ac:dyDescent="0.25">
      <c r="A104" s="64"/>
      <c r="B104" s="42"/>
      <c r="C104" s="64"/>
      <c r="D104" s="64"/>
      <c r="E104" s="64"/>
      <c r="F104" s="64"/>
      <c r="G104" s="64"/>
      <c r="H104" s="64"/>
      <c r="I104" s="64"/>
      <c r="J104" s="64"/>
      <c r="K104" s="64"/>
      <c r="L104" s="64"/>
      <c r="M104" s="64"/>
      <c r="N104" s="64"/>
      <c r="O104" s="64"/>
      <c r="P104" s="64"/>
      <c r="Q104" s="64"/>
      <c r="R104" s="64"/>
      <c r="S104" s="64"/>
      <c r="T104" s="64"/>
      <c r="U104" s="64"/>
      <c r="V104" s="64"/>
      <c r="W104" s="64"/>
      <c r="X104" s="64"/>
      <c r="Y104" s="64"/>
      <c r="Z104" s="64"/>
      <c r="AA104" s="64"/>
      <c r="AB104" s="64"/>
      <c r="AC104" s="64"/>
      <c r="AD104" s="64"/>
      <c r="AE104" s="64"/>
      <c r="AF104" s="64"/>
      <c r="AG104" s="64"/>
      <c r="AH104" s="65"/>
      <c r="AI104" s="65"/>
      <c r="AJ104" s="65"/>
      <c r="AK104" s="65"/>
      <c r="AL104" s="65"/>
      <c r="AM104" s="64"/>
      <c r="AN104" s="65"/>
      <c r="AO104" s="65"/>
      <c r="AP104" s="64"/>
      <c r="AQ104" s="69"/>
      <c r="AR104" s="69"/>
      <c r="AS104" s="65"/>
    </row>
    <row r="105" spans="1:45" s="79" customFormat="1" ht="12.95" customHeight="1" x14ac:dyDescent="0.25">
      <c r="A105" s="41"/>
      <c r="B105" s="42" t="s">
        <v>15</v>
      </c>
      <c r="C105" s="67"/>
      <c r="D105" s="43"/>
      <c r="E105" s="43"/>
      <c r="F105" s="43"/>
      <c r="G105" s="43"/>
      <c r="H105" s="43"/>
      <c r="I105" s="43"/>
      <c r="J105" s="43"/>
      <c r="K105" s="43"/>
      <c r="L105" s="43"/>
      <c r="M105" s="43"/>
      <c r="N105" s="43"/>
      <c r="O105" s="43"/>
      <c r="P105" s="43"/>
      <c r="Q105" s="43"/>
      <c r="R105" s="43"/>
      <c r="S105" s="43"/>
      <c r="T105" s="43"/>
      <c r="U105" s="43"/>
      <c r="V105" s="43"/>
      <c r="W105" s="43"/>
      <c r="X105" s="43"/>
      <c r="Y105" s="43"/>
      <c r="Z105" s="43"/>
      <c r="AA105" s="43"/>
      <c r="AB105" s="43"/>
      <c r="AC105" s="43"/>
      <c r="AD105" s="43"/>
      <c r="AE105" s="43"/>
      <c r="AF105" s="43"/>
      <c r="AG105" s="43"/>
      <c r="AH105" s="44">
        <f>COUNTA(Avril!$C105:$AG105)</f>
        <v>0</v>
      </c>
      <c r="AI105" s="45">
        <f>(COUNTIFS(Avril!$C105:$AG105,("cp")))/2+Mars!AI105</f>
        <v>0</v>
      </c>
      <c r="AJ105" s="45">
        <f>COUNTIFS(Avril!$C105:$AG105,"RTT")/2+Mars!AJ105</f>
        <v>0</v>
      </c>
      <c r="AK105" s="45">
        <f>COUNTIFS(Avril!$C105:$AG105,"m")/2+Mars!AK105</f>
        <v>0</v>
      </c>
      <c r="AL105" s="45">
        <f>COUNTIFS(Avril!$C105:$AG105,"a")/2+Mars!AL105</f>
        <v>0</v>
      </c>
      <c r="AM105" s="46"/>
      <c r="AN105" s="47"/>
      <c r="AO105" s="47"/>
      <c r="AP105" s="46"/>
      <c r="AQ105" s="47"/>
      <c r="AR105" s="47"/>
      <c r="AS105" s="47"/>
    </row>
    <row r="106" spans="1:45" s="79" customFormat="1" ht="12.95" customHeight="1" x14ac:dyDescent="0.25">
      <c r="A106" s="48">
        <v>43037</v>
      </c>
      <c r="B106" s="42" t="s">
        <v>16</v>
      </c>
      <c r="C106" s="67"/>
      <c r="D106" s="43"/>
      <c r="E106" s="43"/>
      <c r="F106" s="43"/>
      <c r="G106" s="43"/>
      <c r="H106" s="43"/>
      <c r="I106" s="43"/>
      <c r="J106" s="43"/>
      <c r="K106" s="43"/>
      <c r="L106" s="43"/>
      <c r="M106" s="43"/>
      <c r="N106" s="43"/>
      <c r="O106" s="43"/>
      <c r="P106" s="43"/>
      <c r="Q106" s="43"/>
      <c r="R106" s="43"/>
      <c r="S106" s="43"/>
      <c r="T106" s="43"/>
      <c r="U106" s="43"/>
      <c r="V106" s="43"/>
      <c r="W106" s="43"/>
      <c r="X106" s="43"/>
      <c r="Y106" s="43"/>
      <c r="Z106" s="43"/>
      <c r="AA106" s="43"/>
      <c r="AB106" s="43"/>
      <c r="AC106" s="43"/>
      <c r="AD106" s="43"/>
      <c r="AE106" s="43"/>
      <c r="AF106" s="43"/>
      <c r="AG106" s="43"/>
      <c r="AH106" s="44">
        <f>COUNTA(Avril!$C106:$AG106)</f>
        <v>0</v>
      </c>
      <c r="AI106" s="45">
        <f>(COUNTIFS(Avril!$C106:$AG106,("cp")))/2+Mars!AI106</f>
        <v>0</v>
      </c>
      <c r="AJ106" s="45">
        <f>COUNTIFS(Avril!$C106:$AG106,"RTT")/2+Mars!AJ106</f>
        <v>0</v>
      </c>
      <c r="AK106" s="45">
        <f>COUNTIFS(Avril!$C106:$AG106,"m")/2+Mars!AK106</f>
        <v>0</v>
      </c>
      <c r="AL106" s="45">
        <f>COUNTIFS(Avril!$C106:$AG106,"a")/2+Mars!AL106</f>
        <v>0</v>
      </c>
      <c r="AM106" s="46"/>
      <c r="AN106" s="47"/>
      <c r="AO106" s="47"/>
      <c r="AP106" s="46"/>
      <c r="AQ106" s="47"/>
      <c r="AR106" s="47"/>
      <c r="AS106" s="101"/>
    </row>
    <row r="107" spans="1:45" s="79" customFormat="1" ht="12.95" customHeight="1" x14ac:dyDescent="0.25">
      <c r="A107" s="41"/>
      <c r="B107" s="42"/>
      <c r="C107" s="49" t="str">
        <f t="shared" ref="C107:AG107" si="30">IF(C105&gt;0,C105,IF(C106&gt;0,C106,""))</f>
        <v/>
      </c>
      <c r="D107" s="49" t="str">
        <f t="shared" si="30"/>
        <v/>
      </c>
      <c r="E107" s="49" t="str">
        <f t="shared" si="30"/>
        <v/>
      </c>
      <c r="F107" s="49" t="str">
        <f t="shared" si="30"/>
        <v/>
      </c>
      <c r="G107" s="49" t="str">
        <f t="shared" si="30"/>
        <v/>
      </c>
      <c r="H107" s="49" t="str">
        <f t="shared" si="30"/>
        <v/>
      </c>
      <c r="I107" s="49" t="str">
        <f t="shared" si="30"/>
        <v/>
      </c>
      <c r="J107" s="49" t="str">
        <f t="shared" si="30"/>
        <v/>
      </c>
      <c r="K107" s="49" t="str">
        <f t="shared" si="30"/>
        <v/>
      </c>
      <c r="L107" s="49" t="str">
        <f t="shared" si="30"/>
        <v/>
      </c>
      <c r="M107" s="49" t="str">
        <f t="shared" si="30"/>
        <v/>
      </c>
      <c r="N107" s="49" t="str">
        <f t="shared" si="30"/>
        <v/>
      </c>
      <c r="O107" s="49" t="str">
        <f t="shared" si="30"/>
        <v/>
      </c>
      <c r="P107" s="49" t="str">
        <f t="shared" si="30"/>
        <v/>
      </c>
      <c r="Q107" s="49" t="str">
        <f t="shared" si="30"/>
        <v/>
      </c>
      <c r="R107" s="49" t="str">
        <f t="shared" si="30"/>
        <v/>
      </c>
      <c r="S107" s="49" t="str">
        <f t="shared" si="30"/>
        <v/>
      </c>
      <c r="T107" s="49" t="str">
        <f t="shared" si="30"/>
        <v/>
      </c>
      <c r="U107" s="49" t="str">
        <f t="shared" si="30"/>
        <v/>
      </c>
      <c r="V107" s="49" t="str">
        <f t="shared" si="30"/>
        <v/>
      </c>
      <c r="W107" s="49" t="str">
        <f t="shared" si="30"/>
        <v/>
      </c>
      <c r="X107" s="49" t="str">
        <f t="shared" si="30"/>
        <v/>
      </c>
      <c r="Y107" s="49" t="str">
        <f t="shared" si="30"/>
        <v/>
      </c>
      <c r="Z107" s="49" t="str">
        <f t="shared" si="30"/>
        <v/>
      </c>
      <c r="AA107" s="49" t="str">
        <f t="shared" si="30"/>
        <v/>
      </c>
      <c r="AB107" s="49" t="str">
        <f t="shared" si="30"/>
        <v/>
      </c>
      <c r="AC107" s="49" t="str">
        <f t="shared" si="30"/>
        <v/>
      </c>
      <c r="AD107" s="49" t="str">
        <f t="shared" si="30"/>
        <v/>
      </c>
      <c r="AE107" s="49" t="str">
        <f t="shared" si="30"/>
        <v/>
      </c>
      <c r="AF107" s="49" t="str">
        <f t="shared" si="30"/>
        <v/>
      </c>
      <c r="AG107" s="49" t="str">
        <f t="shared" si="30"/>
        <v/>
      </c>
      <c r="AH107" s="44">
        <f>SUM(AH105:AH106)</f>
        <v>0</v>
      </c>
      <c r="AI107" s="45">
        <f>SUM(AI105:AI106)</f>
        <v>0</v>
      </c>
      <c r="AJ107" s="45">
        <f>SUM(AJ105:AJ106)</f>
        <v>0</v>
      </c>
      <c r="AK107" s="45">
        <f>SUM(AK105:AK106)</f>
        <v>0</v>
      </c>
      <c r="AL107" s="45">
        <f>SUM(AL105:AL106)</f>
        <v>0</v>
      </c>
      <c r="AM107" s="50">
        <v>0</v>
      </c>
      <c r="AN107" s="51">
        <f>IF(A106="","",IF(A106&gt;NomMois,0,IF(A106&lt;$A$3,2.08,(NETWORKDAYS(A106,$A$2)/21.66667)*2.08)))</f>
        <v>2.08</v>
      </c>
      <c r="AO107" s="51">
        <f>IF( AN107="",0,+AN107+Mars!AO107)</f>
        <v>12.671999970461544</v>
      </c>
      <c r="AP107" s="50"/>
      <c r="AQ107" s="45">
        <f>+AM107-AI107</f>
        <v>0</v>
      </c>
      <c r="AR107" s="45" t="str">
        <f>+IF(AP107="","",AP107-AJ107)</f>
        <v/>
      </c>
      <c r="AS107" s="102">
        <f t="shared" si="27"/>
        <v>12.671999970461544</v>
      </c>
    </row>
    <row r="108" spans="1:45" s="79" customFormat="1" ht="6.75" customHeight="1" x14ac:dyDescent="0.25">
      <c r="A108" s="64"/>
      <c r="B108" s="42"/>
      <c r="C108" s="64"/>
      <c r="D108" s="64"/>
      <c r="E108" s="64"/>
      <c r="F108" s="64"/>
      <c r="G108" s="64"/>
      <c r="H108" s="64"/>
      <c r="I108" s="64"/>
      <c r="J108" s="64"/>
      <c r="K108" s="64"/>
      <c r="L108" s="64"/>
      <c r="M108" s="64"/>
      <c r="N108" s="64"/>
      <c r="O108" s="64"/>
      <c r="P108" s="64"/>
      <c r="Q108" s="64"/>
      <c r="R108" s="64"/>
      <c r="S108" s="64"/>
      <c r="T108" s="64"/>
      <c r="U108" s="64"/>
      <c r="V108" s="64"/>
      <c r="W108" s="64"/>
      <c r="X108" s="64"/>
      <c r="Y108" s="64"/>
      <c r="Z108" s="64"/>
      <c r="AA108" s="64"/>
      <c r="AB108" s="64"/>
      <c r="AC108" s="64"/>
      <c r="AD108" s="64"/>
      <c r="AE108" s="64"/>
      <c r="AF108" s="64"/>
      <c r="AG108" s="64"/>
      <c r="AH108" s="65"/>
      <c r="AI108" s="65"/>
      <c r="AJ108" s="65"/>
      <c r="AK108" s="65"/>
      <c r="AL108" s="65"/>
      <c r="AM108" s="64"/>
      <c r="AN108" s="65"/>
      <c r="AO108" s="65"/>
      <c r="AP108" s="64"/>
      <c r="AQ108" s="69"/>
      <c r="AR108" s="69"/>
      <c r="AS108" s="65"/>
    </row>
    <row r="109" spans="1:45" s="79" customFormat="1" ht="12.95" customHeight="1" x14ac:dyDescent="0.25">
      <c r="A109" s="41"/>
      <c r="B109" s="42" t="s">
        <v>15</v>
      </c>
      <c r="C109" s="67"/>
      <c r="D109" s="43"/>
      <c r="E109" s="43"/>
      <c r="F109" s="43"/>
      <c r="G109" s="43"/>
      <c r="H109" s="43"/>
      <c r="I109" s="43"/>
      <c r="J109" s="43"/>
      <c r="K109" s="43"/>
      <c r="L109" s="43"/>
      <c r="M109" s="43"/>
      <c r="N109" s="43"/>
      <c r="O109" s="43"/>
      <c r="P109" s="43"/>
      <c r="Q109" s="43"/>
      <c r="R109" s="43"/>
      <c r="S109" s="43"/>
      <c r="T109" s="43"/>
      <c r="U109" s="43"/>
      <c r="V109" s="43"/>
      <c r="W109" s="43"/>
      <c r="X109" s="43"/>
      <c r="Y109" s="43"/>
      <c r="Z109" s="43"/>
      <c r="AA109" s="43"/>
      <c r="AB109" s="43"/>
      <c r="AC109" s="43"/>
      <c r="AD109" s="43"/>
      <c r="AE109" s="43"/>
      <c r="AF109" s="43"/>
      <c r="AG109" s="43"/>
      <c r="AH109" s="44">
        <f>COUNTA(Avril!$C109:$AG109)</f>
        <v>0</v>
      </c>
      <c r="AI109" s="45">
        <f>(COUNTIFS(Avril!$C109:$AG109,("cp")))/2+Mars!AI109</f>
        <v>0</v>
      </c>
      <c r="AJ109" s="45">
        <f>COUNTIFS(Avril!$C109:$AG109,"RTT")/2+Mars!AJ109</f>
        <v>0</v>
      </c>
      <c r="AK109" s="45">
        <f>COUNTIFS(Avril!$C109:$AG109,"m")/2+Mars!AK109</f>
        <v>0</v>
      </c>
      <c r="AL109" s="45">
        <f>COUNTIFS(Avril!$C109:$AG109,"a")/2+Mars!AL109</f>
        <v>0</v>
      </c>
      <c r="AM109" s="46"/>
      <c r="AN109" s="47"/>
      <c r="AO109" s="47"/>
      <c r="AP109" s="46"/>
      <c r="AQ109" s="47"/>
      <c r="AR109" s="47"/>
      <c r="AS109" s="47"/>
    </row>
    <row r="110" spans="1:45" s="79" customFormat="1" ht="12.95" customHeight="1" x14ac:dyDescent="0.25">
      <c r="A110" s="48">
        <v>42991</v>
      </c>
      <c r="B110" s="42" t="s">
        <v>16</v>
      </c>
      <c r="C110" s="67"/>
      <c r="D110" s="43"/>
      <c r="E110" s="43"/>
      <c r="F110" s="43"/>
      <c r="G110" s="43"/>
      <c r="H110" s="43"/>
      <c r="I110" s="43"/>
      <c r="J110" s="43"/>
      <c r="K110" s="43"/>
      <c r="L110" s="43"/>
      <c r="M110" s="43"/>
      <c r="N110" s="43"/>
      <c r="O110" s="43"/>
      <c r="P110" s="43"/>
      <c r="Q110" s="43"/>
      <c r="R110" s="43"/>
      <c r="S110" s="43"/>
      <c r="T110" s="43"/>
      <c r="U110" s="43"/>
      <c r="V110" s="43"/>
      <c r="W110" s="43"/>
      <c r="X110" s="43"/>
      <c r="Y110" s="43"/>
      <c r="Z110" s="43"/>
      <c r="AA110" s="43"/>
      <c r="AB110" s="43"/>
      <c r="AC110" s="43"/>
      <c r="AD110" s="43"/>
      <c r="AE110" s="43"/>
      <c r="AF110" s="43"/>
      <c r="AG110" s="43"/>
      <c r="AH110" s="44">
        <f>COUNTA(Avril!$C110:$AG110)</f>
        <v>0</v>
      </c>
      <c r="AI110" s="45">
        <f>(COUNTIFS(Avril!$C110:$AG110,("cp")))/2+Mars!AI110</f>
        <v>0</v>
      </c>
      <c r="AJ110" s="45">
        <f>COUNTIFS(Avril!$C110:$AG110,"RTT")/2+Mars!AJ110</f>
        <v>0</v>
      </c>
      <c r="AK110" s="45">
        <f>COUNTIFS(Avril!$C110:$AG110,"m")/2+Mars!AK110</f>
        <v>0</v>
      </c>
      <c r="AL110" s="45">
        <f>COUNTIFS(Avril!$C110:$AG110,"a")/2+Mars!AL110</f>
        <v>0</v>
      </c>
      <c r="AM110" s="46"/>
      <c r="AN110" s="47"/>
      <c r="AO110" s="47"/>
      <c r="AP110" s="46"/>
      <c r="AQ110" s="47"/>
      <c r="AR110" s="47"/>
      <c r="AS110" s="101"/>
    </row>
    <row r="111" spans="1:45" s="79" customFormat="1" ht="12.95" customHeight="1" x14ac:dyDescent="0.25">
      <c r="A111" s="41"/>
      <c r="B111" s="42"/>
      <c r="C111" s="49" t="str">
        <f t="shared" ref="C111:AG111" si="31">IF(C109&gt;0,C109,IF(C110&gt;0,C110,""))</f>
        <v/>
      </c>
      <c r="D111" s="49" t="str">
        <f t="shared" si="31"/>
        <v/>
      </c>
      <c r="E111" s="49" t="str">
        <f t="shared" si="31"/>
        <v/>
      </c>
      <c r="F111" s="49" t="str">
        <f t="shared" si="31"/>
        <v/>
      </c>
      <c r="G111" s="49" t="str">
        <f t="shared" si="31"/>
        <v/>
      </c>
      <c r="H111" s="49" t="str">
        <f t="shared" si="31"/>
        <v/>
      </c>
      <c r="I111" s="49" t="str">
        <f t="shared" si="31"/>
        <v/>
      </c>
      <c r="J111" s="49" t="str">
        <f t="shared" si="31"/>
        <v/>
      </c>
      <c r="K111" s="49" t="str">
        <f t="shared" si="31"/>
        <v/>
      </c>
      <c r="L111" s="49" t="str">
        <f t="shared" si="31"/>
        <v/>
      </c>
      <c r="M111" s="49" t="str">
        <f t="shared" si="31"/>
        <v/>
      </c>
      <c r="N111" s="49" t="str">
        <f t="shared" si="31"/>
        <v/>
      </c>
      <c r="O111" s="49" t="str">
        <f t="shared" si="31"/>
        <v/>
      </c>
      <c r="P111" s="49" t="str">
        <f t="shared" si="31"/>
        <v/>
      </c>
      <c r="Q111" s="49" t="str">
        <f t="shared" si="31"/>
        <v/>
      </c>
      <c r="R111" s="49" t="str">
        <f t="shared" si="31"/>
        <v/>
      </c>
      <c r="S111" s="49" t="str">
        <f t="shared" si="31"/>
        <v/>
      </c>
      <c r="T111" s="49" t="str">
        <f t="shared" si="31"/>
        <v/>
      </c>
      <c r="U111" s="49" t="str">
        <f t="shared" si="31"/>
        <v/>
      </c>
      <c r="V111" s="49" t="str">
        <f t="shared" si="31"/>
        <v/>
      </c>
      <c r="W111" s="49" t="str">
        <f t="shared" si="31"/>
        <v/>
      </c>
      <c r="X111" s="49" t="str">
        <f t="shared" si="31"/>
        <v/>
      </c>
      <c r="Y111" s="49" t="str">
        <f t="shared" si="31"/>
        <v/>
      </c>
      <c r="Z111" s="49" t="str">
        <f t="shared" si="31"/>
        <v/>
      </c>
      <c r="AA111" s="49" t="str">
        <f t="shared" si="31"/>
        <v/>
      </c>
      <c r="AB111" s="49" t="str">
        <f t="shared" si="31"/>
        <v/>
      </c>
      <c r="AC111" s="49" t="str">
        <f t="shared" si="31"/>
        <v/>
      </c>
      <c r="AD111" s="49" t="str">
        <f t="shared" si="31"/>
        <v/>
      </c>
      <c r="AE111" s="49" t="str">
        <f t="shared" si="31"/>
        <v/>
      </c>
      <c r="AF111" s="49" t="str">
        <f t="shared" si="31"/>
        <v/>
      </c>
      <c r="AG111" s="49" t="str">
        <f t="shared" si="31"/>
        <v/>
      </c>
      <c r="AH111" s="44">
        <f>SUM(AH109:AH110)</f>
        <v>0</v>
      </c>
      <c r="AI111" s="45">
        <f>SUM(AI109:AI110)</f>
        <v>0</v>
      </c>
      <c r="AJ111" s="45">
        <f>SUM(AJ109:AJ110)</f>
        <v>0</v>
      </c>
      <c r="AK111" s="45">
        <f>SUM(AK109:AK110)</f>
        <v>0</v>
      </c>
      <c r="AL111" s="45">
        <f>SUM(AL109:AL110)</f>
        <v>0</v>
      </c>
      <c r="AM111" s="50">
        <v>0</v>
      </c>
      <c r="AN111" s="51">
        <f>IF(A110="","",IF(A110&gt;NomMois,0,IF(A110&lt;$A$3,2.08,(NETWORKDAYS(A110,$A$2)/21.66667)*2.08)))</f>
        <v>2.08</v>
      </c>
      <c r="AO111" s="51">
        <f>IF( AN111="",0,+AN111+Mars!AO111)</f>
        <v>15.80799980800003</v>
      </c>
      <c r="AP111" s="50"/>
      <c r="AQ111" s="45">
        <f>+AM111-AI111</f>
        <v>0</v>
      </c>
      <c r="AR111" s="45" t="str">
        <f>+IF(AP111="","",AP111-AJ111)</f>
        <v/>
      </c>
      <c r="AS111" s="102">
        <f t="shared" si="27"/>
        <v>15.80799980800003</v>
      </c>
    </row>
    <row r="112" spans="1:45" s="79" customFormat="1" ht="6.75" customHeight="1" x14ac:dyDescent="0.25">
      <c r="A112" s="64"/>
      <c r="B112" s="42"/>
      <c r="C112" s="64"/>
      <c r="D112" s="64"/>
      <c r="E112" s="64"/>
      <c r="F112" s="64"/>
      <c r="G112" s="64"/>
      <c r="H112" s="64"/>
      <c r="I112" s="64"/>
      <c r="J112" s="64"/>
      <c r="K112" s="64"/>
      <c r="L112" s="64"/>
      <c r="M112" s="64"/>
      <c r="N112" s="64"/>
      <c r="O112" s="64"/>
      <c r="P112" s="64"/>
      <c r="Q112" s="64"/>
      <c r="R112" s="64"/>
      <c r="S112" s="64"/>
      <c r="T112" s="64"/>
      <c r="U112" s="64"/>
      <c r="V112" s="64"/>
      <c r="W112" s="64"/>
      <c r="X112" s="64"/>
      <c r="Y112" s="64"/>
      <c r="Z112" s="64"/>
      <c r="AA112" s="64"/>
      <c r="AB112" s="64"/>
      <c r="AC112" s="64"/>
      <c r="AD112" s="64"/>
      <c r="AE112" s="64"/>
      <c r="AF112" s="64"/>
      <c r="AG112" s="64"/>
      <c r="AH112" s="65"/>
      <c r="AI112" s="65"/>
      <c r="AJ112" s="65"/>
      <c r="AK112" s="65"/>
      <c r="AL112" s="65"/>
      <c r="AM112" s="64"/>
      <c r="AN112" s="65"/>
      <c r="AO112" s="65"/>
      <c r="AP112" s="64"/>
      <c r="AQ112" s="69"/>
      <c r="AR112" s="69"/>
      <c r="AS112" s="65"/>
    </row>
    <row r="113" spans="1:45" s="79" customFormat="1" ht="12.95" customHeight="1" x14ac:dyDescent="0.25">
      <c r="A113" s="41"/>
      <c r="B113" s="42" t="s">
        <v>15</v>
      </c>
      <c r="C113" s="67"/>
      <c r="D113" s="43"/>
      <c r="E113" s="43"/>
      <c r="F113" s="43"/>
      <c r="G113" s="43"/>
      <c r="H113" s="43"/>
      <c r="I113" s="43"/>
      <c r="J113" s="43"/>
      <c r="K113" s="43"/>
      <c r="L113" s="43"/>
      <c r="M113" s="43"/>
      <c r="N113" s="43"/>
      <c r="O113" s="43"/>
      <c r="P113" s="43"/>
      <c r="Q113" s="43"/>
      <c r="R113" s="43"/>
      <c r="S113" s="43"/>
      <c r="T113" s="43"/>
      <c r="U113" s="43"/>
      <c r="V113" s="43"/>
      <c r="W113" s="43"/>
      <c r="X113" s="43"/>
      <c r="Y113" s="43"/>
      <c r="Z113" s="43"/>
      <c r="AA113" s="43"/>
      <c r="AB113" s="43"/>
      <c r="AC113" s="43"/>
      <c r="AD113" s="43"/>
      <c r="AE113" s="43"/>
      <c r="AF113" s="43"/>
      <c r="AG113" s="43"/>
      <c r="AH113" s="44">
        <f>COUNTA(Avril!$C113:$AG113)</f>
        <v>0</v>
      </c>
      <c r="AI113" s="45">
        <f>(COUNTIFS(Avril!$C113:$AG113,("cp")))/2+Mars!AI113</f>
        <v>0</v>
      </c>
      <c r="AJ113" s="45">
        <f>COUNTIFS(Avril!$C113:$AG113,"RTT")/2+Mars!AJ113</f>
        <v>0</v>
      </c>
      <c r="AK113" s="45">
        <f>COUNTIFS(Avril!$C113:$AG113,"m")/2+Mars!AK113</f>
        <v>0</v>
      </c>
      <c r="AL113" s="45">
        <f>COUNTIFS(Avril!$C113:$AG113,"a")/2+Mars!AL113</f>
        <v>0</v>
      </c>
      <c r="AM113" s="46"/>
      <c r="AN113" s="47"/>
      <c r="AO113" s="47"/>
      <c r="AP113" s="46"/>
      <c r="AQ113" s="47"/>
      <c r="AR113" s="47"/>
      <c r="AS113" s="47"/>
    </row>
    <row r="114" spans="1:45" s="79" customFormat="1" ht="12.95" customHeight="1" x14ac:dyDescent="0.25">
      <c r="A114" s="48">
        <v>43052</v>
      </c>
      <c r="B114" s="42" t="s">
        <v>16</v>
      </c>
      <c r="C114" s="67"/>
      <c r="D114" s="43"/>
      <c r="E114" s="43"/>
      <c r="F114" s="43"/>
      <c r="G114" s="43"/>
      <c r="H114" s="43"/>
      <c r="I114" s="43"/>
      <c r="J114" s="43"/>
      <c r="K114" s="43"/>
      <c r="L114" s="43"/>
      <c r="M114" s="43"/>
      <c r="N114" s="43"/>
      <c r="O114" s="43"/>
      <c r="P114" s="43"/>
      <c r="Q114" s="43"/>
      <c r="R114" s="43"/>
      <c r="S114" s="43"/>
      <c r="T114" s="43"/>
      <c r="U114" s="43"/>
      <c r="V114" s="43"/>
      <c r="W114" s="43"/>
      <c r="X114" s="43"/>
      <c r="Y114" s="43"/>
      <c r="Z114" s="43"/>
      <c r="AA114" s="43"/>
      <c r="AB114" s="43"/>
      <c r="AC114" s="43"/>
      <c r="AD114" s="43"/>
      <c r="AE114" s="43"/>
      <c r="AF114" s="43"/>
      <c r="AG114" s="43"/>
      <c r="AH114" s="44">
        <f>COUNTA(Avril!$C114:$AG114)</f>
        <v>0</v>
      </c>
      <c r="AI114" s="45">
        <f>(COUNTIFS(Avril!$C114:$AG114,("cp")))/2+Mars!AI114</f>
        <v>0</v>
      </c>
      <c r="AJ114" s="45">
        <f>COUNTIFS(Avril!$C114:$AG114,"RTT")/2+Mars!AJ114</f>
        <v>0</v>
      </c>
      <c r="AK114" s="45">
        <f>COUNTIFS(Avril!$C114:$AG114,"m")/2+Mars!AK114</f>
        <v>0</v>
      </c>
      <c r="AL114" s="45">
        <f>COUNTIFS(Avril!$C114:$AG114,"a")/2+Mars!AL114</f>
        <v>0</v>
      </c>
      <c r="AM114" s="46"/>
      <c r="AN114" s="47"/>
      <c r="AO114" s="47"/>
      <c r="AP114" s="46"/>
      <c r="AQ114" s="47"/>
      <c r="AR114" s="47"/>
      <c r="AS114" s="101"/>
    </row>
    <row r="115" spans="1:45" s="79" customFormat="1" ht="12.95" customHeight="1" x14ac:dyDescent="0.25">
      <c r="A115" s="41"/>
      <c r="B115" s="42"/>
      <c r="C115" s="49" t="str">
        <f t="shared" ref="C115:AG115" si="32">IF(C113&gt;0,C113,IF(C114&gt;0,C114,""))</f>
        <v/>
      </c>
      <c r="D115" s="49" t="str">
        <f t="shared" si="32"/>
        <v/>
      </c>
      <c r="E115" s="49" t="str">
        <f t="shared" si="32"/>
        <v/>
      </c>
      <c r="F115" s="49" t="str">
        <f t="shared" si="32"/>
        <v/>
      </c>
      <c r="G115" s="49" t="str">
        <f t="shared" si="32"/>
        <v/>
      </c>
      <c r="H115" s="49" t="str">
        <f t="shared" si="32"/>
        <v/>
      </c>
      <c r="I115" s="49" t="str">
        <f t="shared" si="32"/>
        <v/>
      </c>
      <c r="J115" s="49" t="str">
        <f t="shared" si="32"/>
        <v/>
      </c>
      <c r="K115" s="49" t="str">
        <f t="shared" si="32"/>
        <v/>
      </c>
      <c r="L115" s="49" t="str">
        <f t="shared" si="32"/>
        <v/>
      </c>
      <c r="M115" s="49" t="str">
        <f t="shared" si="32"/>
        <v/>
      </c>
      <c r="N115" s="49" t="str">
        <f t="shared" si="32"/>
        <v/>
      </c>
      <c r="O115" s="49" t="str">
        <f t="shared" si="32"/>
        <v/>
      </c>
      <c r="P115" s="49" t="str">
        <f t="shared" si="32"/>
        <v/>
      </c>
      <c r="Q115" s="49" t="str">
        <f t="shared" si="32"/>
        <v/>
      </c>
      <c r="R115" s="49" t="str">
        <f t="shared" si="32"/>
        <v/>
      </c>
      <c r="S115" s="49" t="str">
        <f t="shared" si="32"/>
        <v/>
      </c>
      <c r="T115" s="49" t="str">
        <f t="shared" si="32"/>
        <v/>
      </c>
      <c r="U115" s="49" t="str">
        <f t="shared" si="32"/>
        <v/>
      </c>
      <c r="V115" s="49" t="str">
        <f t="shared" si="32"/>
        <v/>
      </c>
      <c r="W115" s="49" t="str">
        <f t="shared" si="32"/>
        <v/>
      </c>
      <c r="X115" s="49" t="str">
        <f t="shared" si="32"/>
        <v/>
      </c>
      <c r="Y115" s="49" t="str">
        <f t="shared" si="32"/>
        <v/>
      </c>
      <c r="Z115" s="49" t="str">
        <f t="shared" si="32"/>
        <v/>
      </c>
      <c r="AA115" s="49" t="str">
        <f t="shared" si="32"/>
        <v/>
      </c>
      <c r="AB115" s="49" t="str">
        <f t="shared" si="32"/>
        <v/>
      </c>
      <c r="AC115" s="49" t="str">
        <f t="shared" si="32"/>
        <v/>
      </c>
      <c r="AD115" s="49" t="str">
        <f t="shared" si="32"/>
        <v/>
      </c>
      <c r="AE115" s="49" t="str">
        <f t="shared" si="32"/>
        <v/>
      </c>
      <c r="AF115" s="49" t="str">
        <f t="shared" si="32"/>
        <v/>
      </c>
      <c r="AG115" s="49" t="str">
        <f t="shared" si="32"/>
        <v/>
      </c>
      <c r="AH115" s="44">
        <f>SUM(AH113:AH114)</f>
        <v>0</v>
      </c>
      <c r="AI115" s="45">
        <f>SUM(AI113:AI114)</f>
        <v>0</v>
      </c>
      <c r="AJ115" s="45">
        <f>SUM(AJ113:AJ114)</f>
        <v>0</v>
      </c>
      <c r="AK115" s="45">
        <f>SUM(AK113:AK114)</f>
        <v>0</v>
      </c>
      <c r="AL115" s="45">
        <f>SUM(AL113:AL114)</f>
        <v>0</v>
      </c>
      <c r="AM115" s="50">
        <v>0</v>
      </c>
      <c r="AN115" s="51">
        <f>IF(A114="","",IF(A114&gt;NomMois,0,IF(A114&lt;$A$3,2.08,(NETWORKDAYS(A114,$A$2)/21.66667)*2.08)))</f>
        <v>2.08</v>
      </c>
      <c r="AO115" s="51">
        <f>IF( AN115="",0,+AN115+Mars!AO115)</f>
        <v>11.743999793230801</v>
      </c>
      <c r="AP115" s="50"/>
      <c r="AQ115" s="45">
        <f>+AM115-AI115</f>
        <v>0</v>
      </c>
      <c r="AR115" s="45" t="str">
        <f>+IF(AP115="","",AP115-AJ115)</f>
        <v/>
      </c>
      <c r="AS115" s="102">
        <f t="shared" si="27"/>
        <v>11.743999793230801</v>
      </c>
    </row>
    <row r="116" spans="1:45" s="79" customFormat="1" ht="6.75" customHeight="1" x14ac:dyDescent="0.25">
      <c r="A116" s="64"/>
      <c r="B116" s="42"/>
      <c r="C116" s="64"/>
      <c r="D116" s="64"/>
      <c r="E116" s="64"/>
      <c r="F116" s="64"/>
      <c r="G116" s="64"/>
      <c r="H116" s="64"/>
      <c r="I116" s="64"/>
      <c r="J116" s="64"/>
      <c r="K116" s="64"/>
      <c r="L116" s="64"/>
      <c r="M116" s="64"/>
      <c r="N116" s="64"/>
      <c r="O116" s="64"/>
      <c r="P116" s="64"/>
      <c r="Q116" s="64"/>
      <c r="R116" s="64"/>
      <c r="S116" s="64"/>
      <c r="T116" s="64"/>
      <c r="U116" s="64"/>
      <c r="V116" s="64"/>
      <c r="W116" s="64"/>
      <c r="X116" s="64"/>
      <c r="Y116" s="64"/>
      <c r="Z116" s="64"/>
      <c r="AA116" s="64"/>
      <c r="AB116" s="64"/>
      <c r="AC116" s="64"/>
      <c r="AD116" s="64"/>
      <c r="AE116" s="64"/>
      <c r="AF116" s="64"/>
      <c r="AG116" s="64"/>
      <c r="AH116" s="65"/>
      <c r="AI116" s="65"/>
      <c r="AJ116" s="65"/>
      <c r="AK116" s="65"/>
      <c r="AL116" s="65"/>
      <c r="AM116" s="64"/>
      <c r="AN116" s="65"/>
      <c r="AO116" s="65"/>
      <c r="AP116" s="64"/>
      <c r="AQ116" s="69"/>
      <c r="AR116" s="69"/>
      <c r="AS116" s="65"/>
    </row>
    <row r="117" spans="1:45" s="79" customFormat="1" ht="12.95" customHeight="1" x14ac:dyDescent="0.25">
      <c r="A117" s="41"/>
      <c r="B117" s="42" t="s">
        <v>15</v>
      </c>
      <c r="C117" s="67"/>
      <c r="D117" s="43"/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  <c r="S117" s="43"/>
      <c r="T117" s="43"/>
      <c r="U117" s="43"/>
      <c r="V117" s="43"/>
      <c r="W117" s="43"/>
      <c r="X117" s="43"/>
      <c r="Y117" s="43"/>
      <c r="Z117" s="43"/>
      <c r="AA117" s="43"/>
      <c r="AB117" s="43"/>
      <c r="AC117" s="43"/>
      <c r="AD117" s="43"/>
      <c r="AE117" s="43"/>
      <c r="AF117" s="43"/>
      <c r="AG117" s="43"/>
      <c r="AH117" s="44">
        <f>COUNTA(Avril!$C117:$AG117)</f>
        <v>0</v>
      </c>
      <c r="AI117" s="45">
        <f>(COUNTIFS(Avril!$C117:$AG117,("cp")))/2+Mars!AI117</f>
        <v>0</v>
      </c>
      <c r="AJ117" s="45">
        <f>COUNTIFS(Avril!$C117:$AG117,"RTT")/2+Mars!AJ117</f>
        <v>0</v>
      </c>
      <c r="AK117" s="45">
        <f>COUNTIFS(Avril!$C117:$AG117,"m")/2+Mars!AK117</f>
        <v>0</v>
      </c>
      <c r="AL117" s="45">
        <f>COUNTIFS(Avril!$C117:$AG117,"a")/2+Mars!AL117</f>
        <v>0</v>
      </c>
      <c r="AM117" s="46"/>
      <c r="AN117" s="47"/>
      <c r="AO117" s="47"/>
      <c r="AP117" s="46"/>
      <c r="AQ117" s="47"/>
      <c r="AR117" s="47"/>
      <c r="AS117" s="47"/>
    </row>
    <row r="118" spans="1:45" s="79" customFormat="1" ht="12.95" customHeight="1" x14ac:dyDescent="0.25">
      <c r="A118" s="48"/>
      <c r="B118" s="42" t="s">
        <v>16</v>
      </c>
      <c r="C118" s="67"/>
      <c r="D118" s="43"/>
      <c r="E118" s="43"/>
      <c r="F118" s="43"/>
      <c r="G118" s="43"/>
      <c r="H118" s="43"/>
      <c r="I118" s="43"/>
      <c r="J118" s="43"/>
      <c r="K118" s="43"/>
      <c r="L118" s="43"/>
      <c r="M118" s="43"/>
      <c r="N118" s="43"/>
      <c r="O118" s="43"/>
      <c r="P118" s="43"/>
      <c r="Q118" s="43"/>
      <c r="R118" s="43"/>
      <c r="S118" s="43"/>
      <c r="T118" s="43"/>
      <c r="U118" s="43"/>
      <c r="V118" s="43"/>
      <c r="W118" s="43"/>
      <c r="X118" s="43"/>
      <c r="Y118" s="43"/>
      <c r="Z118" s="43"/>
      <c r="AA118" s="43"/>
      <c r="AB118" s="43"/>
      <c r="AC118" s="43"/>
      <c r="AD118" s="43"/>
      <c r="AE118" s="43"/>
      <c r="AF118" s="43"/>
      <c r="AG118" s="43"/>
      <c r="AH118" s="44">
        <f>COUNTA(Avril!$C118:$AG118)</f>
        <v>0</v>
      </c>
      <c r="AI118" s="45">
        <f>(COUNTIFS(Avril!$C118:$AG118,("cp")))/2+Mars!AI118</f>
        <v>0</v>
      </c>
      <c r="AJ118" s="45">
        <f>COUNTIFS(Avril!$C118:$AG118,"RTT")/2+Mars!AJ118</f>
        <v>0</v>
      </c>
      <c r="AK118" s="45">
        <f>COUNTIFS(Avril!$C118:$AG118,"m")/2+Mars!AK118</f>
        <v>0</v>
      </c>
      <c r="AL118" s="45">
        <f>COUNTIFS(Avril!$C118:$AG118,"a")/2+Mars!AL118</f>
        <v>0</v>
      </c>
      <c r="AM118" s="46"/>
      <c r="AN118" s="47"/>
      <c r="AO118" s="47"/>
      <c r="AP118" s="46"/>
      <c r="AQ118" s="47"/>
      <c r="AR118" s="47"/>
      <c r="AS118" s="101"/>
    </row>
    <row r="119" spans="1:45" s="79" customFormat="1" ht="12.95" customHeight="1" x14ac:dyDescent="0.25">
      <c r="A119" s="41"/>
      <c r="B119" s="42"/>
      <c r="C119" s="49" t="str">
        <f t="shared" ref="C119:AG119" si="33">IF(C117&gt;0,C117,IF(C118&gt;0,C118,""))</f>
        <v/>
      </c>
      <c r="D119" s="49" t="str">
        <f t="shared" si="33"/>
        <v/>
      </c>
      <c r="E119" s="49" t="str">
        <f t="shared" si="33"/>
        <v/>
      </c>
      <c r="F119" s="49" t="str">
        <f t="shared" si="33"/>
        <v/>
      </c>
      <c r="G119" s="49" t="str">
        <f t="shared" si="33"/>
        <v/>
      </c>
      <c r="H119" s="49" t="str">
        <f t="shared" si="33"/>
        <v/>
      </c>
      <c r="I119" s="49" t="str">
        <f t="shared" si="33"/>
        <v/>
      </c>
      <c r="J119" s="49" t="str">
        <f t="shared" si="33"/>
        <v/>
      </c>
      <c r="K119" s="49" t="str">
        <f t="shared" si="33"/>
        <v/>
      </c>
      <c r="L119" s="49" t="str">
        <f t="shared" si="33"/>
        <v/>
      </c>
      <c r="M119" s="49" t="str">
        <f t="shared" si="33"/>
        <v/>
      </c>
      <c r="N119" s="49" t="str">
        <f t="shared" si="33"/>
        <v/>
      </c>
      <c r="O119" s="49" t="str">
        <f t="shared" si="33"/>
        <v/>
      </c>
      <c r="P119" s="49" t="str">
        <f t="shared" si="33"/>
        <v/>
      </c>
      <c r="Q119" s="49" t="str">
        <f t="shared" si="33"/>
        <v/>
      </c>
      <c r="R119" s="49" t="str">
        <f t="shared" si="33"/>
        <v/>
      </c>
      <c r="S119" s="49" t="str">
        <f t="shared" si="33"/>
        <v/>
      </c>
      <c r="T119" s="49" t="str">
        <f t="shared" si="33"/>
        <v/>
      </c>
      <c r="U119" s="49" t="str">
        <f t="shared" si="33"/>
        <v/>
      </c>
      <c r="V119" s="49" t="str">
        <f t="shared" si="33"/>
        <v/>
      </c>
      <c r="W119" s="49" t="str">
        <f t="shared" si="33"/>
        <v/>
      </c>
      <c r="X119" s="49" t="str">
        <f t="shared" si="33"/>
        <v/>
      </c>
      <c r="Y119" s="49" t="str">
        <f t="shared" si="33"/>
        <v/>
      </c>
      <c r="Z119" s="49" t="str">
        <f t="shared" si="33"/>
        <v/>
      </c>
      <c r="AA119" s="49" t="str">
        <f t="shared" si="33"/>
        <v/>
      </c>
      <c r="AB119" s="49" t="str">
        <f t="shared" si="33"/>
        <v/>
      </c>
      <c r="AC119" s="49" t="str">
        <f t="shared" si="33"/>
        <v/>
      </c>
      <c r="AD119" s="49" t="str">
        <f t="shared" si="33"/>
        <v/>
      </c>
      <c r="AE119" s="49" t="str">
        <f t="shared" si="33"/>
        <v/>
      </c>
      <c r="AF119" s="49" t="str">
        <f t="shared" si="33"/>
        <v/>
      </c>
      <c r="AG119" s="49" t="str">
        <f t="shared" si="33"/>
        <v/>
      </c>
      <c r="AH119" s="44">
        <f>SUM(AH117:AH118)</f>
        <v>0</v>
      </c>
      <c r="AI119" s="45">
        <f>SUM(AI117:AI118)</f>
        <v>0</v>
      </c>
      <c r="AJ119" s="45">
        <f>SUM(AJ117:AJ118)</f>
        <v>0</v>
      </c>
      <c r="AK119" s="45">
        <f>SUM(AK117:AK118)</f>
        <v>0</v>
      </c>
      <c r="AL119" s="45">
        <f>SUM(AL117:AL118)</f>
        <v>0</v>
      </c>
      <c r="AM119" s="50">
        <v>0</v>
      </c>
      <c r="AN119" s="51" t="str">
        <f>IF(A118="","",IF(A118&gt;NomMois,0,IF(A118&lt;$A$3,2.08,(NETWORKDAYS(A118,$A$2)/21.66667)*2.08)))</f>
        <v/>
      </c>
      <c r="AO119" s="51">
        <f>IF( AN119="",0,+AN119+Mars!AO119)</f>
        <v>0</v>
      </c>
      <c r="AP119" s="50"/>
      <c r="AQ119" s="45">
        <f>+AM119-AI119</f>
        <v>0</v>
      </c>
      <c r="AR119" s="45" t="str">
        <f>+IF(AP119="","",AP119-AJ119)</f>
        <v/>
      </c>
      <c r="AS119" s="102">
        <f t="shared" si="27"/>
        <v>0</v>
      </c>
    </row>
    <row r="120" spans="1:45" s="79" customFormat="1" ht="6.75" customHeight="1" x14ac:dyDescent="0.25">
      <c r="A120" s="64"/>
      <c r="B120" s="42"/>
      <c r="C120" s="64"/>
      <c r="D120" s="64"/>
      <c r="E120" s="64"/>
      <c r="F120" s="64"/>
      <c r="G120" s="64"/>
      <c r="H120" s="64"/>
      <c r="I120" s="64"/>
      <c r="J120" s="64"/>
      <c r="K120" s="64"/>
      <c r="L120" s="64"/>
      <c r="M120" s="64"/>
      <c r="N120" s="64"/>
      <c r="O120" s="64"/>
      <c r="P120" s="64"/>
      <c r="Q120" s="64"/>
      <c r="R120" s="64"/>
      <c r="S120" s="64"/>
      <c r="T120" s="64"/>
      <c r="U120" s="64"/>
      <c r="V120" s="64"/>
      <c r="W120" s="64"/>
      <c r="X120" s="64"/>
      <c r="Y120" s="64"/>
      <c r="Z120" s="64"/>
      <c r="AA120" s="64"/>
      <c r="AB120" s="64"/>
      <c r="AC120" s="64"/>
      <c r="AD120" s="64"/>
      <c r="AE120" s="64"/>
      <c r="AF120" s="64"/>
      <c r="AG120" s="64"/>
      <c r="AH120" s="65"/>
      <c r="AI120" s="65"/>
      <c r="AJ120" s="65"/>
      <c r="AK120" s="65"/>
      <c r="AL120" s="65"/>
      <c r="AM120" s="64"/>
      <c r="AN120" s="65"/>
      <c r="AO120" s="65"/>
      <c r="AP120" s="64"/>
      <c r="AQ120" s="69"/>
      <c r="AR120" s="69"/>
      <c r="AS120" s="65"/>
    </row>
    <row r="121" spans="1:45" s="79" customFormat="1" ht="12.95" customHeight="1" x14ac:dyDescent="0.25">
      <c r="A121" s="41"/>
      <c r="B121" s="42" t="s">
        <v>15</v>
      </c>
      <c r="C121" s="67"/>
      <c r="D121" s="43"/>
      <c r="E121" s="43"/>
      <c r="F121" s="43"/>
      <c r="G121" s="43"/>
      <c r="H121" s="43"/>
      <c r="I121" s="43"/>
      <c r="J121" s="43"/>
      <c r="K121" s="43"/>
      <c r="L121" s="43"/>
      <c r="M121" s="43"/>
      <c r="N121" s="43"/>
      <c r="O121" s="43"/>
      <c r="P121" s="43"/>
      <c r="Q121" s="43"/>
      <c r="R121" s="43"/>
      <c r="S121" s="43"/>
      <c r="T121" s="43"/>
      <c r="U121" s="43"/>
      <c r="V121" s="43"/>
      <c r="W121" s="43"/>
      <c r="X121" s="43"/>
      <c r="Y121" s="43"/>
      <c r="Z121" s="43"/>
      <c r="AA121" s="43"/>
      <c r="AB121" s="43"/>
      <c r="AC121" s="43"/>
      <c r="AD121" s="43"/>
      <c r="AE121" s="43"/>
      <c r="AF121" s="43"/>
      <c r="AG121" s="43"/>
      <c r="AH121" s="44">
        <f>COUNTA(Avril!$C121:$AG121)</f>
        <v>0</v>
      </c>
      <c r="AI121" s="45">
        <f>(COUNTIFS(Avril!$C121:$AG121,("cp")))/2+Mars!AI121</f>
        <v>0</v>
      </c>
      <c r="AJ121" s="45">
        <f>COUNTIFS(Avril!$C121:$AG121,"RTT")/2+Mars!AJ121</f>
        <v>0</v>
      </c>
      <c r="AK121" s="45">
        <f>COUNTIFS(Avril!$C121:$AG121,"m")/2+Mars!AK121</f>
        <v>0</v>
      </c>
      <c r="AL121" s="45">
        <f>COUNTIFS(Avril!$C121:$AG121,"a")/2+Mars!AL121</f>
        <v>0</v>
      </c>
      <c r="AM121" s="46"/>
      <c r="AN121" s="47"/>
      <c r="AO121" s="47"/>
      <c r="AP121" s="46"/>
      <c r="AQ121" s="47"/>
      <c r="AR121" s="47"/>
      <c r="AS121" s="47"/>
    </row>
    <row r="122" spans="1:45" s="79" customFormat="1" ht="12.95" customHeight="1" x14ac:dyDescent="0.25">
      <c r="A122" s="48"/>
      <c r="B122" s="42" t="s">
        <v>16</v>
      </c>
      <c r="C122" s="67"/>
      <c r="D122" s="43"/>
      <c r="E122" s="43"/>
      <c r="F122" s="43"/>
      <c r="G122" s="43"/>
      <c r="H122" s="43"/>
      <c r="I122" s="43"/>
      <c r="J122" s="43"/>
      <c r="K122" s="43"/>
      <c r="L122" s="43"/>
      <c r="M122" s="43"/>
      <c r="N122" s="43"/>
      <c r="O122" s="43"/>
      <c r="P122" s="43"/>
      <c r="Q122" s="43"/>
      <c r="R122" s="43"/>
      <c r="S122" s="43"/>
      <c r="T122" s="43"/>
      <c r="U122" s="43"/>
      <c r="V122" s="43"/>
      <c r="W122" s="43"/>
      <c r="X122" s="43"/>
      <c r="Y122" s="43"/>
      <c r="Z122" s="43"/>
      <c r="AA122" s="43"/>
      <c r="AB122" s="43"/>
      <c r="AC122" s="43"/>
      <c r="AD122" s="43"/>
      <c r="AE122" s="43"/>
      <c r="AF122" s="43"/>
      <c r="AG122" s="43"/>
      <c r="AH122" s="44">
        <f>COUNTA(Avril!$C122:$AG122)</f>
        <v>0</v>
      </c>
      <c r="AI122" s="45">
        <f>(COUNTIFS(Avril!$C122:$AG122,("cp")))/2+Mars!AI122</f>
        <v>0</v>
      </c>
      <c r="AJ122" s="45">
        <f>COUNTIFS(Avril!$C122:$AG122,"RTT")/2+Mars!AJ122</f>
        <v>0</v>
      </c>
      <c r="AK122" s="45">
        <f>COUNTIFS(Avril!$C122:$AG122,"m")/2+Mars!AK122</f>
        <v>0</v>
      </c>
      <c r="AL122" s="45">
        <f>COUNTIFS(Avril!$C122:$AG122,"a")/2+Mars!AL122</f>
        <v>0</v>
      </c>
      <c r="AM122" s="46"/>
      <c r="AN122" s="47"/>
      <c r="AO122" s="47"/>
      <c r="AP122" s="46"/>
      <c r="AQ122" s="47"/>
      <c r="AR122" s="47"/>
      <c r="AS122" s="101"/>
    </row>
    <row r="123" spans="1:45" s="79" customFormat="1" ht="12.95" customHeight="1" x14ac:dyDescent="0.25">
      <c r="A123" s="41"/>
      <c r="B123" s="42"/>
      <c r="C123" s="49" t="str">
        <f t="shared" ref="C123:AG123" si="34">IF(C121&gt;0,C121,IF(C122&gt;0,C122,""))</f>
        <v/>
      </c>
      <c r="D123" s="49" t="str">
        <f t="shared" si="34"/>
        <v/>
      </c>
      <c r="E123" s="49" t="str">
        <f t="shared" si="34"/>
        <v/>
      </c>
      <c r="F123" s="49" t="str">
        <f t="shared" si="34"/>
        <v/>
      </c>
      <c r="G123" s="49" t="str">
        <f t="shared" si="34"/>
        <v/>
      </c>
      <c r="H123" s="49" t="str">
        <f t="shared" si="34"/>
        <v/>
      </c>
      <c r="I123" s="49" t="str">
        <f t="shared" si="34"/>
        <v/>
      </c>
      <c r="J123" s="49" t="str">
        <f t="shared" si="34"/>
        <v/>
      </c>
      <c r="K123" s="49" t="str">
        <f t="shared" si="34"/>
        <v/>
      </c>
      <c r="L123" s="49" t="str">
        <f t="shared" si="34"/>
        <v/>
      </c>
      <c r="M123" s="49" t="str">
        <f t="shared" si="34"/>
        <v/>
      </c>
      <c r="N123" s="49" t="str">
        <f t="shared" si="34"/>
        <v/>
      </c>
      <c r="O123" s="49" t="str">
        <f t="shared" si="34"/>
        <v/>
      </c>
      <c r="P123" s="49" t="str">
        <f t="shared" si="34"/>
        <v/>
      </c>
      <c r="Q123" s="49" t="str">
        <f t="shared" si="34"/>
        <v/>
      </c>
      <c r="R123" s="49" t="str">
        <f t="shared" si="34"/>
        <v/>
      </c>
      <c r="S123" s="49" t="str">
        <f t="shared" si="34"/>
        <v/>
      </c>
      <c r="T123" s="49" t="str">
        <f t="shared" si="34"/>
        <v/>
      </c>
      <c r="U123" s="49" t="str">
        <f t="shared" si="34"/>
        <v/>
      </c>
      <c r="V123" s="49" t="str">
        <f t="shared" si="34"/>
        <v/>
      </c>
      <c r="W123" s="49" t="str">
        <f t="shared" si="34"/>
        <v/>
      </c>
      <c r="X123" s="49" t="str">
        <f t="shared" si="34"/>
        <v/>
      </c>
      <c r="Y123" s="49" t="str">
        <f t="shared" si="34"/>
        <v/>
      </c>
      <c r="Z123" s="49" t="str">
        <f t="shared" si="34"/>
        <v/>
      </c>
      <c r="AA123" s="49" t="str">
        <f t="shared" si="34"/>
        <v/>
      </c>
      <c r="AB123" s="49" t="str">
        <f t="shared" si="34"/>
        <v/>
      </c>
      <c r="AC123" s="49" t="str">
        <f t="shared" si="34"/>
        <v/>
      </c>
      <c r="AD123" s="49" t="str">
        <f t="shared" si="34"/>
        <v/>
      </c>
      <c r="AE123" s="49" t="str">
        <f t="shared" si="34"/>
        <v/>
      </c>
      <c r="AF123" s="49" t="str">
        <f t="shared" si="34"/>
        <v/>
      </c>
      <c r="AG123" s="49" t="str">
        <f t="shared" si="34"/>
        <v/>
      </c>
      <c r="AH123" s="44">
        <f>SUM(AH121:AH122)</f>
        <v>0</v>
      </c>
      <c r="AI123" s="45">
        <f>SUM(AI121:AI122)</f>
        <v>0</v>
      </c>
      <c r="AJ123" s="45">
        <f>SUM(AJ121:AJ122)</f>
        <v>0</v>
      </c>
      <c r="AK123" s="45">
        <f>SUM(AK121:AK122)</f>
        <v>0</v>
      </c>
      <c r="AL123" s="45">
        <f>SUM(AL121:AL122)</f>
        <v>0</v>
      </c>
      <c r="AM123" s="50">
        <v>0</v>
      </c>
      <c r="AN123" s="51" t="str">
        <f>IF(A122="","",IF(A122&gt;NomMois,0,IF(A122&lt;$A$3,2.08,(NETWORKDAYS(A122,$A$2)/21.66667)*2.08)))</f>
        <v/>
      </c>
      <c r="AO123" s="51">
        <f>IF( AN123="",0,+AN123+Mars!AO123)</f>
        <v>0</v>
      </c>
      <c r="AP123" s="50"/>
      <c r="AQ123" s="45">
        <f>+AM123-AI123</f>
        <v>0</v>
      </c>
      <c r="AR123" s="45" t="str">
        <f>+IF(AP123="","",AP123-AJ123)</f>
        <v/>
      </c>
      <c r="AS123" s="102">
        <f t="shared" si="27"/>
        <v>0</v>
      </c>
    </row>
    <row r="124" spans="1:45" s="79" customFormat="1" ht="6.75" customHeight="1" x14ac:dyDescent="0.25">
      <c r="A124" s="64"/>
      <c r="B124" s="64"/>
      <c r="C124" s="64"/>
      <c r="D124" s="64"/>
      <c r="E124" s="64"/>
      <c r="F124" s="64"/>
      <c r="G124" s="64"/>
      <c r="H124" s="64"/>
      <c r="I124" s="64"/>
      <c r="J124" s="64"/>
      <c r="K124" s="64"/>
      <c r="L124" s="64"/>
      <c r="M124" s="64"/>
      <c r="N124" s="64"/>
      <c r="O124" s="64"/>
      <c r="P124" s="64"/>
      <c r="Q124" s="64"/>
      <c r="R124" s="64"/>
      <c r="S124" s="64"/>
      <c r="T124" s="64"/>
      <c r="U124" s="64"/>
      <c r="V124" s="64"/>
      <c r="W124" s="64"/>
      <c r="X124" s="64"/>
      <c r="Y124" s="64"/>
      <c r="Z124" s="64"/>
      <c r="AA124" s="64"/>
      <c r="AB124" s="64"/>
      <c r="AC124" s="64"/>
      <c r="AD124" s="64"/>
      <c r="AE124" s="64"/>
      <c r="AF124" s="64"/>
      <c r="AG124" s="64"/>
      <c r="AH124" s="64"/>
      <c r="AI124" s="64"/>
      <c r="AJ124" s="64"/>
      <c r="AK124" s="64"/>
      <c r="AL124" s="64"/>
      <c r="AM124" s="64"/>
      <c r="AN124" s="64"/>
      <c r="AO124" s="64"/>
      <c r="AP124" s="64"/>
      <c r="AQ124" s="74"/>
      <c r="AR124" s="74"/>
      <c r="AS124" s="65"/>
    </row>
    <row r="125" spans="1:45" s="79" customFormat="1" x14ac:dyDescent="0.25">
      <c r="A125" s="100"/>
      <c r="B125" s="100"/>
      <c r="C125" s="100"/>
      <c r="D125" s="100"/>
      <c r="E125" s="100"/>
      <c r="F125" s="100"/>
      <c r="G125" s="100"/>
      <c r="H125" s="100"/>
      <c r="I125" s="100"/>
      <c r="J125" s="100"/>
      <c r="K125" s="100"/>
      <c r="L125" s="100"/>
      <c r="M125" s="100"/>
      <c r="N125" s="100"/>
      <c r="O125" s="100"/>
      <c r="P125" s="100"/>
      <c r="Q125" s="100"/>
      <c r="R125" s="100"/>
      <c r="S125" s="100"/>
      <c r="T125" s="100"/>
      <c r="U125" s="100"/>
      <c r="V125" s="100"/>
      <c r="W125" s="100"/>
      <c r="X125" s="100"/>
      <c r="Y125" s="100"/>
      <c r="Z125" s="100"/>
      <c r="AA125" s="100"/>
      <c r="AB125" s="100"/>
      <c r="AC125" s="100"/>
      <c r="AD125" s="100"/>
      <c r="AE125" s="100"/>
      <c r="AF125" s="100"/>
      <c r="AG125" s="100"/>
      <c r="AH125" s="100"/>
      <c r="AM125" s="8"/>
      <c r="AN125" s="8"/>
      <c r="AO125" s="8"/>
    </row>
    <row r="126" spans="1:45" s="79" customFormat="1" x14ac:dyDescent="0.25">
      <c r="A126" s="100"/>
      <c r="B126" s="100"/>
      <c r="C126" s="100"/>
      <c r="D126" s="100"/>
      <c r="E126" s="100"/>
      <c r="F126" s="100"/>
      <c r="G126" s="100"/>
      <c r="H126" s="100"/>
      <c r="I126" s="100"/>
      <c r="J126" s="100"/>
      <c r="K126" s="100"/>
      <c r="L126" s="100"/>
      <c r="M126" s="100"/>
      <c r="N126" s="100"/>
      <c r="O126" s="100"/>
      <c r="P126" s="100"/>
      <c r="Q126" s="100"/>
      <c r="R126" s="100"/>
      <c r="S126" s="100"/>
      <c r="T126" s="100"/>
      <c r="U126" s="100"/>
      <c r="V126" s="100"/>
      <c r="W126" s="100"/>
      <c r="X126" s="100"/>
      <c r="Y126" s="100"/>
      <c r="Z126" s="100"/>
      <c r="AA126" s="100"/>
      <c r="AB126" s="100"/>
      <c r="AC126" s="100"/>
      <c r="AD126" s="100"/>
      <c r="AE126" s="100"/>
      <c r="AF126" s="100"/>
      <c r="AG126" s="100"/>
      <c r="AH126" s="100"/>
      <c r="AM126" s="8"/>
      <c r="AN126" s="8"/>
      <c r="AO126" s="8"/>
    </row>
    <row r="127" spans="1:45" s="79" customFormat="1" x14ac:dyDescent="0.25">
      <c r="A127" s="80"/>
      <c r="B127" s="80"/>
      <c r="C127" s="82" t="s">
        <v>17</v>
      </c>
      <c r="D127" s="82"/>
      <c r="E127" s="82"/>
      <c r="F127" s="82"/>
      <c r="G127" s="83"/>
      <c r="H127" s="84" t="s">
        <v>7</v>
      </c>
      <c r="I127" s="85" t="s">
        <v>18</v>
      </c>
      <c r="J127" s="86"/>
      <c r="K127" s="86"/>
      <c r="L127" s="87" t="s">
        <v>8</v>
      </c>
      <c r="M127" s="85" t="s">
        <v>8</v>
      </c>
      <c r="N127" s="86"/>
      <c r="O127" s="86"/>
      <c r="P127" s="88" t="s">
        <v>9</v>
      </c>
      <c r="Q127" s="85" t="s">
        <v>19</v>
      </c>
      <c r="R127" s="86"/>
      <c r="S127" s="86"/>
      <c r="T127" s="89" t="s">
        <v>10</v>
      </c>
      <c r="U127" s="90" t="s">
        <v>20</v>
      </c>
      <c r="V127" s="91"/>
      <c r="W127" s="86"/>
      <c r="X127" s="93"/>
      <c r="Y127" s="92"/>
      <c r="Z127" s="90" t="s">
        <v>21</v>
      </c>
      <c r="AA127" s="86"/>
      <c r="AB127" s="91"/>
      <c r="AC127" s="93"/>
      <c r="AD127" s="93"/>
      <c r="AE127" s="93"/>
      <c r="AF127" s="93"/>
      <c r="AG127" s="93"/>
      <c r="AH127" s="94"/>
      <c r="AM127" s="8"/>
      <c r="AN127" s="8"/>
      <c r="AO127" s="8"/>
    </row>
    <row r="128" spans="1:45" s="79" customFormat="1" x14ac:dyDescent="0.25"/>
    <row r="129" s="79" customFormat="1" x14ac:dyDescent="0.25"/>
    <row r="130" s="79" customFormat="1" x14ac:dyDescent="0.25"/>
    <row r="131" s="79" customFormat="1" ht="15" customHeight="1" x14ac:dyDescent="0.25"/>
    <row r="132" s="79" customFormat="1" ht="15" customHeight="1" x14ac:dyDescent="0.25"/>
    <row r="133" s="79" customFormat="1" ht="15" customHeight="1" x14ac:dyDescent="0.25"/>
    <row r="134" s="79" customFormat="1" ht="15" customHeight="1" x14ac:dyDescent="0.25"/>
    <row r="135" s="79" customFormat="1" ht="15" customHeight="1" x14ac:dyDescent="0.25"/>
    <row r="136" s="79" customFormat="1" ht="15" customHeight="1" x14ac:dyDescent="0.25"/>
    <row r="137" s="79" customFormat="1" ht="15" customHeight="1" x14ac:dyDescent="0.25"/>
    <row r="138" s="79" customFormat="1" ht="15" customHeight="1" x14ac:dyDescent="0.25"/>
    <row r="139" s="79" customFormat="1" ht="15" customHeight="1" x14ac:dyDescent="0.25"/>
    <row r="140" s="79" customFormat="1" ht="15" customHeight="1" x14ac:dyDescent="0.25"/>
    <row r="141" s="79" customFormat="1" ht="15" customHeight="1" x14ac:dyDescent="0.25"/>
    <row r="142" s="79" customFormat="1" ht="15" customHeight="1" x14ac:dyDescent="0.25"/>
    <row r="143" s="79" customFormat="1" ht="15" customHeight="1" x14ac:dyDescent="0.25"/>
    <row r="144" s="79" customFormat="1" ht="15" customHeight="1" x14ac:dyDescent="0.25"/>
    <row r="145" s="79" customFormat="1" ht="15" customHeight="1" x14ac:dyDescent="0.25"/>
    <row r="146" s="79" customFormat="1" ht="15" customHeight="1" x14ac:dyDescent="0.25"/>
    <row r="147" s="79" customFormat="1" ht="15" customHeight="1" x14ac:dyDescent="0.25"/>
    <row r="148" s="79" customFormat="1" ht="15" customHeight="1" x14ac:dyDescent="0.25"/>
    <row r="149" s="79" customFormat="1" ht="15" customHeight="1" x14ac:dyDescent="0.25"/>
    <row r="150" s="79" customFormat="1" ht="15" customHeight="1" x14ac:dyDescent="0.25"/>
    <row r="151" s="79" customFormat="1" ht="15" customHeight="1" x14ac:dyDescent="0.25"/>
    <row r="152" s="79" customFormat="1" ht="15" customHeight="1" x14ac:dyDescent="0.25"/>
    <row r="153" s="79" customFormat="1" ht="15" customHeight="1" x14ac:dyDescent="0.25"/>
    <row r="154" s="79" customFormat="1" ht="15" customHeight="1" x14ac:dyDescent="0.25"/>
    <row r="155" s="79" customFormat="1" ht="15" customHeight="1" x14ac:dyDescent="0.25"/>
    <row r="156" s="79" customFormat="1" ht="15" customHeight="1" x14ac:dyDescent="0.25"/>
    <row r="157" s="79" customFormat="1" ht="15" customHeight="1" x14ac:dyDescent="0.25"/>
    <row r="158" s="79" customFormat="1" ht="15" customHeight="1" x14ac:dyDescent="0.25"/>
    <row r="159" s="79" customFormat="1" ht="15" customHeight="1" x14ac:dyDescent="0.25"/>
    <row r="160" s="79" customFormat="1" ht="15" customHeight="1" x14ac:dyDescent="0.25"/>
    <row r="161" s="79" customFormat="1" ht="15" customHeight="1" x14ac:dyDescent="0.25"/>
    <row r="162" s="79" customFormat="1" ht="15" customHeight="1" x14ac:dyDescent="0.25"/>
    <row r="163" s="79" customFormat="1" ht="15" customHeight="1" x14ac:dyDescent="0.25"/>
    <row r="164" s="79" customFormat="1" ht="15" customHeight="1" x14ac:dyDescent="0.25"/>
    <row r="165" s="79" customFormat="1" ht="15" customHeight="1" x14ac:dyDescent="0.25"/>
    <row r="166" s="79" customFormat="1" ht="15" customHeight="1" x14ac:dyDescent="0.25"/>
    <row r="167" s="79" customFormat="1" ht="15" customHeight="1" x14ac:dyDescent="0.25"/>
    <row r="168" s="79" customFormat="1" ht="15" customHeight="1" x14ac:dyDescent="0.25"/>
    <row r="169" s="79" customFormat="1" ht="15" customHeight="1" x14ac:dyDescent="0.25"/>
    <row r="170" s="79" customFormat="1" ht="15" customHeight="1" x14ac:dyDescent="0.25"/>
    <row r="171" s="79" customFormat="1" ht="15" customHeight="1" x14ac:dyDescent="0.25"/>
    <row r="172" s="79" customFormat="1" ht="15" customHeight="1" x14ac:dyDescent="0.25"/>
    <row r="173" s="79" customFormat="1" ht="15" customHeight="1" x14ac:dyDescent="0.25"/>
    <row r="174" s="79" customFormat="1" ht="15" customHeight="1" x14ac:dyDescent="0.25"/>
    <row r="175" s="79" customFormat="1" ht="15" customHeight="1" x14ac:dyDescent="0.25"/>
    <row r="176" s="79" customFormat="1" ht="15" customHeight="1" x14ac:dyDescent="0.25"/>
    <row r="177" s="79" customFormat="1" ht="15" customHeight="1" x14ac:dyDescent="0.25"/>
    <row r="178" s="79" customFormat="1" ht="15" customHeight="1" x14ac:dyDescent="0.25"/>
    <row r="179" s="79" customFormat="1" ht="15" customHeight="1" x14ac:dyDescent="0.25"/>
    <row r="180" s="79" customFormat="1" ht="15" customHeight="1" x14ac:dyDescent="0.25"/>
    <row r="181" s="79" customFormat="1" ht="15" customHeight="1" x14ac:dyDescent="0.25"/>
    <row r="182" s="79" customFormat="1" ht="15" customHeight="1" x14ac:dyDescent="0.25"/>
    <row r="183" s="79" customFormat="1" ht="15" customHeight="1" x14ac:dyDescent="0.25"/>
    <row r="184" s="79" customFormat="1" ht="15" customHeight="1" x14ac:dyDescent="0.25"/>
    <row r="185" s="79" customFormat="1" ht="15" customHeight="1" x14ac:dyDescent="0.25"/>
    <row r="186" s="79" customFormat="1" ht="15" customHeight="1" x14ac:dyDescent="0.25"/>
    <row r="187" s="79" customFormat="1" ht="15" customHeight="1" x14ac:dyDescent="0.25"/>
    <row r="188" s="79" customFormat="1" ht="15" customHeight="1" x14ac:dyDescent="0.25"/>
    <row r="189" s="79" customFormat="1" ht="15" customHeight="1" x14ac:dyDescent="0.25"/>
    <row r="190" s="79" customFormat="1" ht="15" customHeight="1" x14ac:dyDescent="0.25"/>
    <row r="191" s="79" customFormat="1" ht="15" customHeight="1" x14ac:dyDescent="0.25"/>
    <row r="192" s="79" customFormat="1" ht="15" customHeight="1" x14ac:dyDescent="0.25"/>
    <row r="193" s="79" customFormat="1" ht="15" customHeight="1" x14ac:dyDescent="0.25"/>
    <row r="194" s="79" customFormat="1" ht="15" customHeight="1" x14ac:dyDescent="0.25"/>
    <row r="195" s="79" customFormat="1" ht="15" customHeight="1" x14ac:dyDescent="0.25"/>
    <row r="196" s="79" customFormat="1" ht="15" customHeight="1" x14ac:dyDescent="0.25"/>
    <row r="197" s="79" customFormat="1" ht="15" customHeight="1" x14ac:dyDescent="0.25"/>
    <row r="198" s="79" customFormat="1" ht="15" customHeight="1" x14ac:dyDescent="0.25"/>
    <row r="199" s="79" customFormat="1" ht="15" customHeight="1" x14ac:dyDescent="0.25"/>
    <row r="200" s="79" customFormat="1" ht="15" customHeight="1" x14ac:dyDescent="0.25"/>
    <row r="201" s="79" customFormat="1" ht="15" customHeight="1" x14ac:dyDescent="0.25"/>
    <row r="202" s="79" customFormat="1" ht="15" customHeight="1" x14ac:dyDescent="0.25"/>
    <row r="203" s="79" customFormat="1" ht="15" customHeight="1" x14ac:dyDescent="0.25"/>
    <row r="204" s="79" customFormat="1" ht="15" customHeight="1" x14ac:dyDescent="0.25"/>
    <row r="205" s="79" customFormat="1" ht="15" customHeight="1" x14ac:dyDescent="0.25"/>
    <row r="206" s="79" customFormat="1" ht="15" customHeight="1" x14ac:dyDescent="0.25"/>
    <row r="207" s="79" customFormat="1" ht="15" customHeight="1" x14ac:dyDescent="0.25"/>
    <row r="208" s="79" customFormat="1" ht="15" customHeight="1" x14ac:dyDescent="0.25"/>
    <row r="209" s="79" customFormat="1" ht="15" customHeight="1" x14ac:dyDescent="0.25"/>
    <row r="210" s="79" customFormat="1" ht="15" customHeight="1" x14ac:dyDescent="0.25"/>
    <row r="211" s="79" customFormat="1" ht="15" customHeight="1" x14ac:dyDescent="0.25"/>
    <row r="212" s="79" customFormat="1" ht="15" customHeight="1" x14ac:dyDescent="0.25"/>
    <row r="213" s="79" customFormat="1" ht="15" customHeight="1" x14ac:dyDescent="0.25"/>
    <row r="214" s="79" customFormat="1" ht="15" customHeight="1" x14ac:dyDescent="0.25"/>
    <row r="215" s="79" customFormat="1" ht="15" customHeight="1" x14ac:dyDescent="0.25"/>
    <row r="216" s="79" customFormat="1" ht="15" customHeight="1" x14ac:dyDescent="0.25"/>
    <row r="217" s="79" customFormat="1" ht="15" customHeight="1" x14ac:dyDescent="0.25"/>
    <row r="218" s="79" customFormat="1" ht="15" customHeight="1" x14ac:dyDescent="0.25"/>
    <row r="219" s="79" customFormat="1" ht="15" customHeight="1" x14ac:dyDescent="0.25"/>
    <row r="220" s="79" customFormat="1" ht="15" customHeight="1" x14ac:dyDescent="0.25"/>
    <row r="221" s="79" customFormat="1" ht="15" customHeight="1" x14ac:dyDescent="0.25"/>
    <row r="222" s="79" customFormat="1" ht="15" customHeight="1" x14ac:dyDescent="0.25"/>
    <row r="223" s="79" customFormat="1" ht="15" customHeight="1" x14ac:dyDescent="0.25"/>
    <row r="224" s="79" customFormat="1" ht="15" customHeight="1" x14ac:dyDescent="0.25"/>
    <row r="225" s="79" customFormat="1" ht="15" customHeight="1" x14ac:dyDescent="0.25"/>
    <row r="226" s="79" customFormat="1" ht="15" customHeight="1" x14ac:dyDescent="0.25"/>
    <row r="227" s="79" customFormat="1" ht="15" customHeight="1" x14ac:dyDescent="0.25"/>
    <row r="228" s="79" customFormat="1" ht="15" customHeight="1" x14ac:dyDescent="0.25"/>
    <row r="229" s="79" customFormat="1" ht="15" customHeight="1" x14ac:dyDescent="0.25"/>
    <row r="230" s="79" customFormat="1" ht="15" customHeight="1" x14ac:dyDescent="0.25"/>
    <row r="231" s="79" customFormat="1" ht="15" customHeight="1" x14ac:dyDescent="0.25"/>
    <row r="232" s="79" customFormat="1" ht="15" customHeight="1" x14ac:dyDescent="0.25"/>
    <row r="233" s="79" customFormat="1" ht="15" customHeight="1" x14ac:dyDescent="0.25"/>
    <row r="234" s="79" customFormat="1" ht="15" customHeight="1" x14ac:dyDescent="0.25"/>
    <row r="235" s="79" customFormat="1" ht="15" customHeight="1" x14ac:dyDescent="0.25"/>
    <row r="236" s="79" customFormat="1" ht="15" customHeight="1" x14ac:dyDescent="0.25"/>
    <row r="237" s="79" customFormat="1" ht="15" customHeight="1" x14ac:dyDescent="0.25"/>
    <row r="238" s="79" customFormat="1" ht="15" customHeight="1" x14ac:dyDescent="0.25"/>
    <row r="239" s="79" customFormat="1" ht="15" customHeight="1" x14ac:dyDescent="0.25"/>
    <row r="240" s="79" customFormat="1" ht="15" customHeight="1" x14ac:dyDescent="0.25"/>
    <row r="241" s="79" customFormat="1" ht="15" customHeight="1" x14ac:dyDescent="0.25"/>
    <row r="242" s="79" customFormat="1" ht="15" customHeight="1" x14ac:dyDescent="0.25"/>
    <row r="243" s="79" customFormat="1" ht="15" customHeight="1" x14ac:dyDescent="0.25"/>
    <row r="244" s="79" customFormat="1" ht="15" customHeight="1" x14ac:dyDescent="0.25"/>
    <row r="245" s="79" customFormat="1" ht="15" customHeight="1" x14ac:dyDescent="0.25"/>
    <row r="246" s="79" customFormat="1" ht="15" customHeight="1" x14ac:dyDescent="0.25"/>
    <row r="247" s="79" customFormat="1" ht="15" customHeight="1" x14ac:dyDescent="0.25"/>
    <row r="248" s="79" customFormat="1" ht="15" customHeight="1" x14ac:dyDescent="0.25"/>
    <row r="249" s="79" customFormat="1" ht="15" customHeight="1" x14ac:dyDescent="0.25"/>
    <row r="250" s="79" customFormat="1" ht="15" customHeight="1" x14ac:dyDescent="0.25"/>
    <row r="251" s="79" customFormat="1" ht="15" customHeight="1" x14ac:dyDescent="0.25"/>
    <row r="252" s="79" customFormat="1" ht="15" customHeight="1" x14ac:dyDescent="0.25"/>
    <row r="253" s="79" customFormat="1" ht="15" customHeight="1" x14ac:dyDescent="0.25"/>
    <row r="254" s="79" customFormat="1" ht="15" customHeight="1" x14ac:dyDescent="0.25"/>
    <row r="255" s="79" customFormat="1" ht="15" customHeight="1" x14ac:dyDescent="0.25"/>
    <row r="256" s="79" customFormat="1" ht="15" customHeight="1" x14ac:dyDescent="0.25"/>
    <row r="257" s="79" customFormat="1" ht="15" customHeight="1" x14ac:dyDescent="0.25"/>
    <row r="258" s="79" customFormat="1" ht="15" customHeight="1" x14ac:dyDescent="0.25"/>
    <row r="259" s="79" customFormat="1" ht="15" customHeight="1" x14ac:dyDescent="0.25"/>
    <row r="260" s="79" customFormat="1" ht="15" customHeight="1" x14ac:dyDescent="0.25"/>
    <row r="261" s="79" customFormat="1" ht="15" customHeight="1" x14ac:dyDescent="0.25"/>
    <row r="262" s="79" customFormat="1" ht="15" customHeight="1" x14ac:dyDescent="0.25"/>
    <row r="263" s="79" customFormat="1" ht="15" customHeight="1" x14ac:dyDescent="0.25"/>
    <row r="264" s="79" customFormat="1" ht="15" customHeight="1" x14ac:dyDescent="0.25"/>
    <row r="265" s="79" customFormat="1" ht="15" customHeight="1" x14ac:dyDescent="0.25"/>
    <row r="266" s="79" customFormat="1" ht="15" customHeight="1" x14ac:dyDescent="0.25"/>
    <row r="267" s="79" customFormat="1" ht="15" customHeight="1" x14ac:dyDescent="0.25"/>
    <row r="268" s="79" customFormat="1" ht="15" customHeight="1" x14ac:dyDescent="0.25"/>
    <row r="269" s="79" customFormat="1" ht="15" customHeight="1" x14ac:dyDescent="0.25"/>
    <row r="270" s="79" customFormat="1" ht="15" customHeight="1" x14ac:dyDescent="0.25"/>
    <row r="271" s="79" customFormat="1" ht="15" customHeight="1" x14ac:dyDescent="0.25"/>
    <row r="272" s="79" customFormat="1" ht="15" customHeight="1" x14ac:dyDescent="0.25"/>
    <row r="273" s="79" customFormat="1" ht="15" customHeight="1" x14ac:dyDescent="0.25"/>
    <row r="274" s="79" customFormat="1" ht="15" customHeight="1" x14ac:dyDescent="0.25"/>
    <row r="275" s="79" customFormat="1" ht="15" customHeight="1" x14ac:dyDescent="0.25"/>
    <row r="276" s="79" customFormat="1" ht="15" customHeight="1" x14ac:dyDescent="0.25"/>
    <row r="277" s="79" customFormat="1" ht="15" customHeight="1" x14ac:dyDescent="0.25"/>
    <row r="278" s="79" customFormat="1" ht="15" customHeight="1" x14ac:dyDescent="0.25"/>
    <row r="279" s="79" customFormat="1" ht="15" customHeight="1" x14ac:dyDescent="0.25"/>
    <row r="280" s="79" customFormat="1" ht="15" customHeight="1" x14ac:dyDescent="0.25"/>
    <row r="281" s="79" customFormat="1" ht="15" customHeight="1" x14ac:dyDescent="0.25"/>
    <row r="282" s="79" customFormat="1" ht="15" customHeight="1" x14ac:dyDescent="0.25"/>
    <row r="283" s="79" customFormat="1" ht="15" customHeight="1" x14ac:dyDescent="0.25"/>
    <row r="284" s="79" customFormat="1" ht="15" customHeight="1" x14ac:dyDescent="0.25"/>
    <row r="285" s="79" customFormat="1" ht="15" customHeight="1" x14ac:dyDescent="0.25"/>
    <row r="286" s="79" customFormat="1" ht="15" customHeight="1" x14ac:dyDescent="0.25"/>
    <row r="287" s="79" customFormat="1" ht="15" customHeight="1" x14ac:dyDescent="0.25"/>
    <row r="288" s="79" customFormat="1" ht="15" customHeight="1" x14ac:dyDescent="0.25"/>
    <row r="289" s="79" customFormat="1" ht="15" customHeight="1" x14ac:dyDescent="0.25"/>
    <row r="290" s="79" customFormat="1" ht="15" customHeight="1" x14ac:dyDescent="0.25"/>
    <row r="291" s="79" customFormat="1" ht="15" customHeight="1" x14ac:dyDescent="0.25"/>
    <row r="292" s="79" customFormat="1" ht="15" customHeight="1" x14ac:dyDescent="0.25"/>
    <row r="293" s="79" customFormat="1" ht="15" customHeight="1" x14ac:dyDescent="0.25"/>
    <row r="294" s="79" customFormat="1" ht="15" customHeight="1" x14ac:dyDescent="0.25"/>
    <row r="295" s="79" customFormat="1" ht="15" customHeight="1" x14ac:dyDescent="0.25"/>
    <row r="296" s="79" customFormat="1" ht="15" customHeight="1" x14ac:dyDescent="0.25"/>
    <row r="297" s="79" customFormat="1" ht="15" customHeight="1" x14ac:dyDescent="0.25"/>
    <row r="298" s="79" customFormat="1" ht="15" customHeight="1" x14ac:dyDescent="0.25"/>
    <row r="299" s="79" customFormat="1" ht="15" customHeight="1" x14ac:dyDescent="0.25"/>
    <row r="300" s="79" customFormat="1" ht="15" customHeight="1" x14ac:dyDescent="0.25"/>
    <row r="301" s="79" customFormat="1" ht="15" customHeight="1" x14ac:dyDescent="0.25"/>
    <row r="302" s="79" customFormat="1" ht="15" customHeight="1" x14ac:dyDescent="0.25"/>
    <row r="303" s="79" customFormat="1" ht="15" customHeight="1" x14ac:dyDescent="0.25"/>
    <row r="304" s="79" customFormat="1" ht="15" customHeight="1" x14ac:dyDescent="0.25"/>
    <row r="305" s="79" customFormat="1" ht="15" customHeight="1" x14ac:dyDescent="0.25"/>
    <row r="306" s="79" customFormat="1" ht="15" customHeight="1" x14ac:dyDescent="0.25"/>
    <row r="307" s="79" customFormat="1" ht="15" customHeight="1" x14ac:dyDescent="0.25"/>
    <row r="308" s="79" customFormat="1" ht="15" customHeight="1" x14ac:dyDescent="0.25"/>
    <row r="309" s="79" customFormat="1" ht="15" customHeight="1" x14ac:dyDescent="0.25"/>
    <row r="310" s="79" customFormat="1" ht="15" customHeight="1" x14ac:dyDescent="0.25"/>
    <row r="311" s="79" customFormat="1" ht="15" customHeight="1" x14ac:dyDescent="0.25"/>
    <row r="312" s="79" customFormat="1" ht="15" customHeight="1" x14ac:dyDescent="0.25"/>
    <row r="313" s="79" customFormat="1" ht="15" customHeight="1" x14ac:dyDescent="0.25"/>
    <row r="314" s="79" customFormat="1" ht="15" customHeight="1" x14ac:dyDescent="0.25"/>
    <row r="315" s="79" customFormat="1" ht="15" customHeight="1" x14ac:dyDescent="0.25"/>
    <row r="316" s="79" customFormat="1" ht="15" customHeight="1" x14ac:dyDescent="0.25"/>
    <row r="317" s="79" customFormat="1" ht="15" customHeight="1" x14ac:dyDescent="0.25"/>
    <row r="318" s="79" customFormat="1" ht="15" customHeight="1" x14ac:dyDescent="0.25"/>
    <row r="319" s="79" customFormat="1" ht="15" customHeight="1" x14ac:dyDescent="0.25"/>
    <row r="320" s="79" customFormat="1" ht="15" customHeight="1" x14ac:dyDescent="0.25"/>
    <row r="321" s="79" customFormat="1" ht="15" customHeight="1" x14ac:dyDescent="0.25"/>
    <row r="322" s="79" customFormat="1" ht="15" customHeight="1" x14ac:dyDescent="0.25"/>
    <row r="323" s="79" customFormat="1" ht="15" customHeight="1" x14ac:dyDescent="0.25"/>
    <row r="324" s="79" customFormat="1" ht="15" customHeight="1" x14ac:dyDescent="0.25"/>
    <row r="325" s="79" customFormat="1" ht="15" customHeight="1" x14ac:dyDescent="0.25"/>
    <row r="326" s="79" customFormat="1" ht="15" customHeight="1" x14ac:dyDescent="0.25"/>
    <row r="327" s="79" customFormat="1" ht="15" customHeight="1" x14ac:dyDescent="0.25"/>
    <row r="328" s="79" customFormat="1" ht="15" customHeight="1" x14ac:dyDescent="0.25"/>
    <row r="329" s="79" customFormat="1" ht="15" customHeight="1" x14ac:dyDescent="0.25"/>
    <row r="330" s="79" customFormat="1" ht="15" customHeight="1" x14ac:dyDescent="0.25"/>
    <row r="331" s="79" customFormat="1" ht="15" customHeight="1" x14ac:dyDescent="0.25"/>
    <row r="332" s="79" customFormat="1" ht="15" customHeight="1" x14ac:dyDescent="0.25"/>
    <row r="333" s="79" customFormat="1" ht="15" customHeight="1" x14ac:dyDescent="0.25"/>
    <row r="334" s="79" customFormat="1" ht="15" customHeight="1" x14ac:dyDescent="0.25"/>
    <row r="335" s="79" customFormat="1" ht="15" customHeight="1" x14ac:dyDescent="0.25"/>
    <row r="336" s="79" customFormat="1" ht="15" customHeight="1" x14ac:dyDescent="0.25"/>
    <row r="337" s="79" customFormat="1" ht="15" customHeight="1" x14ac:dyDescent="0.25"/>
    <row r="338" s="79" customFormat="1" ht="15" customHeight="1" x14ac:dyDescent="0.25"/>
    <row r="339" s="79" customFormat="1" ht="15" customHeight="1" x14ac:dyDescent="0.25"/>
    <row r="340" s="79" customFormat="1" ht="15" customHeight="1" x14ac:dyDescent="0.25"/>
    <row r="341" s="79" customFormat="1" ht="15" customHeight="1" x14ac:dyDescent="0.25"/>
    <row r="342" s="79" customFormat="1" ht="15" customHeight="1" x14ac:dyDescent="0.25"/>
    <row r="343" s="79" customFormat="1" ht="15" customHeight="1" x14ac:dyDescent="0.25"/>
    <row r="344" s="79" customFormat="1" ht="15" customHeight="1" x14ac:dyDescent="0.25"/>
    <row r="345" s="79" customFormat="1" ht="15" customHeight="1" x14ac:dyDescent="0.25"/>
    <row r="346" s="79" customFormat="1" ht="15" customHeight="1" x14ac:dyDescent="0.25"/>
    <row r="347" s="79" customFormat="1" ht="15" customHeight="1" x14ac:dyDescent="0.25"/>
    <row r="348" s="79" customFormat="1" ht="15" customHeight="1" x14ac:dyDescent="0.25"/>
    <row r="349" s="79" customFormat="1" ht="15" customHeight="1" x14ac:dyDescent="0.25"/>
    <row r="350" s="79" customFormat="1" ht="15" customHeight="1" x14ac:dyDescent="0.25"/>
    <row r="351" s="79" customFormat="1" ht="15" customHeight="1" x14ac:dyDescent="0.25"/>
    <row r="352" s="79" customFormat="1" ht="15" customHeight="1" x14ac:dyDescent="0.25"/>
    <row r="353" s="79" customFormat="1" ht="15" customHeight="1" x14ac:dyDescent="0.25"/>
    <row r="354" s="79" customFormat="1" ht="15" customHeight="1" x14ac:dyDescent="0.25"/>
    <row r="355" s="79" customFormat="1" ht="15" customHeight="1" x14ac:dyDescent="0.25"/>
    <row r="356" s="79" customFormat="1" ht="15" customHeight="1" x14ac:dyDescent="0.25"/>
    <row r="357" s="79" customFormat="1" ht="15" customHeight="1" x14ac:dyDescent="0.25"/>
    <row r="358" s="79" customFormat="1" ht="15" customHeight="1" x14ac:dyDescent="0.25"/>
    <row r="359" s="79" customFormat="1" ht="15" customHeight="1" x14ac:dyDescent="0.25"/>
    <row r="360" s="79" customFormat="1" ht="15" customHeight="1" x14ac:dyDescent="0.25"/>
    <row r="361" s="79" customFormat="1" ht="15" customHeight="1" x14ac:dyDescent="0.25"/>
    <row r="362" s="79" customFormat="1" ht="15" customHeight="1" x14ac:dyDescent="0.25"/>
    <row r="363" s="79" customFormat="1" ht="15" customHeight="1" x14ac:dyDescent="0.25"/>
    <row r="364" s="79" customFormat="1" ht="15" customHeight="1" x14ac:dyDescent="0.25"/>
    <row r="365" s="79" customFormat="1" ht="15" customHeight="1" x14ac:dyDescent="0.25"/>
    <row r="366" s="79" customFormat="1" ht="15" customHeight="1" x14ac:dyDescent="0.25"/>
    <row r="367" s="79" customFormat="1" ht="15" customHeight="1" x14ac:dyDescent="0.25"/>
    <row r="368" s="79" customFormat="1" ht="15" customHeight="1" x14ac:dyDescent="0.25"/>
    <row r="369" s="79" customFormat="1" ht="15" customHeight="1" x14ac:dyDescent="0.25"/>
    <row r="370" s="79" customFormat="1" ht="15" customHeight="1" x14ac:dyDescent="0.25"/>
    <row r="371" s="79" customFormat="1" ht="15" customHeight="1" x14ac:dyDescent="0.25"/>
    <row r="372" s="79" customFormat="1" ht="15" customHeight="1" x14ac:dyDescent="0.25"/>
    <row r="373" s="79" customFormat="1" ht="15" customHeight="1" x14ac:dyDescent="0.25"/>
    <row r="374" s="79" customFormat="1" ht="15" customHeight="1" x14ac:dyDescent="0.25"/>
    <row r="375" s="79" customFormat="1" ht="15" customHeight="1" x14ac:dyDescent="0.25"/>
    <row r="376" s="79" customFormat="1" ht="15" customHeight="1" x14ac:dyDescent="0.25"/>
    <row r="377" s="79" customFormat="1" ht="15" customHeight="1" x14ac:dyDescent="0.25"/>
    <row r="378" s="79" customFormat="1" ht="15" customHeight="1" x14ac:dyDescent="0.25"/>
    <row r="379" s="79" customFormat="1" ht="15" customHeight="1" x14ac:dyDescent="0.25"/>
    <row r="380" s="79" customFormat="1" ht="15" customHeight="1" x14ac:dyDescent="0.25"/>
    <row r="381" s="79" customFormat="1" ht="15" customHeight="1" x14ac:dyDescent="0.25"/>
    <row r="382" s="79" customFormat="1" ht="15" customHeight="1" x14ac:dyDescent="0.25"/>
    <row r="383" s="79" customFormat="1" ht="15" customHeight="1" x14ac:dyDescent="0.25"/>
    <row r="384" s="79" customFormat="1" ht="15" customHeight="1" x14ac:dyDescent="0.25"/>
    <row r="385" s="79" customFormat="1" ht="15" customHeight="1" x14ac:dyDescent="0.25"/>
    <row r="386" s="79" customFormat="1" ht="15" customHeight="1" x14ac:dyDescent="0.25"/>
    <row r="387" s="79" customFormat="1" ht="15" customHeight="1" x14ac:dyDescent="0.25"/>
    <row r="388" s="79" customFormat="1" ht="15" customHeight="1" x14ac:dyDescent="0.25"/>
    <row r="389" s="79" customFormat="1" ht="15" customHeight="1" x14ac:dyDescent="0.25"/>
    <row r="390" s="79" customFormat="1" ht="15" customHeight="1" x14ac:dyDescent="0.25"/>
    <row r="391" s="79" customFormat="1" ht="15" customHeight="1" x14ac:dyDescent="0.25"/>
    <row r="392" s="79" customFormat="1" ht="15" customHeight="1" x14ac:dyDescent="0.25"/>
    <row r="393" s="79" customFormat="1" ht="15" customHeight="1" x14ac:dyDescent="0.25"/>
    <row r="394" s="79" customFormat="1" ht="15" customHeight="1" x14ac:dyDescent="0.25"/>
    <row r="395" s="79" customFormat="1" ht="15" customHeight="1" x14ac:dyDescent="0.25"/>
    <row r="396" s="79" customFormat="1" ht="15" customHeight="1" x14ac:dyDescent="0.25"/>
    <row r="397" s="79" customFormat="1" ht="15" customHeight="1" x14ac:dyDescent="0.25"/>
    <row r="398" s="79" customFormat="1" ht="15" customHeight="1" x14ac:dyDescent="0.25"/>
    <row r="399" s="79" customFormat="1" ht="15" customHeight="1" x14ac:dyDescent="0.25"/>
    <row r="400" s="79" customFormat="1" ht="15" customHeight="1" x14ac:dyDescent="0.25"/>
    <row r="401" s="79" customFormat="1" ht="15" customHeight="1" x14ac:dyDescent="0.25"/>
    <row r="402" s="79" customFormat="1" ht="15" customHeight="1" x14ac:dyDescent="0.25"/>
    <row r="403" s="79" customFormat="1" ht="15" customHeight="1" x14ac:dyDescent="0.25"/>
    <row r="404" s="79" customFormat="1" ht="15" customHeight="1" x14ac:dyDescent="0.25"/>
    <row r="405" s="79" customFormat="1" ht="15" customHeight="1" x14ac:dyDescent="0.25"/>
    <row r="406" s="79" customFormat="1" ht="15" customHeight="1" x14ac:dyDescent="0.25"/>
    <row r="407" s="79" customFormat="1" ht="15" customHeight="1" x14ac:dyDescent="0.25"/>
    <row r="408" s="79" customFormat="1" ht="15" customHeight="1" x14ac:dyDescent="0.25"/>
    <row r="409" s="79" customFormat="1" ht="15" customHeight="1" x14ac:dyDescent="0.25"/>
    <row r="410" s="79" customFormat="1" ht="15" customHeight="1" x14ac:dyDescent="0.25"/>
    <row r="411" s="79" customFormat="1" ht="15" customHeight="1" x14ac:dyDescent="0.25"/>
    <row r="412" s="79" customFormat="1" ht="15" customHeight="1" x14ac:dyDescent="0.25"/>
    <row r="413" s="79" customFormat="1" ht="15" customHeight="1" x14ac:dyDescent="0.25"/>
    <row r="414" s="79" customFormat="1" ht="15" customHeight="1" x14ac:dyDescent="0.25"/>
    <row r="415" s="79" customFormat="1" ht="15" customHeight="1" x14ac:dyDescent="0.25"/>
    <row r="416" s="79" customFormat="1" ht="15" customHeight="1" x14ac:dyDescent="0.25"/>
    <row r="417" s="79" customFormat="1" ht="15" customHeight="1" x14ac:dyDescent="0.25"/>
    <row r="418" s="79" customFormat="1" ht="15" customHeight="1" x14ac:dyDescent="0.25"/>
    <row r="419" s="79" customFormat="1" ht="15" customHeight="1" x14ac:dyDescent="0.25"/>
    <row r="420" s="79" customFormat="1" ht="15" customHeight="1" x14ac:dyDescent="0.25"/>
    <row r="421" s="79" customFormat="1" ht="15" customHeight="1" x14ac:dyDescent="0.25"/>
    <row r="422" s="79" customFormat="1" ht="15" customHeight="1" x14ac:dyDescent="0.25"/>
    <row r="423" s="79" customFormat="1" ht="15" customHeight="1" x14ac:dyDescent="0.25"/>
    <row r="424" s="79" customFormat="1" ht="15" customHeight="1" x14ac:dyDescent="0.25"/>
    <row r="425" s="79" customFormat="1" ht="15" customHeight="1" x14ac:dyDescent="0.25"/>
    <row r="426" s="79" customFormat="1" ht="15" customHeight="1" x14ac:dyDescent="0.25"/>
    <row r="427" s="79" customFormat="1" ht="15" customHeight="1" x14ac:dyDescent="0.25"/>
    <row r="428" s="79" customFormat="1" ht="15" customHeight="1" x14ac:dyDescent="0.25"/>
    <row r="429" s="79" customFormat="1" ht="15" customHeight="1" x14ac:dyDescent="0.25"/>
    <row r="430" s="79" customFormat="1" ht="15" customHeight="1" x14ac:dyDescent="0.25"/>
    <row r="431" s="79" customFormat="1" ht="15" customHeight="1" x14ac:dyDescent="0.25"/>
    <row r="432" s="79" customFormat="1" ht="15" customHeight="1" x14ac:dyDescent="0.25"/>
    <row r="433" s="79" customFormat="1" ht="15" customHeight="1" x14ac:dyDescent="0.25"/>
    <row r="434" s="79" customFormat="1" ht="15" customHeight="1" x14ac:dyDescent="0.25"/>
    <row r="435" s="79" customFormat="1" ht="15" customHeight="1" x14ac:dyDescent="0.25"/>
    <row r="436" s="79" customFormat="1" ht="15" customHeight="1" x14ac:dyDescent="0.25"/>
    <row r="437" s="79" customFormat="1" ht="15" customHeight="1" x14ac:dyDescent="0.25"/>
    <row r="438" s="79" customFormat="1" ht="15" customHeight="1" x14ac:dyDescent="0.25"/>
    <row r="439" s="79" customFormat="1" ht="15" customHeight="1" x14ac:dyDescent="0.25"/>
    <row r="440" s="79" customFormat="1" ht="15" customHeight="1" x14ac:dyDescent="0.25"/>
    <row r="441" s="79" customFormat="1" ht="15" customHeight="1" x14ac:dyDescent="0.25"/>
    <row r="442" s="79" customFormat="1" ht="15" customHeight="1" x14ac:dyDescent="0.25"/>
    <row r="443" s="79" customFormat="1" ht="15" customHeight="1" x14ac:dyDescent="0.25"/>
    <row r="444" s="79" customFormat="1" ht="15" customHeight="1" x14ac:dyDescent="0.25"/>
    <row r="445" s="79" customFormat="1" ht="15" customHeight="1" x14ac:dyDescent="0.25"/>
    <row r="446" s="79" customFormat="1" ht="15" customHeight="1" x14ac:dyDescent="0.25"/>
    <row r="447" s="79" customFormat="1" ht="15" customHeight="1" x14ac:dyDescent="0.25"/>
    <row r="448" s="79" customFormat="1" ht="15" customHeight="1" x14ac:dyDescent="0.25"/>
    <row r="449" s="79" customFormat="1" ht="15" customHeight="1" x14ac:dyDescent="0.25"/>
    <row r="450" s="79" customFormat="1" ht="15" customHeight="1" x14ac:dyDescent="0.25"/>
    <row r="451" s="79" customFormat="1" ht="15" customHeight="1" x14ac:dyDescent="0.25"/>
    <row r="452" s="79" customFormat="1" ht="15" customHeight="1" x14ac:dyDescent="0.25"/>
    <row r="453" s="79" customFormat="1" ht="15" customHeight="1" x14ac:dyDescent="0.25"/>
    <row r="454" s="79" customFormat="1" ht="15" customHeight="1" x14ac:dyDescent="0.25"/>
    <row r="455" s="79" customFormat="1" ht="15" customHeight="1" x14ac:dyDescent="0.25"/>
    <row r="456" s="79" customFormat="1" ht="15" customHeight="1" x14ac:dyDescent="0.25"/>
    <row r="457" s="79" customFormat="1" ht="15" customHeight="1" x14ac:dyDescent="0.25"/>
    <row r="458" s="79" customFormat="1" ht="15" customHeight="1" x14ac:dyDescent="0.25"/>
    <row r="459" s="79" customFormat="1" ht="15" customHeight="1" x14ac:dyDescent="0.25"/>
    <row r="460" s="79" customFormat="1" ht="15" customHeight="1" x14ac:dyDescent="0.25"/>
    <row r="461" s="79" customFormat="1" ht="15" customHeight="1" x14ac:dyDescent="0.25"/>
    <row r="462" s="79" customFormat="1" ht="15" customHeight="1" x14ac:dyDescent="0.25"/>
    <row r="463" s="79" customFormat="1" ht="15" customHeight="1" x14ac:dyDescent="0.25"/>
    <row r="464" s="79" customFormat="1" ht="15" customHeight="1" x14ac:dyDescent="0.25"/>
    <row r="465" s="79" customFormat="1" ht="15" customHeight="1" x14ac:dyDescent="0.25"/>
    <row r="466" s="79" customFormat="1" ht="15" customHeight="1" x14ac:dyDescent="0.25"/>
    <row r="467" s="79" customFormat="1" ht="15" customHeight="1" x14ac:dyDescent="0.25"/>
    <row r="468" s="79" customFormat="1" ht="15" customHeight="1" x14ac:dyDescent="0.25"/>
    <row r="469" s="79" customFormat="1" ht="15" customHeight="1" x14ac:dyDescent="0.25"/>
    <row r="470" s="79" customFormat="1" ht="15" customHeight="1" x14ac:dyDescent="0.25"/>
    <row r="471" s="79" customFormat="1" ht="15" customHeight="1" x14ac:dyDescent="0.25"/>
    <row r="472" s="79" customFormat="1" ht="15" customHeight="1" x14ac:dyDescent="0.25"/>
    <row r="473" s="79" customFormat="1" ht="15" customHeight="1" x14ac:dyDescent="0.25"/>
    <row r="474" s="79" customFormat="1" ht="15" customHeight="1" x14ac:dyDescent="0.25"/>
    <row r="475" s="79" customFormat="1" ht="15" customHeight="1" x14ac:dyDescent="0.25"/>
    <row r="476" s="79" customFormat="1" ht="15" customHeight="1" x14ac:dyDescent="0.25"/>
    <row r="477" s="79" customFormat="1" ht="15" customHeight="1" x14ac:dyDescent="0.25"/>
    <row r="478" s="79" customFormat="1" ht="15" customHeight="1" x14ac:dyDescent="0.25"/>
    <row r="479" s="79" customFormat="1" ht="15" customHeight="1" x14ac:dyDescent="0.25"/>
    <row r="480" s="79" customFormat="1" ht="15" customHeight="1" x14ac:dyDescent="0.25"/>
    <row r="481" s="79" customFormat="1" ht="15" customHeight="1" x14ac:dyDescent="0.25"/>
    <row r="482" s="79" customFormat="1" ht="15" customHeight="1" x14ac:dyDescent="0.25"/>
    <row r="483" s="79" customFormat="1" ht="15" customHeight="1" x14ac:dyDescent="0.25"/>
    <row r="484" s="79" customFormat="1" ht="15" customHeight="1" x14ac:dyDescent="0.25"/>
    <row r="485" s="79" customFormat="1" ht="15" customHeight="1" x14ac:dyDescent="0.25"/>
    <row r="486" s="79" customFormat="1" ht="15" customHeight="1" x14ac:dyDescent="0.25"/>
    <row r="487" s="79" customFormat="1" ht="15" customHeight="1" x14ac:dyDescent="0.25"/>
    <row r="488" s="79" customFormat="1" ht="15" customHeight="1" x14ac:dyDescent="0.25"/>
    <row r="489" s="79" customFormat="1" ht="15" customHeight="1" x14ac:dyDescent="0.25"/>
    <row r="490" s="79" customFormat="1" ht="15" customHeight="1" x14ac:dyDescent="0.25"/>
    <row r="491" s="79" customFormat="1" ht="15" customHeight="1" x14ac:dyDescent="0.25"/>
    <row r="492" s="79" customFormat="1" ht="15" customHeight="1" x14ac:dyDescent="0.25"/>
    <row r="493" s="79" customFormat="1" ht="15" customHeight="1" x14ac:dyDescent="0.25"/>
    <row r="494" s="79" customFormat="1" ht="15" customHeight="1" x14ac:dyDescent="0.25"/>
    <row r="495" s="79" customFormat="1" ht="15" customHeight="1" x14ac:dyDescent="0.25"/>
    <row r="496" s="79" customFormat="1" ht="15" customHeight="1" x14ac:dyDescent="0.25"/>
    <row r="497" s="79" customFormat="1" ht="15" customHeight="1" x14ac:dyDescent="0.25"/>
    <row r="498" s="79" customFormat="1" ht="15" customHeight="1" x14ac:dyDescent="0.25"/>
    <row r="499" s="79" customFormat="1" ht="15" customHeight="1" x14ac:dyDescent="0.25"/>
    <row r="500" s="79" customFormat="1" ht="15" customHeight="1" x14ac:dyDescent="0.25"/>
    <row r="501" s="79" customFormat="1" ht="15" customHeight="1" x14ac:dyDescent="0.25"/>
    <row r="502" s="79" customFormat="1" ht="15" customHeight="1" x14ac:dyDescent="0.25"/>
    <row r="503" s="79" customFormat="1" ht="15" customHeight="1" x14ac:dyDescent="0.25"/>
    <row r="504" s="79" customFormat="1" ht="15" customHeight="1" x14ac:dyDescent="0.25"/>
    <row r="505" s="79" customFormat="1" ht="15" customHeight="1" x14ac:dyDescent="0.25"/>
    <row r="506" s="79" customFormat="1" ht="15" customHeight="1" x14ac:dyDescent="0.25"/>
    <row r="507" s="79" customFormat="1" ht="15" customHeight="1" x14ac:dyDescent="0.25"/>
    <row r="508" s="79" customFormat="1" ht="15" customHeight="1" x14ac:dyDescent="0.25"/>
    <row r="509" s="79" customFormat="1" ht="15" customHeight="1" x14ac:dyDescent="0.25"/>
    <row r="510" s="79" customFormat="1" ht="15" customHeight="1" x14ac:dyDescent="0.25"/>
    <row r="511" s="79" customFormat="1" ht="15" customHeight="1" x14ac:dyDescent="0.25"/>
    <row r="512" s="79" customFormat="1" ht="15" customHeight="1" x14ac:dyDescent="0.25"/>
    <row r="513" s="79" customFormat="1" ht="15" customHeight="1" x14ac:dyDescent="0.25"/>
    <row r="514" s="79" customFormat="1" ht="15" customHeight="1" x14ac:dyDescent="0.25"/>
    <row r="515" s="79" customFormat="1" ht="15" customHeight="1" x14ac:dyDescent="0.25"/>
    <row r="516" s="79" customFormat="1" ht="15" customHeight="1" x14ac:dyDescent="0.25"/>
    <row r="517" s="79" customFormat="1" ht="15" customHeight="1" x14ac:dyDescent="0.25"/>
    <row r="518" s="79" customFormat="1" ht="15" customHeight="1" x14ac:dyDescent="0.25"/>
    <row r="519" s="79" customFormat="1" ht="15" customHeight="1" x14ac:dyDescent="0.25"/>
    <row r="520" s="79" customFormat="1" ht="15" customHeight="1" x14ac:dyDescent="0.25"/>
    <row r="521" s="79" customFormat="1" ht="15" customHeight="1" x14ac:dyDescent="0.25"/>
    <row r="522" s="79" customFormat="1" ht="15" customHeight="1" x14ac:dyDescent="0.25"/>
    <row r="523" s="79" customFormat="1" ht="15" customHeight="1" x14ac:dyDescent="0.25"/>
    <row r="524" s="79" customFormat="1" ht="15" customHeight="1" x14ac:dyDescent="0.25"/>
    <row r="525" s="79" customFormat="1" ht="15" customHeight="1" x14ac:dyDescent="0.25"/>
    <row r="526" s="79" customFormat="1" ht="15" customHeight="1" x14ac:dyDescent="0.25"/>
    <row r="527" s="79" customFormat="1" ht="15" customHeight="1" x14ac:dyDescent="0.25"/>
    <row r="528" s="79" customFormat="1" ht="15" customHeight="1" x14ac:dyDescent="0.25"/>
    <row r="529" s="79" customFormat="1" ht="15" customHeight="1" x14ac:dyDescent="0.25"/>
    <row r="530" s="79" customFormat="1" ht="15" customHeight="1" x14ac:dyDescent="0.25"/>
    <row r="531" s="79" customFormat="1" ht="15" customHeight="1" x14ac:dyDescent="0.25"/>
    <row r="532" s="79" customFormat="1" ht="15" customHeight="1" x14ac:dyDescent="0.25"/>
    <row r="533" s="79" customFormat="1" ht="15" customHeight="1" x14ac:dyDescent="0.25"/>
    <row r="534" s="79" customFormat="1" ht="15" customHeight="1" x14ac:dyDescent="0.25"/>
    <row r="535" s="79" customFormat="1" ht="15" customHeight="1" x14ac:dyDescent="0.25"/>
    <row r="536" s="79" customFormat="1" ht="15" customHeight="1" x14ac:dyDescent="0.25"/>
    <row r="537" s="79" customFormat="1" ht="15" customHeight="1" x14ac:dyDescent="0.25"/>
    <row r="538" s="79" customFormat="1" ht="15" customHeight="1" x14ac:dyDescent="0.25"/>
    <row r="539" s="79" customFormat="1" ht="15" customHeight="1" x14ac:dyDescent="0.25"/>
    <row r="540" s="79" customFormat="1" ht="15" customHeight="1" x14ac:dyDescent="0.25"/>
    <row r="541" s="79" customFormat="1" ht="15" customHeight="1" x14ac:dyDescent="0.25"/>
    <row r="542" s="79" customFormat="1" ht="15" customHeight="1" x14ac:dyDescent="0.25"/>
    <row r="543" s="79" customFormat="1" ht="15" customHeight="1" x14ac:dyDescent="0.25"/>
    <row r="544" s="79" customFormat="1" ht="15" customHeight="1" x14ac:dyDescent="0.25"/>
    <row r="545" s="79" customFormat="1" ht="15" customHeight="1" x14ac:dyDescent="0.25"/>
    <row r="546" s="79" customFormat="1" ht="15" customHeight="1" x14ac:dyDescent="0.25"/>
    <row r="547" s="79" customFormat="1" ht="15" customHeight="1" x14ac:dyDescent="0.25"/>
    <row r="548" s="79" customFormat="1" ht="15" customHeight="1" x14ac:dyDescent="0.25"/>
    <row r="549" s="79" customFormat="1" ht="15" customHeight="1" x14ac:dyDescent="0.25"/>
    <row r="550" s="79" customFormat="1" ht="15" customHeight="1" x14ac:dyDescent="0.25"/>
    <row r="551" s="79" customFormat="1" ht="15" customHeight="1" x14ac:dyDescent="0.25"/>
    <row r="552" s="79" customFormat="1" ht="15" customHeight="1" x14ac:dyDescent="0.25"/>
    <row r="553" s="79" customFormat="1" ht="15" customHeight="1" x14ac:dyDescent="0.25"/>
    <row r="554" s="79" customFormat="1" ht="15" customHeight="1" x14ac:dyDescent="0.25"/>
    <row r="555" s="79" customFormat="1" ht="15" customHeight="1" x14ac:dyDescent="0.25"/>
    <row r="556" s="79" customFormat="1" ht="15" customHeight="1" x14ac:dyDescent="0.25"/>
    <row r="557" s="79" customFormat="1" ht="15" customHeight="1" x14ac:dyDescent="0.25"/>
    <row r="558" s="79" customFormat="1" ht="15" customHeight="1" x14ac:dyDescent="0.25"/>
    <row r="559" s="79" customFormat="1" ht="15" customHeight="1" x14ac:dyDescent="0.25"/>
    <row r="560" s="79" customFormat="1" ht="15" customHeight="1" x14ac:dyDescent="0.25"/>
    <row r="561" s="79" customFormat="1" ht="15" customHeight="1" x14ac:dyDescent="0.25"/>
    <row r="562" s="79" customFormat="1" ht="15" customHeight="1" x14ac:dyDescent="0.25"/>
    <row r="563" s="79" customFormat="1" ht="15" customHeight="1" x14ac:dyDescent="0.25"/>
    <row r="564" s="79" customFormat="1" ht="15" customHeight="1" x14ac:dyDescent="0.25"/>
    <row r="565" s="79" customFormat="1" ht="15" customHeight="1" x14ac:dyDescent="0.25"/>
    <row r="566" s="79" customFormat="1" ht="15" customHeight="1" x14ac:dyDescent="0.25"/>
    <row r="567" s="79" customFormat="1" ht="15" customHeight="1" x14ac:dyDescent="0.25"/>
    <row r="568" s="79" customFormat="1" ht="15" customHeight="1" x14ac:dyDescent="0.25"/>
    <row r="569" s="79" customFormat="1" ht="15" customHeight="1" x14ac:dyDescent="0.25"/>
    <row r="570" s="79" customFormat="1" ht="15" customHeight="1" x14ac:dyDescent="0.25"/>
    <row r="571" s="79" customFormat="1" ht="15" customHeight="1" x14ac:dyDescent="0.25"/>
    <row r="572" s="79" customFormat="1" ht="15" customHeight="1" x14ac:dyDescent="0.25"/>
    <row r="573" s="79" customFormat="1" ht="15" customHeight="1" x14ac:dyDescent="0.25"/>
    <row r="574" s="79" customFormat="1" ht="15" customHeight="1" x14ac:dyDescent="0.25"/>
    <row r="575" s="79" customFormat="1" ht="15" customHeight="1" x14ac:dyDescent="0.25"/>
    <row r="576" s="79" customFormat="1" ht="15" customHeight="1" x14ac:dyDescent="0.25"/>
    <row r="577" s="79" customFormat="1" ht="15" customHeight="1" x14ac:dyDescent="0.25"/>
    <row r="578" s="79" customFormat="1" ht="15" customHeight="1" x14ac:dyDescent="0.25"/>
    <row r="579" s="79" customFormat="1" ht="15" customHeight="1" x14ac:dyDescent="0.25"/>
    <row r="580" s="79" customFormat="1" ht="15" customHeight="1" x14ac:dyDescent="0.25"/>
    <row r="581" s="79" customFormat="1" ht="15" customHeight="1" x14ac:dyDescent="0.25"/>
    <row r="582" s="79" customFormat="1" ht="15" customHeight="1" x14ac:dyDescent="0.25"/>
    <row r="583" s="79" customFormat="1" ht="15" customHeight="1" x14ac:dyDescent="0.25"/>
    <row r="584" s="79" customFormat="1" ht="15" customHeight="1" x14ac:dyDescent="0.25"/>
    <row r="585" s="79" customFormat="1" ht="15" customHeight="1" x14ac:dyDescent="0.25"/>
    <row r="586" s="79" customFormat="1" ht="15" customHeight="1" x14ac:dyDescent="0.25"/>
    <row r="587" s="79" customFormat="1" ht="15" customHeight="1" x14ac:dyDescent="0.25"/>
    <row r="588" s="79" customFormat="1" ht="15" customHeight="1" x14ac:dyDescent="0.25"/>
    <row r="589" s="79" customFormat="1" ht="15" customHeight="1" x14ac:dyDescent="0.25"/>
    <row r="590" s="79" customFormat="1" ht="15" customHeight="1" x14ac:dyDescent="0.25"/>
    <row r="591" s="79" customFormat="1" ht="15" customHeight="1" x14ac:dyDescent="0.25"/>
    <row r="592" s="79" customFormat="1" ht="15" customHeight="1" x14ac:dyDescent="0.25"/>
    <row r="593" s="79" customFormat="1" ht="15" customHeight="1" x14ac:dyDescent="0.25"/>
    <row r="594" s="79" customFormat="1" ht="15" customHeight="1" x14ac:dyDescent="0.25"/>
    <row r="595" s="79" customFormat="1" ht="15" customHeight="1" x14ac:dyDescent="0.25"/>
    <row r="596" s="79" customFormat="1" ht="15" customHeight="1" x14ac:dyDescent="0.25"/>
    <row r="597" s="79" customFormat="1" ht="15" customHeight="1" x14ac:dyDescent="0.25"/>
    <row r="598" s="79" customFormat="1" ht="15" customHeight="1" x14ac:dyDescent="0.25"/>
    <row r="599" s="79" customFormat="1" ht="15" customHeight="1" x14ac:dyDescent="0.25"/>
    <row r="600" s="79" customFormat="1" ht="15" customHeight="1" x14ac:dyDescent="0.25"/>
    <row r="601" s="79" customFormat="1" ht="15" customHeight="1" x14ac:dyDescent="0.25"/>
    <row r="602" s="79" customFormat="1" ht="15" customHeight="1" x14ac:dyDescent="0.25"/>
    <row r="603" s="79" customFormat="1" ht="15" customHeight="1" x14ac:dyDescent="0.25"/>
    <row r="604" s="79" customFormat="1" ht="15" customHeight="1" x14ac:dyDescent="0.25"/>
    <row r="605" s="79" customFormat="1" ht="15" customHeight="1" x14ac:dyDescent="0.25"/>
    <row r="606" s="79" customFormat="1" ht="15" customHeight="1" x14ac:dyDescent="0.25"/>
    <row r="607" s="79" customFormat="1" ht="15" customHeight="1" x14ac:dyDescent="0.25"/>
    <row r="608" s="79" customFormat="1" ht="15" customHeight="1" x14ac:dyDescent="0.25"/>
    <row r="609" s="79" customFormat="1" ht="15" customHeight="1" x14ac:dyDescent="0.25"/>
    <row r="610" s="79" customFormat="1" ht="15" customHeight="1" x14ac:dyDescent="0.25"/>
    <row r="611" s="79" customFormat="1" ht="15" customHeight="1" x14ac:dyDescent="0.25"/>
    <row r="612" s="79" customFormat="1" ht="15" customHeight="1" x14ac:dyDescent="0.25"/>
    <row r="613" s="79" customFormat="1" ht="15" customHeight="1" x14ac:dyDescent="0.25"/>
    <row r="614" s="79" customFormat="1" ht="15" customHeight="1" x14ac:dyDescent="0.25"/>
    <row r="615" s="79" customFormat="1" ht="15" customHeight="1" x14ac:dyDescent="0.25"/>
    <row r="616" s="79" customFormat="1" ht="15" customHeight="1" x14ac:dyDescent="0.25"/>
    <row r="617" s="79" customFormat="1" ht="15" customHeight="1" x14ac:dyDescent="0.25"/>
    <row r="618" s="79" customFormat="1" ht="15" customHeight="1" x14ac:dyDescent="0.25"/>
    <row r="619" s="79" customFormat="1" ht="15" customHeight="1" x14ac:dyDescent="0.25"/>
    <row r="620" s="79" customFormat="1" ht="15" customHeight="1" x14ac:dyDescent="0.25"/>
    <row r="621" s="79" customFormat="1" ht="15" customHeight="1" x14ac:dyDescent="0.25"/>
    <row r="622" s="79" customFormat="1" ht="15" customHeight="1" x14ac:dyDescent="0.25"/>
    <row r="623" s="79" customFormat="1" ht="15" customHeight="1" x14ac:dyDescent="0.25"/>
    <row r="624" s="79" customFormat="1" ht="15" customHeight="1" x14ac:dyDescent="0.25"/>
    <row r="625" s="79" customFormat="1" ht="15" customHeight="1" x14ac:dyDescent="0.25"/>
    <row r="626" s="79" customFormat="1" ht="15" customHeight="1" x14ac:dyDescent="0.25"/>
    <row r="627" s="79" customFormat="1" ht="15" customHeight="1" x14ac:dyDescent="0.25"/>
    <row r="628" s="79" customFormat="1" ht="15" customHeight="1" x14ac:dyDescent="0.25"/>
    <row r="629" s="79" customFormat="1" ht="15" customHeight="1" x14ac:dyDescent="0.25"/>
    <row r="630" s="79" customFormat="1" ht="15" customHeight="1" x14ac:dyDescent="0.25"/>
    <row r="631" s="79" customFormat="1" ht="15" customHeight="1" x14ac:dyDescent="0.25"/>
    <row r="632" s="79" customFormat="1" ht="15" customHeight="1" x14ac:dyDescent="0.25"/>
    <row r="633" s="79" customFormat="1" ht="15" customHeight="1" x14ac:dyDescent="0.25"/>
    <row r="634" s="79" customFormat="1" ht="15" customHeight="1" x14ac:dyDescent="0.25"/>
    <row r="635" s="79" customFormat="1" ht="15" customHeight="1" x14ac:dyDescent="0.25"/>
    <row r="636" s="79" customFormat="1" ht="15" customHeight="1" x14ac:dyDescent="0.25"/>
    <row r="637" s="79" customFormat="1" ht="15" customHeight="1" x14ac:dyDescent="0.25"/>
    <row r="638" s="79" customFormat="1" ht="15" customHeight="1" x14ac:dyDescent="0.25"/>
    <row r="639" s="79" customFormat="1" ht="15" customHeight="1" x14ac:dyDescent="0.25"/>
    <row r="640" s="79" customFormat="1" ht="15" customHeight="1" x14ac:dyDescent="0.25"/>
    <row r="641" s="79" customFormat="1" ht="15" customHeight="1" x14ac:dyDescent="0.25"/>
    <row r="642" s="79" customFormat="1" ht="15" customHeight="1" x14ac:dyDescent="0.25"/>
    <row r="643" s="79" customFormat="1" ht="15" customHeight="1" x14ac:dyDescent="0.25"/>
    <row r="644" s="79" customFormat="1" ht="15" customHeight="1" x14ac:dyDescent="0.25"/>
    <row r="645" s="79" customFormat="1" ht="15" customHeight="1" x14ac:dyDescent="0.25"/>
    <row r="646" s="79" customFormat="1" ht="15" customHeight="1" x14ac:dyDescent="0.25"/>
    <row r="647" s="79" customFormat="1" ht="15" customHeight="1" x14ac:dyDescent="0.25"/>
    <row r="648" s="79" customFormat="1" ht="15" customHeight="1" x14ac:dyDescent="0.25"/>
    <row r="649" s="79" customFormat="1" ht="15" customHeight="1" x14ac:dyDescent="0.25"/>
    <row r="650" s="79" customFormat="1" ht="15" customHeight="1" x14ac:dyDescent="0.25"/>
    <row r="651" s="79" customFormat="1" ht="15" customHeight="1" x14ac:dyDescent="0.25"/>
    <row r="652" s="79" customFormat="1" ht="15" customHeight="1" x14ac:dyDescent="0.25"/>
    <row r="653" s="79" customFormat="1" ht="15" customHeight="1" x14ac:dyDescent="0.25"/>
    <row r="654" s="79" customFormat="1" ht="15" customHeight="1" x14ac:dyDescent="0.25"/>
    <row r="655" s="79" customFormat="1" ht="15" customHeight="1" x14ac:dyDescent="0.25"/>
    <row r="656" s="79" customFormat="1" ht="15" customHeight="1" x14ac:dyDescent="0.25"/>
    <row r="657" s="79" customFormat="1" ht="15" customHeight="1" x14ac:dyDescent="0.25"/>
    <row r="658" s="79" customFormat="1" ht="15" customHeight="1" x14ac:dyDescent="0.25"/>
    <row r="659" s="79" customFormat="1" ht="15" customHeight="1" x14ac:dyDescent="0.25"/>
    <row r="660" s="79" customFormat="1" ht="15" customHeight="1" x14ac:dyDescent="0.25"/>
    <row r="661" s="79" customFormat="1" ht="15" customHeight="1" x14ac:dyDescent="0.25"/>
    <row r="662" s="79" customFormat="1" ht="15" customHeight="1" x14ac:dyDescent="0.25"/>
    <row r="663" s="79" customFormat="1" ht="15" customHeight="1" x14ac:dyDescent="0.25"/>
    <row r="664" s="79" customFormat="1" ht="15" customHeight="1" x14ac:dyDescent="0.25"/>
    <row r="665" s="79" customFormat="1" ht="15" customHeight="1" x14ac:dyDescent="0.25"/>
    <row r="666" s="79" customFormat="1" ht="15" customHeight="1" x14ac:dyDescent="0.25"/>
    <row r="667" s="79" customFormat="1" ht="15" customHeight="1" x14ac:dyDescent="0.25"/>
    <row r="668" s="79" customFormat="1" ht="15" customHeight="1" x14ac:dyDescent="0.25"/>
    <row r="669" s="79" customFormat="1" ht="15" customHeight="1" x14ac:dyDescent="0.25"/>
    <row r="670" s="79" customFormat="1" ht="15" customHeight="1" x14ac:dyDescent="0.25"/>
    <row r="671" s="79" customFormat="1" ht="15" customHeight="1" x14ac:dyDescent="0.25"/>
    <row r="672" s="79" customFormat="1" ht="15" customHeight="1" x14ac:dyDescent="0.25"/>
    <row r="673" s="79" customFormat="1" ht="15" customHeight="1" x14ac:dyDescent="0.25"/>
    <row r="674" s="79" customFormat="1" ht="15" customHeight="1" x14ac:dyDescent="0.25"/>
    <row r="675" s="79" customFormat="1" ht="15" customHeight="1" x14ac:dyDescent="0.25"/>
    <row r="676" s="79" customFormat="1" ht="15" customHeight="1" x14ac:dyDescent="0.25"/>
    <row r="677" s="79" customFormat="1" ht="15" customHeight="1" x14ac:dyDescent="0.25"/>
    <row r="678" s="79" customFormat="1" ht="15" customHeight="1" x14ac:dyDescent="0.25"/>
    <row r="679" s="79" customFormat="1" ht="15" customHeight="1" x14ac:dyDescent="0.25"/>
    <row r="680" s="79" customFormat="1" ht="15" customHeight="1" x14ac:dyDescent="0.25"/>
    <row r="681" s="79" customFormat="1" ht="15" customHeight="1" x14ac:dyDescent="0.25"/>
    <row r="682" s="79" customFormat="1" ht="15" customHeight="1" x14ac:dyDescent="0.25"/>
    <row r="683" s="79" customFormat="1" ht="15" customHeight="1" x14ac:dyDescent="0.25"/>
    <row r="684" s="79" customFormat="1" ht="15" customHeight="1" x14ac:dyDescent="0.25"/>
    <row r="685" s="79" customFormat="1" ht="15" customHeight="1" x14ac:dyDescent="0.25"/>
    <row r="686" s="79" customFormat="1" ht="15" customHeight="1" x14ac:dyDescent="0.25"/>
    <row r="687" s="79" customFormat="1" ht="15" customHeight="1" x14ac:dyDescent="0.25"/>
    <row r="688" s="79" customFormat="1" ht="15" customHeight="1" x14ac:dyDescent="0.25"/>
    <row r="689" s="79" customFormat="1" ht="15" customHeight="1" x14ac:dyDescent="0.25"/>
    <row r="690" s="79" customFormat="1" ht="15" customHeight="1" x14ac:dyDescent="0.25"/>
    <row r="691" s="79" customFormat="1" ht="15" customHeight="1" x14ac:dyDescent="0.25"/>
    <row r="692" s="79" customFormat="1" ht="15" customHeight="1" x14ac:dyDescent="0.25"/>
    <row r="693" s="79" customFormat="1" ht="15" customHeight="1" x14ac:dyDescent="0.25"/>
    <row r="694" s="79" customFormat="1" ht="15" customHeight="1" x14ac:dyDescent="0.25"/>
    <row r="695" s="79" customFormat="1" ht="15" customHeight="1" x14ac:dyDescent="0.25"/>
    <row r="696" s="79" customFormat="1" ht="15" customHeight="1" x14ac:dyDescent="0.25"/>
    <row r="697" s="79" customFormat="1" ht="15" customHeight="1" x14ac:dyDescent="0.25"/>
    <row r="698" s="79" customFormat="1" ht="15" customHeight="1" x14ac:dyDescent="0.25"/>
    <row r="699" s="79" customFormat="1" ht="15" customHeight="1" x14ac:dyDescent="0.25"/>
    <row r="700" s="79" customFormat="1" ht="15" customHeight="1" x14ac:dyDescent="0.25"/>
    <row r="701" s="79" customFormat="1" ht="15" customHeight="1" x14ac:dyDescent="0.25"/>
    <row r="702" s="79" customFormat="1" ht="15" customHeight="1" x14ac:dyDescent="0.25"/>
    <row r="703" s="79" customFormat="1" ht="15" customHeight="1" x14ac:dyDescent="0.25"/>
    <row r="704" s="79" customFormat="1" ht="15" customHeight="1" x14ac:dyDescent="0.25"/>
    <row r="705" s="79" customFormat="1" ht="15" customHeight="1" x14ac:dyDescent="0.25"/>
    <row r="706" s="79" customFormat="1" ht="15" customHeight="1" x14ac:dyDescent="0.25"/>
    <row r="707" s="79" customFormat="1" ht="15" customHeight="1" x14ac:dyDescent="0.25"/>
    <row r="708" s="79" customFormat="1" ht="15" customHeight="1" x14ac:dyDescent="0.25"/>
    <row r="709" s="79" customFormat="1" ht="15" customHeight="1" x14ac:dyDescent="0.25"/>
    <row r="710" s="79" customFormat="1" ht="15" customHeight="1" x14ac:dyDescent="0.25"/>
    <row r="711" s="79" customFormat="1" ht="15" customHeight="1" x14ac:dyDescent="0.25"/>
    <row r="712" s="79" customFormat="1" ht="15" customHeight="1" x14ac:dyDescent="0.25"/>
    <row r="713" s="79" customFormat="1" ht="15" customHeight="1" x14ac:dyDescent="0.25"/>
    <row r="714" s="79" customFormat="1" ht="15" customHeight="1" x14ac:dyDescent="0.25"/>
    <row r="715" s="79" customFormat="1" ht="15" customHeight="1" x14ac:dyDescent="0.25"/>
    <row r="716" s="79" customFormat="1" ht="15" customHeight="1" x14ac:dyDescent="0.25"/>
    <row r="717" s="79" customFormat="1" ht="15" customHeight="1" x14ac:dyDescent="0.25"/>
    <row r="718" s="79" customFormat="1" ht="15" customHeight="1" x14ac:dyDescent="0.25"/>
    <row r="719" s="79" customFormat="1" ht="15" customHeight="1" x14ac:dyDescent="0.25"/>
    <row r="720" s="79" customFormat="1" ht="15" customHeight="1" x14ac:dyDescent="0.25"/>
    <row r="721" s="79" customFormat="1" ht="15" customHeight="1" x14ac:dyDescent="0.25"/>
    <row r="722" s="79" customFormat="1" ht="15" customHeight="1" x14ac:dyDescent="0.25"/>
    <row r="723" s="79" customFormat="1" ht="15" customHeight="1" x14ac:dyDescent="0.25"/>
    <row r="724" s="79" customFormat="1" ht="15" customHeight="1" x14ac:dyDescent="0.25"/>
    <row r="725" s="79" customFormat="1" ht="15" customHeight="1" x14ac:dyDescent="0.25"/>
    <row r="726" s="79" customFormat="1" ht="15" customHeight="1" x14ac:dyDescent="0.25"/>
    <row r="727" s="79" customFormat="1" ht="15" customHeight="1" x14ac:dyDescent="0.25"/>
    <row r="728" s="79" customFormat="1" ht="15" customHeight="1" x14ac:dyDescent="0.25"/>
    <row r="729" s="79" customFormat="1" ht="15" customHeight="1" x14ac:dyDescent="0.25"/>
    <row r="730" s="79" customFormat="1" ht="15" customHeight="1" x14ac:dyDescent="0.25"/>
    <row r="731" s="79" customFormat="1" ht="15" customHeight="1" x14ac:dyDescent="0.25"/>
    <row r="732" s="79" customFormat="1" ht="15" customHeight="1" x14ac:dyDescent="0.25"/>
    <row r="733" s="79" customFormat="1" ht="15" customHeight="1" x14ac:dyDescent="0.25"/>
    <row r="734" s="79" customFormat="1" ht="15" customHeight="1" x14ac:dyDescent="0.25"/>
    <row r="735" s="79" customFormat="1" ht="15" customHeight="1" x14ac:dyDescent="0.25"/>
    <row r="736" s="79" customFormat="1" ht="15" customHeight="1" x14ac:dyDescent="0.25"/>
    <row r="737" s="79" customFormat="1" ht="15" customHeight="1" x14ac:dyDescent="0.25"/>
    <row r="738" s="79" customFormat="1" ht="15" customHeight="1" x14ac:dyDescent="0.25"/>
    <row r="739" s="79" customFormat="1" ht="15" customHeight="1" x14ac:dyDescent="0.25"/>
    <row r="740" s="79" customFormat="1" ht="15" customHeight="1" x14ac:dyDescent="0.25"/>
    <row r="741" s="79" customFormat="1" ht="15" customHeight="1" x14ac:dyDescent="0.25"/>
    <row r="742" s="79" customFormat="1" ht="15" customHeight="1" x14ac:dyDescent="0.25"/>
    <row r="743" s="79" customFormat="1" ht="15" customHeight="1" x14ac:dyDescent="0.25"/>
    <row r="744" s="79" customFormat="1" ht="15" customHeight="1" x14ac:dyDescent="0.25"/>
    <row r="745" s="79" customFormat="1" ht="15" customHeight="1" x14ac:dyDescent="0.25"/>
    <row r="746" s="79" customFormat="1" ht="15" customHeight="1" x14ac:dyDescent="0.25"/>
    <row r="747" s="79" customFormat="1" ht="15" customHeight="1" x14ac:dyDescent="0.25"/>
    <row r="748" s="79" customFormat="1" ht="15" customHeight="1" x14ac:dyDescent="0.25"/>
    <row r="749" s="79" customFormat="1" ht="15" customHeight="1" x14ac:dyDescent="0.25"/>
    <row r="750" s="79" customFormat="1" ht="15" customHeight="1" x14ac:dyDescent="0.25"/>
    <row r="751" s="79" customFormat="1" ht="15" customHeight="1" x14ac:dyDescent="0.25"/>
    <row r="752" s="79" customFormat="1" ht="15" customHeight="1" x14ac:dyDescent="0.25"/>
    <row r="753" s="79" customFormat="1" ht="15" customHeight="1" x14ac:dyDescent="0.25"/>
    <row r="754" s="79" customFormat="1" ht="15" customHeight="1" x14ac:dyDescent="0.25"/>
    <row r="755" s="79" customFormat="1" ht="15" customHeight="1" x14ac:dyDescent="0.25"/>
    <row r="756" s="79" customFormat="1" ht="15" customHeight="1" x14ac:dyDescent="0.25"/>
    <row r="757" s="79" customFormat="1" ht="15" customHeight="1" x14ac:dyDescent="0.25"/>
    <row r="758" s="79" customFormat="1" ht="15" customHeight="1" x14ac:dyDescent="0.25"/>
    <row r="759" s="79" customFormat="1" ht="15" customHeight="1" x14ac:dyDescent="0.25"/>
    <row r="760" s="79" customFormat="1" ht="15" customHeight="1" x14ac:dyDescent="0.25"/>
    <row r="761" s="79" customFormat="1" ht="15" customHeight="1" x14ac:dyDescent="0.25"/>
    <row r="762" s="79" customFormat="1" ht="15" customHeight="1" x14ac:dyDescent="0.25"/>
    <row r="763" s="79" customFormat="1" ht="15" customHeight="1" x14ac:dyDescent="0.25"/>
    <row r="764" s="79" customFormat="1" ht="15" customHeight="1" x14ac:dyDescent="0.25"/>
    <row r="765" s="79" customFormat="1" ht="15" customHeight="1" x14ac:dyDescent="0.25"/>
    <row r="766" s="79" customFormat="1" ht="15" customHeight="1" x14ac:dyDescent="0.25"/>
    <row r="767" s="79" customFormat="1" ht="15" customHeight="1" x14ac:dyDescent="0.25"/>
    <row r="768" s="79" customFormat="1" ht="15" customHeight="1" x14ac:dyDescent="0.25"/>
    <row r="769" s="79" customFormat="1" ht="15" customHeight="1" x14ac:dyDescent="0.25"/>
    <row r="770" s="79" customFormat="1" ht="15" customHeight="1" x14ac:dyDescent="0.25"/>
    <row r="771" s="79" customFormat="1" ht="15" customHeight="1" x14ac:dyDescent="0.25"/>
    <row r="772" s="79" customFormat="1" ht="15" customHeight="1" x14ac:dyDescent="0.25"/>
    <row r="773" s="79" customFormat="1" ht="15" customHeight="1" x14ac:dyDescent="0.25"/>
    <row r="774" s="79" customFormat="1" ht="15" customHeight="1" x14ac:dyDescent="0.25"/>
    <row r="775" s="79" customFormat="1" ht="15" customHeight="1" x14ac:dyDescent="0.25"/>
    <row r="776" s="79" customFormat="1" ht="15" customHeight="1" x14ac:dyDescent="0.25"/>
    <row r="777" s="79" customFormat="1" ht="15" customHeight="1" x14ac:dyDescent="0.25"/>
    <row r="778" s="79" customFormat="1" ht="15" customHeight="1" x14ac:dyDescent="0.25"/>
    <row r="779" s="79" customFormat="1" ht="15" customHeight="1" x14ac:dyDescent="0.25"/>
    <row r="780" s="79" customFormat="1" ht="15" customHeight="1" x14ac:dyDescent="0.25"/>
    <row r="781" s="79" customFormat="1" ht="15" customHeight="1" x14ac:dyDescent="0.25"/>
    <row r="782" s="79" customFormat="1" ht="15" customHeight="1" x14ac:dyDescent="0.25"/>
    <row r="783" s="79" customFormat="1" ht="15" customHeight="1" x14ac:dyDescent="0.25"/>
    <row r="784" s="79" customFormat="1" ht="15" customHeight="1" x14ac:dyDescent="0.25"/>
    <row r="785" s="79" customFormat="1" ht="15" customHeight="1" x14ac:dyDescent="0.25"/>
    <row r="786" s="79" customFormat="1" ht="15" customHeight="1" x14ac:dyDescent="0.25"/>
    <row r="787" s="79" customFormat="1" ht="15" customHeight="1" x14ac:dyDescent="0.25"/>
    <row r="788" s="79" customFormat="1" ht="15" customHeight="1" x14ac:dyDescent="0.25"/>
    <row r="789" s="79" customFormat="1" ht="15" customHeight="1" x14ac:dyDescent="0.25"/>
    <row r="790" s="79" customFormat="1" ht="15" customHeight="1" x14ac:dyDescent="0.25"/>
    <row r="791" s="79" customFormat="1" ht="15" customHeight="1" x14ac:dyDescent="0.25"/>
    <row r="792" s="79" customFormat="1" ht="15" customHeight="1" x14ac:dyDescent="0.25"/>
    <row r="793" s="79" customFormat="1" ht="15" customHeight="1" x14ac:dyDescent="0.25"/>
    <row r="794" s="79" customFormat="1" ht="15" customHeight="1" x14ac:dyDescent="0.25"/>
    <row r="795" s="79" customFormat="1" ht="15" customHeight="1" x14ac:dyDescent="0.25"/>
    <row r="796" s="79" customFormat="1" ht="15" customHeight="1" x14ac:dyDescent="0.25"/>
    <row r="797" s="79" customFormat="1" ht="15" customHeight="1" x14ac:dyDescent="0.25"/>
    <row r="798" s="79" customFormat="1" ht="15" customHeight="1" x14ac:dyDescent="0.25"/>
    <row r="799" s="79" customFormat="1" ht="15" customHeight="1" x14ac:dyDescent="0.25"/>
    <row r="800" s="79" customFormat="1" ht="15" customHeight="1" x14ac:dyDescent="0.25"/>
    <row r="801" s="79" customFormat="1" ht="15" customHeight="1" x14ac:dyDescent="0.25"/>
    <row r="802" s="79" customFormat="1" ht="15" customHeight="1" x14ac:dyDescent="0.25"/>
    <row r="803" s="79" customFormat="1" ht="15" customHeight="1" x14ac:dyDescent="0.25"/>
    <row r="804" s="79" customFormat="1" ht="15" customHeight="1" x14ac:dyDescent="0.25"/>
    <row r="805" s="79" customFormat="1" ht="15" customHeight="1" x14ac:dyDescent="0.25"/>
    <row r="806" s="79" customFormat="1" ht="15" customHeight="1" x14ac:dyDescent="0.25"/>
    <row r="807" s="79" customFormat="1" ht="15" customHeight="1" x14ac:dyDescent="0.25"/>
    <row r="808" s="79" customFormat="1" ht="15" customHeight="1" x14ac:dyDescent="0.25"/>
    <row r="809" s="79" customFormat="1" ht="15" customHeight="1" x14ac:dyDescent="0.25"/>
    <row r="810" s="79" customFormat="1" ht="15" customHeight="1" x14ac:dyDescent="0.25"/>
    <row r="811" s="79" customFormat="1" ht="15" customHeight="1" x14ac:dyDescent="0.25"/>
    <row r="812" s="79" customFormat="1" ht="15" customHeight="1" x14ac:dyDescent="0.25"/>
    <row r="813" s="79" customFormat="1" ht="15" customHeight="1" x14ac:dyDescent="0.25"/>
    <row r="814" s="79" customFormat="1" ht="15" customHeight="1" x14ac:dyDescent="0.25"/>
    <row r="815" s="79" customFormat="1" ht="15" customHeight="1" x14ac:dyDescent="0.25"/>
    <row r="816" s="79" customFormat="1" ht="15" customHeight="1" x14ac:dyDescent="0.25"/>
    <row r="817" s="79" customFormat="1" ht="15" customHeight="1" x14ac:dyDescent="0.25"/>
    <row r="818" s="79" customFormat="1" ht="15" customHeight="1" x14ac:dyDescent="0.25"/>
    <row r="819" s="79" customFormat="1" ht="15" customHeight="1" x14ac:dyDescent="0.25"/>
    <row r="820" s="79" customFormat="1" ht="15" customHeight="1" x14ac:dyDescent="0.25"/>
    <row r="821" s="79" customFormat="1" ht="15" customHeight="1" x14ac:dyDescent="0.25"/>
    <row r="822" s="79" customFormat="1" ht="15" customHeight="1" x14ac:dyDescent="0.25"/>
    <row r="823" s="79" customFormat="1" ht="15" customHeight="1" x14ac:dyDescent="0.25"/>
    <row r="824" s="79" customFormat="1" ht="15" customHeight="1" x14ac:dyDescent="0.25"/>
    <row r="825" s="79" customFormat="1" ht="15" customHeight="1" x14ac:dyDescent="0.25"/>
    <row r="826" s="79" customFormat="1" ht="15" customHeight="1" x14ac:dyDescent="0.25"/>
    <row r="827" s="79" customFormat="1" ht="15" customHeight="1" x14ac:dyDescent="0.25"/>
    <row r="828" s="79" customFormat="1" ht="15" customHeight="1" x14ac:dyDescent="0.25"/>
    <row r="829" s="79" customFormat="1" ht="15" customHeight="1" x14ac:dyDescent="0.25"/>
    <row r="830" s="79" customFormat="1" ht="15" customHeight="1" x14ac:dyDescent="0.25"/>
    <row r="831" s="79" customFormat="1" ht="15" customHeight="1" x14ac:dyDescent="0.25"/>
    <row r="832" s="79" customFormat="1" ht="15" customHeight="1" x14ac:dyDescent="0.25"/>
    <row r="833" s="79" customFormat="1" ht="15" customHeight="1" x14ac:dyDescent="0.25"/>
    <row r="834" s="79" customFormat="1" ht="15" customHeight="1" x14ac:dyDescent="0.25"/>
    <row r="835" s="79" customFormat="1" ht="15" customHeight="1" x14ac:dyDescent="0.25"/>
    <row r="836" s="79" customFormat="1" ht="15" customHeight="1" x14ac:dyDescent="0.25"/>
    <row r="837" s="79" customFormat="1" ht="15" customHeight="1" x14ac:dyDescent="0.25"/>
    <row r="838" s="79" customFormat="1" ht="15" customHeight="1" x14ac:dyDescent="0.25"/>
    <row r="839" s="79" customFormat="1" ht="15" customHeight="1" x14ac:dyDescent="0.25"/>
    <row r="840" s="79" customFormat="1" ht="15" customHeight="1" x14ac:dyDescent="0.25"/>
    <row r="841" s="79" customFormat="1" ht="15" customHeight="1" x14ac:dyDescent="0.25"/>
    <row r="842" s="79" customFormat="1" ht="15" customHeight="1" x14ac:dyDescent="0.25"/>
    <row r="843" s="79" customFormat="1" ht="15" customHeight="1" x14ac:dyDescent="0.25"/>
    <row r="844" s="79" customFormat="1" ht="15" customHeight="1" x14ac:dyDescent="0.25"/>
    <row r="845" s="79" customFormat="1" ht="15" customHeight="1" x14ac:dyDescent="0.25"/>
    <row r="846" s="79" customFormat="1" ht="15" customHeight="1" x14ac:dyDescent="0.25"/>
    <row r="847" s="79" customFormat="1" ht="15" customHeight="1" x14ac:dyDescent="0.25"/>
    <row r="848" s="79" customFormat="1" ht="15" customHeight="1" x14ac:dyDescent="0.25"/>
    <row r="849" s="79" customFormat="1" ht="15" customHeight="1" x14ac:dyDescent="0.25"/>
    <row r="850" s="79" customFormat="1" ht="15" customHeight="1" x14ac:dyDescent="0.25"/>
    <row r="851" s="79" customFormat="1" ht="15" customHeight="1" x14ac:dyDescent="0.25"/>
    <row r="852" s="79" customFormat="1" ht="15" customHeight="1" x14ac:dyDescent="0.25"/>
    <row r="853" s="79" customFormat="1" ht="15" customHeight="1" x14ac:dyDescent="0.25"/>
    <row r="854" s="79" customFormat="1" ht="15" customHeight="1" x14ac:dyDescent="0.25"/>
    <row r="855" s="79" customFormat="1" ht="15" customHeight="1" x14ac:dyDescent="0.25"/>
    <row r="856" s="79" customFormat="1" ht="15" customHeight="1" x14ac:dyDescent="0.25"/>
    <row r="857" s="79" customFormat="1" ht="15" customHeight="1" x14ac:dyDescent="0.25"/>
    <row r="858" s="79" customFormat="1" ht="15" customHeight="1" x14ac:dyDescent="0.25"/>
    <row r="859" s="79" customFormat="1" ht="15" customHeight="1" x14ac:dyDescent="0.25"/>
    <row r="860" s="79" customFormat="1" ht="15" customHeight="1" x14ac:dyDescent="0.25"/>
    <row r="861" s="79" customFormat="1" ht="15" customHeight="1" x14ac:dyDescent="0.25"/>
    <row r="862" s="79" customFormat="1" ht="15" customHeight="1" x14ac:dyDescent="0.25"/>
    <row r="863" s="79" customFormat="1" ht="15" customHeight="1" x14ac:dyDescent="0.25"/>
    <row r="864" s="79" customFormat="1" ht="15" customHeight="1" x14ac:dyDescent="0.25"/>
    <row r="865" s="79" customFormat="1" ht="15" customHeight="1" x14ac:dyDescent="0.25"/>
    <row r="866" s="79" customFormat="1" ht="15" customHeight="1" x14ac:dyDescent="0.25"/>
    <row r="867" s="79" customFormat="1" ht="15" customHeight="1" x14ac:dyDescent="0.25"/>
    <row r="868" s="79" customFormat="1" ht="15" customHeight="1" x14ac:dyDescent="0.25"/>
    <row r="869" s="79" customFormat="1" ht="15" customHeight="1" x14ac:dyDescent="0.25"/>
    <row r="870" s="79" customFormat="1" ht="15" customHeight="1" x14ac:dyDescent="0.25"/>
    <row r="871" s="79" customFormat="1" ht="15" customHeight="1" x14ac:dyDescent="0.25"/>
    <row r="872" s="79" customFormat="1" ht="15" customHeight="1" x14ac:dyDescent="0.25"/>
    <row r="873" s="79" customFormat="1" ht="15" customHeight="1" x14ac:dyDescent="0.25"/>
    <row r="874" s="79" customFormat="1" ht="15" customHeight="1" x14ac:dyDescent="0.25"/>
    <row r="875" s="79" customFormat="1" ht="15" customHeight="1" x14ac:dyDescent="0.25"/>
    <row r="876" s="79" customFormat="1" ht="15" customHeight="1" x14ac:dyDescent="0.25"/>
    <row r="877" s="79" customFormat="1" ht="15" customHeight="1" x14ac:dyDescent="0.25"/>
    <row r="878" s="79" customFormat="1" ht="15" customHeight="1" x14ac:dyDescent="0.25"/>
    <row r="879" s="79" customFormat="1" ht="15" customHeight="1" x14ac:dyDescent="0.25"/>
    <row r="880" s="79" customFormat="1" ht="15" customHeight="1" x14ac:dyDescent="0.25"/>
    <row r="881" s="79" customFormat="1" ht="15" customHeight="1" x14ac:dyDescent="0.25"/>
    <row r="882" s="79" customFormat="1" ht="15" customHeight="1" x14ac:dyDescent="0.25"/>
    <row r="883" s="79" customFormat="1" ht="15" customHeight="1" x14ac:dyDescent="0.25"/>
    <row r="884" s="79" customFormat="1" ht="15" customHeight="1" x14ac:dyDescent="0.25"/>
    <row r="885" s="79" customFormat="1" ht="15" customHeight="1" x14ac:dyDescent="0.25"/>
    <row r="886" s="79" customFormat="1" ht="15" customHeight="1" x14ac:dyDescent="0.25"/>
    <row r="887" s="79" customFormat="1" ht="15" customHeight="1" x14ac:dyDescent="0.25"/>
    <row r="888" s="79" customFormat="1" ht="15" customHeight="1" x14ac:dyDescent="0.25"/>
    <row r="889" s="79" customFormat="1" ht="15" customHeight="1" x14ac:dyDescent="0.25"/>
    <row r="890" s="79" customFormat="1" ht="15" customHeight="1" x14ac:dyDescent="0.25"/>
    <row r="891" s="79" customFormat="1" ht="15" customHeight="1" x14ac:dyDescent="0.25"/>
    <row r="892" s="79" customFormat="1" ht="15" customHeight="1" x14ac:dyDescent="0.25"/>
    <row r="893" s="79" customFormat="1" ht="15" customHeight="1" x14ac:dyDescent="0.25"/>
    <row r="894" s="79" customFormat="1" ht="15" customHeight="1" x14ac:dyDescent="0.25"/>
    <row r="895" s="79" customFormat="1" ht="15" customHeight="1" x14ac:dyDescent="0.25"/>
    <row r="896" s="79" customFormat="1" ht="15" customHeight="1" x14ac:dyDescent="0.25"/>
    <row r="897" s="79" customFormat="1" ht="15" customHeight="1" x14ac:dyDescent="0.25"/>
    <row r="898" s="79" customFormat="1" ht="15" customHeight="1" x14ac:dyDescent="0.25"/>
    <row r="899" s="79" customFormat="1" ht="15" customHeight="1" x14ac:dyDescent="0.25"/>
    <row r="900" s="79" customFormat="1" ht="15" customHeight="1" x14ac:dyDescent="0.25"/>
    <row r="901" s="79" customFormat="1" ht="15" customHeight="1" x14ac:dyDescent="0.25"/>
    <row r="902" s="79" customFormat="1" ht="15" customHeight="1" x14ac:dyDescent="0.25"/>
    <row r="903" s="79" customFormat="1" ht="15" customHeight="1" x14ac:dyDescent="0.25"/>
    <row r="904" s="79" customFormat="1" ht="15" customHeight="1" x14ac:dyDescent="0.25"/>
    <row r="905" s="79" customFormat="1" ht="15" customHeight="1" x14ac:dyDescent="0.25"/>
    <row r="906" s="79" customFormat="1" ht="15" customHeight="1" x14ac:dyDescent="0.25"/>
    <row r="907" s="79" customFormat="1" ht="15" customHeight="1" x14ac:dyDescent="0.25"/>
    <row r="908" s="79" customFormat="1" ht="15" customHeight="1" x14ac:dyDescent="0.25"/>
    <row r="909" s="79" customFormat="1" ht="15" customHeight="1" x14ac:dyDescent="0.25"/>
    <row r="910" s="79" customFormat="1" ht="15" customHeight="1" x14ac:dyDescent="0.25"/>
    <row r="911" s="79" customFormat="1" ht="15" customHeight="1" x14ac:dyDescent="0.25"/>
    <row r="912" s="79" customFormat="1" ht="15" customHeight="1" x14ac:dyDescent="0.25"/>
    <row r="913" s="79" customFormat="1" ht="15" customHeight="1" x14ac:dyDescent="0.25"/>
    <row r="914" s="79" customFormat="1" ht="15" customHeight="1" x14ac:dyDescent="0.25"/>
    <row r="915" s="79" customFormat="1" ht="15" customHeight="1" x14ac:dyDescent="0.25"/>
    <row r="916" s="79" customFormat="1" ht="15" customHeight="1" x14ac:dyDescent="0.25"/>
    <row r="917" s="79" customFormat="1" ht="15" customHeight="1" x14ac:dyDescent="0.25"/>
    <row r="918" s="79" customFormat="1" ht="15" customHeight="1" x14ac:dyDescent="0.25"/>
    <row r="919" s="79" customFormat="1" ht="15" customHeight="1" x14ac:dyDescent="0.25"/>
    <row r="920" s="79" customFormat="1" ht="15" customHeight="1" x14ac:dyDescent="0.25"/>
    <row r="921" s="79" customFormat="1" ht="15" customHeight="1" x14ac:dyDescent="0.25"/>
    <row r="922" s="79" customFormat="1" ht="15" customHeight="1" x14ac:dyDescent="0.25"/>
    <row r="923" s="79" customFormat="1" ht="15" customHeight="1" x14ac:dyDescent="0.25"/>
    <row r="924" s="79" customFormat="1" ht="15" customHeight="1" x14ac:dyDescent="0.25"/>
    <row r="925" s="79" customFormat="1" ht="15" customHeight="1" x14ac:dyDescent="0.25"/>
    <row r="926" s="79" customFormat="1" ht="15" customHeight="1" x14ac:dyDescent="0.25"/>
    <row r="927" s="79" customFormat="1" ht="15" customHeight="1" x14ac:dyDescent="0.25"/>
    <row r="928" s="79" customFormat="1" ht="15" customHeight="1" x14ac:dyDescent="0.25"/>
    <row r="929" s="79" customFormat="1" ht="15" customHeight="1" x14ac:dyDescent="0.25"/>
    <row r="930" s="79" customFormat="1" ht="15" customHeight="1" x14ac:dyDescent="0.25"/>
    <row r="931" s="79" customFormat="1" ht="15" customHeight="1" x14ac:dyDescent="0.25"/>
    <row r="932" s="79" customFormat="1" ht="15" customHeight="1" x14ac:dyDescent="0.25"/>
    <row r="933" s="79" customFormat="1" ht="15" customHeight="1" x14ac:dyDescent="0.25"/>
    <row r="934" s="79" customFormat="1" ht="15" customHeight="1" x14ac:dyDescent="0.25"/>
    <row r="935" s="79" customFormat="1" ht="15" customHeight="1" x14ac:dyDescent="0.25"/>
    <row r="936" s="79" customFormat="1" ht="15" customHeight="1" x14ac:dyDescent="0.25"/>
    <row r="937" s="79" customFormat="1" ht="15" customHeight="1" x14ac:dyDescent="0.25"/>
    <row r="938" s="79" customFormat="1" ht="15" customHeight="1" x14ac:dyDescent="0.25"/>
    <row r="939" s="79" customFormat="1" ht="15" customHeight="1" x14ac:dyDescent="0.25"/>
    <row r="940" s="79" customFormat="1" ht="15" customHeight="1" x14ac:dyDescent="0.25"/>
    <row r="941" s="79" customFormat="1" ht="15" customHeight="1" x14ac:dyDescent="0.25"/>
    <row r="942" s="79" customFormat="1" ht="15" customHeight="1" x14ac:dyDescent="0.25"/>
    <row r="943" s="79" customFormat="1" ht="15" customHeight="1" x14ac:dyDescent="0.25"/>
    <row r="944" s="79" customFormat="1" ht="15" customHeight="1" x14ac:dyDescent="0.25"/>
    <row r="945" s="79" customFormat="1" ht="15" customHeight="1" x14ac:dyDescent="0.25"/>
    <row r="946" s="79" customFormat="1" ht="15" customHeight="1" x14ac:dyDescent="0.25"/>
    <row r="947" s="79" customFormat="1" ht="15" customHeight="1" x14ac:dyDescent="0.25"/>
    <row r="948" s="79" customFormat="1" ht="15" customHeight="1" x14ac:dyDescent="0.25"/>
    <row r="949" s="79" customFormat="1" ht="15" customHeight="1" x14ac:dyDescent="0.25"/>
    <row r="950" s="79" customFormat="1" ht="15" customHeight="1" x14ac:dyDescent="0.25"/>
    <row r="951" s="79" customFormat="1" ht="15" customHeight="1" x14ac:dyDescent="0.25"/>
    <row r="952" s="79" customFormat="1" ht="15" customHeight="1" x14ac:dyDescent="0.25"/>
    <row r="953" s="79" customFormat="1" ht="15" customHeight="1" x14ac:dyDescent="0.25"/>
    <row r="954" s="79" customFormat="1" ht="15" customHeight="1" x14ac:dyDescent="0.25"/>
    <row r="955" s="79" customFormat="1" ht="15" customHeight="1" x14ac:dyDescent="0.25"/>
    <row r="956" s="79" customFormat="1" ht="15" customHeight="1" x14ac:dyDescent="0.25"/>
    <row r="957" s="79" customFormat="1" ht="15" customHeight="1" x14ac:dyDescent="0.25"/>
    <row r="958" s="79" customFormat="1" ht="15" customHeight="1" x14ac:dyDescent="0.25"/>
    <row r="959" s="79" customFormat="1" ht="15" customHeight="1" x14ac:dyDescent="0.25"/>
    <row r="960" s="79" customFormat="1" ht="15" customHeight="1" x14ac:dyDescent="0.25"/>
    <row r="961" s="79" customFormat="1" ht="15" customHeight="1" x14ac:dyDescent="0.25"/>
    <row r="962" s="79" customFormat="1" ht="15" customHeight="1" x14ac:dyDescent="0.25"/>
    <row r="963" s="79" customFormat="1" ht="15" customHeight="1" x14ac:dyDescent="0.25"/>
    <row r="964" s="79" customFormat="1" ht="15" customHeight="1" x14ac:dyDescent="0.25"/>
    <row r="965" s="79" customFormat="1" ht="15" customHeight="1" x14ac:dyDescent="0.25"/>
    <row r="966" s="79" customFormat="1" ht="15" customHeight="1" x14ac:dyDescent="0.25"/>
    <row r="967" s="79" customFormat="1" ht="15" customHeight="1" x14ac:dyDescent="0.25"/>
    <row r="968" s="79" customFormat="1" ht="15" customHeight="1" x14ac:dyDescent="0.25"/>
    <row r="969" s="79" customFormat="1" ht="15" customHeight="1" x14ac:dyDescent="0.25"/>
    <row r="970" s="79" customFormat="1" ht="15" customHeight="1" x14ac:dyDescent="0.25"/>
    <row r="971" s="79" customFormat="1" ht="15" customHeight="1" x14ac:dyDescent="0.25"/>
    <row r="972" s="79" customFormat="1" ht="15" customHeight="1" x14ac:dyDescent="0.25"/>
    <row r="973" s="79" customFormat="1" ht="15" customHeight="1" x14ac:dyDescent="0.25"/>
    <row r="974" s="79" customFormat="1" ht="15" customHeight="1" x14ac:dyDescent="0.25"/>
    <row r="975" s="79" customFormat="1" ht="15" customHeight="1" x14ac:dyDescent="0.25"/>
    <row r="976" s="79" customFormat="1" ht="15" customHeight="1" x14ac:dyDescent="0.25"/>
    <row r="977" s="79" customFormat="1" ht="15" customHeight="1" x14ac:dyDescent="0.25"/>
    <row r="978" s="79" customFormat="1" ht="15" customHeight="1" x14ac:dyDescent="0.25"/>
    <row r="979" s="79" customFormat="1" ht="15" customHeight="1" x14ac:dyDescent="0.25"/>
    <row r="980" s="79" customFormat="1" ht="15" customHeight="1" x14ac:dyDescent="0.25"/>
    <row r="981" s="79" customFormat="1" ht="15" customHeight="1" x14ac:dyDescent="0.25"/>
    <row r="982" s="79" customFormat="1" ht="15" customHeight="1" x14ac:dyDescent="0.25"/>
    <row r="983" s="79" customFormat="1" ht="15" customHeight="1" x14ac:dyDescent="0.25"/>
    <row r="984" s="79" customFormat="1" ht="15" customHeight="1" x14ac:dyDescent="0.25"/>
    <row r="985" s="79" customFormat="1" ht="15" customHeight="1" x14ac:dyDescent="0.25"/>
    <row r="986" s="79" customFormat="1" ht="15" customHeight="1" x14ac:dyDescent="0.25"/>
    <row r="987" s="79" customFormat="1" ht="15" customHeight="1" x14ac:dyDescent="0.25"/>
    <row r="988" s="79" customFormat="1" ht="15" customHeight="1" x14ac:dyDescent="0.25"/>
    <row r="989" s="79" customFormat="1" ht="15" customHeight="1" x14ac:dyDescent="0.25"/>
    <row r="990" s="79" customFormat="1" ht="15" customHeight="1" x14ac:dyDescent="0.25"/>
    <row r="991" s="79" customFormat="1" ht="15" customHeight="1" x14ac:dyDescent="0.25"/>
    <row r="992" s="79" customFormat="1" ht="15" customHeight="1" x14ac:dyDescent="0.25"/>
    <row r="993" s="79" customFormat="1" ht="15" customHeight="1" x14ac:dyDescent="0.25"/>
    <row r="994" s="79" customFormat="1" ht="15" customHeight="1" x14ac:dyDescent="0.25"/>
    <row r="995" s="79" customFormat="1" ht="15" customHeight="1" x14ac:dyDescent="0.25"/>
    <row r="996" s="79" customFormat="1" ht="15" customHeight="1" x14ac:dyDescent="0.25"/>
    <row r="997" s="79" customFormat="1" ht="15" customHeight="1" x14ac:dyDescent="0.25"/>
    <row r="998" s="79" customFormat="1" ht="15" customHeight="1" x14ac:dyDescent="0.25"/>
    <row r="999" s="79" customFormat="1" ht="15" customHeight="1" x14ac:dyDescent="0.25"/>
    <row r="1000" s="79" customFormat="1" ht="15" customHeight="1" x14ac:dyDescent="0.25"/>
    <row r="1001" s="79" customFormat="1" ht="15" customHeight="1" x14ac:dyDescent="0.25"/>
    <row r="1002" s="79" customFormat="1" ht="15" customHeight="1" x14ac:dyDescent="0.25"/>
    <row r="1003" s="79" customFormat="1" ht="15" customHeight="1" x14ac:dyDescent="0.25"/>
    <row r="1004" s="79" customFormat="1" ht="15" customHeight="1" x14ac:dyDescent="0.25"/>
    <row r="1005" s="79" customFormat="1" ht="15" customHeight="1" x14ac:dyDescent="0.25"/>
    <row r="1006" s="79" customFormat="1" ht="15" customHeight="1" x14ac:dyDescent="0.25"/>
    <row r="1007" s="79" customFormat="1" ht="15" customHeight="1" x14ac:dyDescent="0.25"/>
    <row r="1008" s="79" customFormat="1" ht="15" customHeight="1" x14ac:dyDescent="0.25"/>
    <row r="1009" s="79" customFormat="1" ht="15" customHeight="1" x14ac:dyDescent="0.25"/>
    <row r="1010" s="79" customFormat="1" ht="15" customHeight="1" x14ac:dyDescent="0.25"/>
    <row r="1011" s="79" customFormat="1" ht="15" customHeight="1" x14ac:dyDescent="0.25"/>
    <row r="1012" s="79" customFormat="1" ht="15" customHeight="1" x14ac:dyDescent="0.25"/>
    <row r="1013" s="79" customFormat="1" ht="15" customHeight="1" x14ac:dyDescent="0.25"/>
    <row r="1014" s="79" customFormat="1" ht="15" customHeight="1" x14ac:dyDescent="0.25"/>
    <row r="1015" s="79" customFormat="1" ht="15" customHeight="1" x14ac:dyDescent="0.25"/>
    <row r="1016" s="79" customFormat="1" ht="15" customHeight="1" x14ac:dyDescent="0.25"/>
    <row r="1017" s="79" customFormat="1" ht="15" customHeight="1" x14ac:dyDescent="0.25"/>
    <row r="1018" s="79" customFormat="1" ht="15" customHeight="1" x14ac:dyDescent="0.25"/>
    <row r="1019" s="79" customFormat="1" ht="15" customHeight="1" x14ac:dyDescent="0.25"/>
    <row r="1020" s="79" customFormat="1" ht="15" customHeight="1" x14ac:dyDescent="0.25"/>
    <row r="1021" s="79" customFormat="1" ht="15" customHeight="1" x14ac:dyDescent="0.25"/>
    <row r="1022" s="79" customFormat="1" ht="15" customHeight="1" x14ac:dyDescent="0.25"/>
    <row r="1023" s="79" customFormat="1" ht="15" customHeight="1" x14ac:dyDescent="0.25"/>
    <row r="1024" s="79" customFormat="1" ht="15" customHeight="1" x14ac:dyDescent="0.25"/>
    <row r="1025" s="79" customFormat="1" ht="15" customHeight="1" x14ac:dyDescent="0.25"/>
    <row r="1026" s="79" customFormat="1" ht="15" customHeight="1" x14ac:dyDescent="0.25"/>
    <row r="1027" s="79" customFormat="1" ht="15" customHeight="1" x14ac:dyDescent="0.25"/>
    <row r="1028" s="79" customFormat="1" ht="15" customHeight="1" x14ac:dyDescent="0.25"/>
    <row r="1029" s="79" customFormat="1" ht="15" customHeight="1" x14ac:dyDescent="0.25"/>
    <row r="1030" s="79" customFormat="1" ht="15" customHeight="1" x14ac:dyDescent="0.25"/>
    <row r="1031" s="79" customFormat="1" ht="15" customHeight="1" x14ac:dyDescent="0.25"/>
    <row r="1032" s="79" customFormat="1" ht="15" customHeight="1" x14ac:dyDescent="0.25"/>
    <row r="1033" s="79" customFormat="1" ht="15" customHeight="1" x14ac:dyDescent="0.25"/>
    <row r="1034" s="79" customFormat="1" ht="15" customHeight="1" x14ac:dyDescent="0.25"/>
    <row r="1035" s="79" customFormat="1" ht="15" customHeight="1" x14ac:dyDescent="0.25"/>
    <row r="1036" s="79" customFormat="1" ht="15" customHeight="1" x14ac:dyDescent="0.25"/>
    <row r="1037" s="79" customFormat="1" ht="15" customHeight="1" x14ac:dyDescent="0.25"/>
    <row r="1038" s="79" customFormat="1" ht="15" customHeight="1" x14ac:dyDescent="0.25"/>
    <row r="1039" s="79" customFormat="1" ht="15" customHeight="1" x14ac:dyDescent="0.25"/>
    <row r="1040" s="79" customFormat="1" ht="15" customHeight="1" x14ac:dyDescent="0.25"/>
    <row r="1041" s="79" customFormat="1" ht="15" customHeight="1" x14ac:dyDescent="0.25"/>
    <row r="1042" s="79" customFormat="1" ht="15" customHeight="1" x14ac:dyDescent="0.25"/>
    <row r="1043" s="79" customFormat="1" ht="15" customHeight="1" x14ac:dyDescent="0.25"/>
    <row r="1044" s="79" customFormat="1" ht="15" customHeight="1" x14ac:dyDescent="0.25"/>
    <row r="1045" s="79" customFormat="1" ht="15" customHeight="1" x14ac:dyDescent="0.25"/>
    <row r="1046" s="79" customFormat="1" ht="15" customHeight="1" x14ac:dyDescent="0.25"/>
    <row r="1047" s="79" customFormat="1" ht="15" customHeight="1" x14ac:dyDescent="0.25"/>
    <row r="1048" s="79" customFormat="1" ht="15" customHeight="1" x14ac:dyDescent="0.25"/>
    <row r="1049" s="79" customFormat="1" ht="15" customHeight="1" x14ac:dyDescent="0.25"/>
    <row r="1050" s="79" customFormat="1" ht="15" customHeight="1" x14ac:dyDescent="0.25"/>
    <row r="1051" s="79" customFormat="1" ht="15" customHeight="1" x14ac:dyDescent="0.25"/>
    <row r="1052" s="79" customFormat="1" ht="15" customHeight="1" x14ac:dyDescent="0.25"/>
    <row r="1053" s="79" customFormat="1" ht="15" customHeight="1" x14ac:dyDescent="0.25"/>
    <row r="1054" s="79" customFormat="1" ht="15" customHeight="1" x14ac:dyDescent="0.25"/>
    <row r="1055" s="79" customFormat="1" ht="15" customHeight="1" x14ac:dyDescent="0.25"/>
    <row r="1056" s="79" customFormat="1" ht="15" customHeight="1" x14ac:dyDescent="0.25"/>
    <row r="1057" s="79" customFormat="1" ht="15" customHeight="1" x14ac:dyDescent="0.25"/>
    <row r="1058" s="79" customFormat="1" ht="15" customHeight="1" x14ac:dyDescent="0.25"/>
    <row r="1059" s="79" customFormat="1" ht="15" customHeight="1" x14ac:dyDescent="0.25"/>
    <row r="1060" s="79" customFormat="1" ht="15" customHeight="1" x14ac:dyDescent="0.25"/>
    <row r="1061" s="79" customFormat="1" ht="15" customHeight="1" x14ac:dyDescent="0.25"/>
    <row r="1062" s="79" customFormat="1" ht="15" customHeight="1" x14ac:dyDescent="0.25"/>
    <row r="1063" s="79" customFormat="1" ht="15" customHeight="1" x14ac:dyDescent="0.25"/>
    <row r="1064" s="79" customFormat="1" ht="15" customHeight="1" x14ac:dyDescent="0.25"/>
    <row r="1065" s="79" customFormat="1" ht="15" customHeight="1" x14ac:dyDescent="0.25"/>
    <row r="1066" s="79" customFormat="1" ht="15" customHeight="1" x14ac:dyDescent="0.25"/>
    <row r="1067" s="79" customFormat="1" ht="15" customHeight="1" x14ac:dyDescent="0.25"/>
    <row r="1068" s="79" customFormat="1" ht="15" customHeight="1" x14ac:dyDescent="0.25"/>
    <row r="1069" s="79" customFormat="1" ht="15" customHeight="1" x14ac:dyDescent="0.25"/>
    <row r="1070" s="79" customFormat="1" ht="15" customHeight="1" x14ac:dyDescent="0.25"/>
    <row r="1071" s="79" customFormat="1" ht="15" customHeight="1" x14ac:dyDescent="0.25"/>
    <row r="1072" s="79" customFormat="1" ht="15" customHeight="1" x14ac:dyDescent="0.25"/>
    <row r="1073" s="79" customFormat="1" ht="15" customHeight="1" x14ac:dyDescent="0.25"/>
    <row r="1074" s="79" customFormat="1" ht="15" customHeight="1" x14ac:dyDescent="0.25"/>
    <row r="1075" s="79" customFormat="1" ht="15" customHeight="1" x14ac:dyDescent="0.25"/>
    <row r="1076" s="79" customFormat="1" ht="15" customHeight="1" x14ac:dyDescent="0.25"/>
    <row r="1077" s="79" customFormat="1" ht="15" customHeight="1" x14ac:dyDescent="0.25"/>
    <row r="1078" s="79" customFormat="1" ht="15" customHeight="1" x14ac:dyDescent="0.25"/>
    <row r="1079" s="79" customFormat="1" ht="15" customHeight="1" x14ac:dyDescent="0.25"/>
    <row r="1080" s="79" customFormat="1" ht="15" customHeight="1" x14ac:dyDescent="0.25"/>
    <row r="1081" s="79" customFormat="1" ht="15" customHeight="1" x14ac:dyDescent="0.25"/>
    <row r="1082" s="79" customFormat="1" ht="15" customHeight="1" x14ac:dyDescent="0.25"/>
    <row r="1083" s="79" customFormat="1" ht="15" customHeight="1" x14ac:dyDescent="0.25"/>
    <row r="1084" s="79" customFormat="1" ht="15" customHeight="1" x14ac:dyDescent="0.25"/>
    <row r="1085" s="79" customFormat="1" ht="15" customHeight="1" x14ac:dyDescent="0.25"/>
    <row r="1086" s="79" customFormat="1" ht="15" customHeight="1" x14ac:dyDescent="0.25"/>
    <row r="1087" s="79" customFormat="1" ht="15" customHeight="1" x14ac:dyDescent="0.25"/>
    <row r="1088" s="79" customFormat="1" ht="15" customHeight="1" x14ac:dyDescent="0.25"/>
    <row r="1089" s="79" customFormat="1" ht="15" customHeight="1" x14ac:dyDescent="0.25"/>
    <row r="1090" s="79" customFormat="1" ht="15" customHeight="1" x14ac:dyDescent="0.25"/>
    <row r="1091" s="79" customFormat="1" ht="15" customHeight="1" x14ac:dyDescent="0.25"/>
    <row r="1092" s="79" customFormat="1" ht="15" customHeight="1" x14ac:dyDescent="0.25"/>
    <row r="1093" s="79" customFormat="1" ht="15" customHeight="1" x14ac:dyDescent="0.25"/>
    <row r="1094" s="79" customFormat="1" ht="15" customHeight="1" x14ac:dyDescent="0.25"/>
    <row r="1095" s="79" customFormat="1" ht="15" customHeight="1" x14ac:dyDescent="0.25"/>
    <row r="1096" s="79" customFormat="1" ht="15" customHeight="1" x14ac:dyDescent="0.25"/>
    <row r="1097" s="79" customFormat="1" ht="15" customHeight="1" x14ac:dyDescent="0.25"/>
    <row r="1098" s="79" customFormat="1" ht="15" customHeight="1" x14ac:dyDescent="0.25"/>
    <row r="1099" s="79" customFormat="1" ht="15" customHeight="1" x14ac:dyDescent="0.25"/>
    <row r="1100" s="79" customFormat="1" ht="15" customHeight="1" x14ac:dyDescent="0.25"/>
    <row r="1101" s="79" customFormat="1" ht="15" customHeight="1" x14ac:dyDescent="0.25"/>
    <row r="1102" s="79" customFormat="1" ht="15" customHeight="1" x14ac:dyDescent="0.25"/>
    <row r="1103" s="79" customFormat="1" ht="15" customHeight="1" x14ac:dyDescent="0.25"/>
    <row r="1104" s="79" customFormat="1" ht="15" customHeight="1" x14ac:dyDescent="0.25"/>
    <row r="1105" s="79" customFormat="1" ht="15" customHeight="1" x14ac:dyDescent="0.25"/>
    <row r="1106" s="79" customFormat="1" ht="15" customHeight="1" x14ac:dyDescent="0.25"/>
    <row r="1107" s="79" customFormat="1" ht="15" customHeight="1" x14ac:dyDescent="0.25"/>
    <row r="1108" s="79" customFormat="1" ht="15" customHeight="1" x14ac:dyDescent="0.25"/>
    <row r="1109" s="79" customFormat="1" ht="15" customHeight="1" x14ac:dyDescent="0.25"/>
    <row r="1110" s="79" customFormat="1" ht="15" customHeight="1" x14ac:dyDescent="0.25"/>
    <row r="1111" s="79" customFormat="1" ht="15" customHeight="1" x14ac:dyDescent="0.25"/>
    <row r="1112" s="79" customFormat="1" ht="15" customHeight="1" x14ac:dyDescent="0.25"/>
    <row r="1113" s="79" customFormat="1" ht="15" customHeight="1" x14ac:dyDescent="0.25"/>
    <row r="1114" s="79" customFormat="1" ht="15" customHeight="1" x14ac:dyDescent="0.25"/>
    <row r="1115" s="79" customFormat="1" ht="15" customHeight="1" x14ac:dyDescent="0.25"/>
    <row r="1116" s="79" customFormat="1" ht="15" customHeight="1" x14ac:dyDescent="0.25"/>
    <row r="1117" s="79" customFormat="1" ht="15" customHeight="1" x14ac:dyDescent="0.25"/>
    <row r="1118" s="79" customFormat="1" ht="15" customHeight="1" x14ac:dyDescent="0.25"/>
    <row r="1119" s="79" customFormat="1" ht="15" customHeight="1" x14ac:dyDescent="0.25"/>
    <row r="1120" s="79" customFormat="1" ht="15" customHeight="1" x14ac:dyDescent="0.25"/>
    <row r="1121" s="79" customFormat="1" ht="15" customHeight="1" x14ac:dyDescent="0.25"/>
    <row r="1122" s="79" customFormat="1" ht="15" customHeight="1" x14ac:dyDescent="0.25"/>
    <row r="1123" s="79" customFormat="1" ht="15" customHeight="1" x14ac:dyDescent="0.25"/>
    <row r="1124" s="79" customFormat="1" ht="15" customHeight="1" x14ac:dyDescent="0.25"/>
    <row r="1125" s="79" customFormat="1" ht="15" customHeight="1" x14ac:dyDescent="0.25"/>
    <row r="1126" s="79" customFormat="1" ht="15" customHeight="1" x14ac:dyDescent="0.25"/>
    <row r="1127" s="79" customFormat="1" ht="15" customHeight="1" x14ac:dyDescent="0.25"/>
    <row r="1128" s="79" customFormat="1" ht="15" customHeight="1" x14ac:dyDescent="0.25"/>
    <row r="1129" s="79" customFormat="1" ht="15" customHeight="1" x14ac:dyDescent="0.25"/>
    <row r="1130" s="79" customFormat="1" ht="15" customHeight="1" x14ac:dyDescent="0.25"/>
    <row r="1131" s="79" customFormat="1" ht="15" customHeight="1" x14ac:dyDescent="0.25"/>
    <row r="1132" s="79" customFormat="1" ht="15" customHeight="1" x14ac:dyDescent="0.25"/>
    <row r="1133" s="79" customFormat="1" ht="15" customHeight="1" x14ac:dyDescent="0.25"/>
    <row r="1134" s="79" customFormat="1" ht="15" customHeight="1" x14ac:dyDescent="0.25"/>
    <row r="1135" s="79" customFormat="1" ht="15" customHeight="1" x14ac:dyDescent="0.25"/>
    <row r="1136" s="79" customFormat="1" ht="15" customHeight="1" x14ac:dyDescent="0.25"/>
    <row r="1137" s="79" customFormat="1" ht="15" customHeight="1" x14ac:dyDescent="0.25"/>
    <row r="1138" s="79" customFormat="1" ht="15" customHeight="1" x14ac:dyDescent="0.25"/>
    <row r="1139" s="79" customFormat="1" ht="15" customHeight="1" x14ac:dyDescent="0.25"/>
    <row r="1140" s="79" customFormat="1" ht="15" customHeight="1" x14ac:dyDescent="0.25"/>
    <row r="1141" s="79" customFormat="1" ht="15" customHeight="1" x14ac:dyDescent="0.25"/>
    <row r="1142" s="79" customFormat="1" ht="15" customHeight="1" x14ac:dyDescent="0.25"/>
    <row r="1143" s="79" customFormat="1" ht="15" customHeight="1" x14ac:dyDescent="0.25"/>
    <row r="1144" s="79" customFormat="1" ht="15" customHeight="1" x14ac:dyDescent="0.25"/>
    <row r="1145" s="79" customFormat="1" ht="15" customHeight="1" x14ac:dyDescent="0.25"/>
    <row r="1146" s="79" customFormat="1" ht="15" customHeight="1" x14ac:dyDescent="0.25"/>
    <row r="1147" s="79" customFormat="1" ht="15" customHeight="1" x14ac:dyDescent="0.25"/>
    <row r="1148" s="79" customFormat="1" ht="15" customHeight="1" x14ac:dyDescent="0.25"/>
    <row r="1149" s="79" customFormat="1" ht="15" customHeight="1" x14ac:dyDescent="0.25"/>
    <row r="1150" s="79" customFormat="1" ht="15" customHeight="1" x14ac:dyDescent="0.25"/>
    <row r="1151" s="79" customFormat="1" ht="15" customHeight="1" x14ac:dyDescent="0.25"/>
    <row r="1152" s="79" customFormat="1" ht="15" customHeight="1" x14ac:dyDescent="0.25"/>
    <row r="1153" s="79" customFormat="1" ht="15" customHeight="1" x14ac:dyDescent="0.25"/>
    <row r="1154" s="79" customFormat="1" ht="15" customHeight="1" x14ac:dyDescent="0.25"/>
    <row r="1155" s="79" customFormat="1" ht="15" customHeight="1" x14ac:dyDescent="0.25"/>
    <row r="1156" s="79" customFormat="1" ht="15" customHeight="1" x14ac:dyDescent="0.25"/>
    <row r="1157" s="79" customFormat="1" ht="15" customHeight="1" x14ac:dyDescent="0.25"/>
    <row r="1158" s="79" customFormat="1" ht="15" customHeight="1" x14ac:dyDescent="0.25"/>
    <row r="1159" s="79" customFormat="1" ht="15" customHeight="1" x14ac:dyDescent="0.25"/>
    <row r="1160" s="79" customFormat="1" ht="15" customHeight="1" x14ac:dyDescent="0.25"/>
    <row r="1161" s="79" customFormat="1" ht="15" customHeight="1" x14ac:dyDescent="0.25"/>
    <row r="1162" s="79" customFormat="1" ht="15" customHeight="1" x14ac:dyDescent="0.25"/>
    <row r="1163" s="79" customFormat="1" ht="15" customHeight="1" x14ac:dyDescent="0.25"/>
    <row r="1164" s="79" customFormat="1" ht="15" customHeight="1" x14ac:dyDescent="0.25"/>
    <row r="1165" s="79" customFormat="1" ht="15" customHeight="1" x14ac:dyDescent="0.25"/>
    <row r="1166" s="79" customFormat="1" ht="15" customHeight="1" x14ac:dyDescent="0.25"/>
    <row r="1167" s="79" customFormat="1" ht="15" customHeight="1" x14ac:dyDescent="0.25"/>
    <row r="1168" s="79" customFormat="1" ht="15" customHeight="1" x14ac:dyDescent="0.25"/>
    <row r="1169" s="79" customFormat="1" ht="15" customHeight="1" x14ac:dyDescent="0.25"/>
    <row r="1170" s="79" customFormat="1" ht="15" customHeight="1" x14ac:dyDescent="0.25"/>
    <row r="1171" s="79" customFormat="1" ht="15" customHeight="1" x14ac:dyDescent="0.25"/>
    <row r="1172" s="79" customFormat="1" ht="15" customHeight="1" x14ac:dyDescent="0.25"/>
    <row r="1173" s="79" customFormat="1" ht="15" customHeight="1" x14ac:dyDescent="0.25"/>
    <row r="1174" s="79" customFormat="1" ht="15" customHeight="1" x14ac:dyDescent="0.25"/>
    <row r="1175" s="79" customFormat="1" ht="15" customHeight="1" x14ac:dyDescent="0.25"/>
    <row r="1176" s="79" customFormat="1" ht="15" customHeight="1" x14ac:dyDescent="0.25"/>
    <row r="1177" s="79" customFormat="1" ht="15" customHeight="1" x14ac:dyDescent="0.25"/>
    <row r="1178" s="79" customFormat="1" ht="15" customHeight="1" x14ac:dyDescent="0.25"/>
    <row r="1179" s="79" customFormat="1" ht="15" customHeight="1" x14ac:dyDescent="0.25"/>
    <row r="1180" s="79" customFormat="1" ht="15" customHeight="1" x14ac:dyDescent="0.25"/>
    <row r="1181" s="79" customFormat="1" ht="15" customHeight="1" x14ac:dyDescent="0.25"/>
    <row r="1182" s="79" customFormat="1" ht="15" customHeight="1" x14ac:dyDescent="0.25"/>
    <row r="1183" s="79" customFormat="1" ht="15" customHeight="1" x14ac:dyDescent="0.25"/>
    <row r="1184" s="79" customFormat="1" ht="15" customHeight="1" x14ac:dyDescent="0.25"/>
    <row r="1185" s="79" customFormat="1" ht="15" customHeight="1" x14ac:dyDescent="0.25"/>
    <row r="1186" s="79" customFormat="1" ht="15" customHeight="1" x14ac:dyDescent="0.25"/>
    <row r="1187" s="79" customFormat="1" ht="15" customHeight="1" x14ac:dyDescent="0.25"/>
    <row r="1188" s="79" customFormat="1" ht="15" customHeight="1" x14ac:dyDescent="0.25"/>
    <row r="1189" s="79" customFormat="1" ht="15" customHeight="1" x14ac:dyDescent="0.25"/>
    <row r="1190" s="79" customFormat="1" ht="15" customHeight="1" x14ac:dyDescent="0.25"/>
    <row r="1191" s="79" customFormat="1" ht="15" customHeight="1" x14ac:dyDescent="0.25"/>
    <row r="1192" s="79" customFormat="1" ht="15" customHeight="1" x14ac:dyDescent="0.25"/>
    <row r="1193" s="79" customFormat="1" ht="15" customHeight="1" x14ac:dyDescent="0.25"/>
    <row r="1194" s="79" customFormat="1" ht="15" customHeight="1" x14ac:dyDescent="0.25"/>
    <row r="1195" s="79" customFormat="1" ht="15" customHeight="1" x14ac:dyDescent="0.25"/>
    <row r="1196" s="79" customFormat="1" ht="15" customHeight="1" x14ac:dyDescent="0.25"/>
    <row r="1197" s="79" customFormat="1" ht="15" customHeight="1" x14ac:dyDescent="0.25"/>
    <row r="1198" s="79" customFormat="1" ht="15" customHeight="1" x14ac:dyDescent="0.25"/>
    <row r="1199" s="79" customFormat="1" ht="15" customHeight="1" x14ac:dyDescent="0.25"/>
    <row r="1200" s="79" customFormat="1" ht="15" customHeight="1" x14ac:dyDescent="0.25"/>
    <row r="1201" s="79" customFormat="1" ht="15" customHeight="1" x14ac:dyDescent="0.25"/>
    <row r="1202" s="79" customFormat="1" ht="15" customHeight="1" x14ac:dyDescent="0.25"/>
    <row r="1203" s="79" customFormat="1" ht="15" customHeight="1" x14ac:dyDescent="0.25"/>
    <row r="1204" s="79" customFormat="1" ht="15" customHeight="1" x14ac:dyDescent="0.25"/>
    <row r="1205" s="79" customFormat="1" ht="15" customHeight="1" x14ac:dyDescent="0.25"/>
    <row r="1206" s="79" customFormat="1" ht="15" customHeight="1" x14ac:dyDescent="0.25"/>
    <row r="1207" s="79" customFormat="1" ht="15" customHeight="1" x14ac:dyDescent="0.25"/>
    <row r="1208" s="79" customFormat="1" ht="15" customHeight="1" x14ac:dyDescent="0.25"/>
    <row r="1209" s="79" customFormat="1" ht="15" customHeight="1" x14ac:dyDescent="0.25"/>
    <row r="1210" s="79" customFormat="1" ht="15" customHeight="1" x14ac:dyDescent="0.25"/>
    <row r="1211" s="79" customFormat="1" ht="15" customHeight="1" x14ac:dyDescent="0.25"/>
    <row r="1212" s="79" customFormat="1" ht="15" customHeight="1" x14ac:dyDescent="0.25"/>
    <row r="1213" s="79" customFormat="1" ht="15" customHeight="1" x14ac:dyDescent="0.25"/>
    <row r="1214" s="79" customFormat="1" ht="15" customHeight="1" x14ac:dyDescent="0.25"/>
    <row r="1215" s="79" customFormat="1" ht="15" customHeight="1" x14ac:dyDescent="0.25"/>
    <row r="1216" s="79" customFormat="1" ht="15" customHeight="1" x14ac:dyDescent="0.25"/>
    <row r="1217" s="79" customFormat="1" ht="15" customHeight="1" x14ac:dyDescent="0.25"/>
    <row r="1218" s="79" customFormat="1" ht="15" customHeight="1" x14ac:dyDescent="0.25"/>
    <row r="1219" s="79" customFormat="1" ht="15" customHeight="1" x14ac:dyDescent="0.25"/>
    <row r="1220" s="79" customFormat="1" ht="15" customHeight="1" x14ac:dyDescent="0.25"/>
    <row r="1221" s="79" customFormat="1" ht="15" customHeight="1" x14ac:dyDescent="0.25"/>
    <row r="1222" s="79" customFormat="1" ht="15" customHeight="1" x14ac:dyDescent="0.25"/>
    <row r="1223" s="79" customFormat="1" ht="15" customHeight="1" x14ac:dyDescent="0.25"/>
    <row r="1224" s="79" customFormat="1" ht="15" customHeight="1" x14ac:dyDescent="0.25"/>
    <row r="1225" s="79" customFormat="1" ht="15" customHeight="1" x14ac:dyDescent="0.25"/>
    <row r="1226" s="79" customFormat="1" ht="15" customHeight="1" x14ac:dyDescent="0.25"/>
    <row r="1227" s="79" customFormat="1" ht="15" customHeight="1" x14ac:dyDescent="0.25"/>
    <row r="1228" s="79" customFormat="1" ht="15" customHeight="1" x14ac:dyDescent="0.25"/>
    <row r="1229" s="79" customFormat="1" ht="15" customHeight="1" x14ac:dyDescent="0.25"/>
    <row r="1230" s="79" customFormat="1" ht="15" customHeight="1" x14ac:dyDescent="0.25"/>
    <row r="1231" s="79" customFormat="1" ht="15" customHeight="1" x14ac:dyDescent="0.25"/>
    <row r="1232" s="79" customFormat="1" ht="15" customHeight="1" x14ac:dyDescent="0.25"/>
    <row r="1233" s="79" customFormat="1" ht="15" customHeight="1" x14ac:dyDescent="0.25"/>
    <row r="1234" s="79" customFormat="1" ht="15" customHeight="1" x14ac:dyDescent="0.25"/>
    <row r="1235" s="79" customFormat="1" ht="15" customHeight="1" x14ac:dyDescent="0.25"/>
    <row r="1236" s="79" customFormat="1" ht="15" customHeight="1" x14ac:dyDescent="0.25"/>
    <row r="1237" s="79" customFormat="1" ht="15" customHeight="1" x14ac:dyDescent="0.25"/>
    <row r="1238" s="79" customFormat="1" ht="15" customHeight="1" x14ac:dyDescent="0.25"/>
    <row r="1239" s="79" customFormat="1" ht="15" customHeight="1" x14ac:dyDescent="0.25"/>
    <row r="1240" s="79" customFormat="1" ht="15" customHeight="1" x14ac:dyDescent="0.25"/>
    <row r="1241" s="79" customFormat="1" ht="15" customHeight="1" x14ac:dyDescent="0.25"/>
    <row r="1242" s="79" customFormat="1" ht="15" customHeight="1" x14ac:dyDescent="0.25"/>
    <row r="1243" s="79" customFormat="1" ht="15" customHeight="1" x14ac:dyDescent="0.25"/>
    <row r="1244" s="79" customFormat="1" ht="15" customHeight="1" x14ac:dyDescent="0.25"/>
    <row r="1245" s="79" customFormat="1" ht="15" customHeight="1" x14ac:dyDescent="0.25"/>
    <row r="1246" s="79" customFormat="1" ht="15" customHeight="1" x14ac:dyDescent="0.25"/>
    <row r="1247" s="79" customFormat="1" ht="15" customHeight="1" x14ac:dyDescent="0.25"/>
    <row r="1248" s="79" customFormat="1" ht="15" customHeight="1" x14ac:dyDescent="0.25"/>
    <row r="1249" s="79" customFormat="1" ht="15" customHeight="1" x14ac:dyDescent="0.25"/>
    <row r="1250" s="79" customFormat="1" ht="15" customHeight="1" x14ac:dyDescent="0.25"/>
    <row r="1251" s="79" customFormat="1" ht="15" customHeight="1" x14ac:dyDescent="0.25"/>
    <row r="1252" s="79" customFormat="1" ht="15" customHeight="1" x14ac:dyDescent="0.25"/>
    <row r="1253" s="79" customFormat="1" ht="15" customHeight="1" x14ac:dyDescent="0.25"/>
    <row r="1254" s="79" customFormat="1" ht="15" customHeight="1" x14ac:dyDescent="0.25"/>
    <row r="1255" s="79" customFormat="1" ht="15" customHeight="1" x14ac:dyDescent="0.25"/>
    <row r="1256" s="79" customFormat="1" ht="15" customHeight="1" x14ac:dyDescent="0.25"/>
    <row r="1257" s="79" customFormat="1" ht="15" customHeight="1" x14ac:dyDescent="0.25"/>
    <row r="1258" s="79" customFormat="1" ht="15" customHeight="1" x14ac:dyDescent="0.25"/>
    <row r="1259" s="79" customFormat="1" ht="15" customHeight="1" x14ac:dyDescent="0.25"/>
    <row r="1260" s="79" customFormat="1" ht="15" customHeight="1" x14ac:dyDescent="0.25"/>
    <row r="1261" s="79" customFormat="1" ht="15" customHeight="1" x14ac:dyDescent="0.25"/>
    <row r="1262" s="79" customFormat="1" ht="15" customHeight="1" x14ac:dyDescent="0.25"/>
    <row r="1263" s="79" customFormat="1" ht="15" customHeight="1" x14ac:dyDescent="0.25"/>
    <row r="1264" s="79" customFormat="1" ht="15" customHeight="1" x14ac:dyDescent="0.25"/>
    <row r="1265" s="79" customFormat="1" ht="15" customHeight="1" x14ac:dyDescent="0.25"/>
    <row r="1266" s="79" customFormat="1" ht="15" customHeight="1" x14ac:dyDescent="0.25"/>
    <row r="1267" s="79" customFormat="1" ht="15" customHeight="1" x14ac:dyDescent="0.25"/>
    <row r="1268" s="79" customFormat="1" ht="15" customHeight="1" x14ac:dyDescent="0.25"/>
    <row r="1269" s="79" customFormat="1" ht="15" customHeight="1" x14ac:dyDescent="0.25"/>
    <row r="1270" s="79" customFormat="1" ht="15" customHeight="1" x14ac:dyDescent="0.25"/>
    <row r="1271" s="79" customFormat="1" ht="15" customHeight="1" x14ac:dyDescent="0.25"/>
    <row r="1272" s="79" customFormat="1" ht="15" customHeight="1" x14ac:dyDescent="0.25"/>
    <row r="1273" s="79" customFormat="1" ht="15" customHeight="1" x14ac:dyDescent="0.25"/>
    <row r="1274" s="79" customFormat="1" ht="15" customHeight="1" x14ac:dyDescent="0.25"/>
    <row r="1275" s="79" customFormat="1" ht="15" customHeight="1" x14ac:dyDescent="0.25"/>
    <row r="1276" s="79" customFormat="1" ht="15" customHeight="1" x14ac:dyDescent="0.25"/>
    <row r="1277" s="79" customFormat="1" ht="15" customHeight="1" x14ac:dyDescent="0.25"/>
    <row r="1278" s="79" customFormat="1" ht="15" customHeight="1" x14ac:dyDescent="0.25"/>
    <row r="1279" s="79" customFormat="1" ht="15" customHeight="1" x14ac:dyDescent="0.25"/>
    <row r="1280" s="79" customFormat="1" ht="15" customHeight="1" x14ac:dyDescent="0.25"/>
    <row r="1281" s="79" customFormat="1" ht="15" customHeight="1" x14ac:dyDescent="0.25"/>
    <row r="1282" s="79" customFormat="1" ht="15" customHeight="1" x14ac:dyDescent="0.25"/>
    <row r="1283" s="79" customFormat="1" ht="15" customHeight="1" x14ac:dyDescent="0.25"/>
    <row r="1284" s="79" customFormat="1" ht="15" customHeight="1" x14ac:dyDescent="0.25"/>
    <row r="1285" s="79" customFormat="1" ht="15" customHeight="1" x14ac:dyDescent="0.25"/>
    <row r="1286" s="79" customFormat="1" ht="15" customHeight="1" x14ac:dyDescent="0.25"/>
    <row r="1287" s="79" customFormat="1" ht="15" customHeight="1" x14ac:dyDescent="0.25"/>
    <row r="1288" s="79" customFormat="1" ht="15" customHeight="1" x14ac:dyDescent="0.25"/>
    <row r="1289" s="79" customFormat="1" ht="15" customHeight="1" x14ac:dyDescent="0.25"/>
    <row r="1290" s="79" customFormat="1" ht="15" customHeight="1" x14ac:dyDescent="0.25"/>
    <row r="1291" s="79" customFormat="1" ht="15" customHeight="1" x14ac:dyDescent="0.25"/>
    <row r="1292" s="79" customFormat="1" ht="15" customHeight="1" x14ac:dyDescent="0.25"/>
    <row r="1293" s="79" customFormat="1" ht="15" customHeight="1" x14ac:dyDescent="0.25"/>
    <row r="1294" s="79" customFormat="1" ht="15" customHeight="1" x14ac:dyDescent="0.25"/>
    <row r="1295" s="79" customFormat="1" ht="15" customHeight="1" x14ac:dyDescent="0.25"/>
    <row r="1296" s="79" customFormat="1" ht="15" customHeight="1" x14ac:dyDescent="0.25"/>
    <row r="1297" s="79" customFormat="1" ht="15" customHeight="1" x14ac:dyDescent="0.25"/>
    <row r="1298" s="79" customFormat="1" ht="15" customHeight="1" x14ac:dyDescent="0.25"/>
    <row r="1299" s="79" customFormat="1" ht="15" customHeight="1" x14ac:dyDescent="0.25"/>
    <row r="1300" s="79" customFormat="1" ht="15" customHeight="1" x14ac:dyDescent="0.25"/>
    <row r="1301" s="79" customFormat="1" ht="15" customHeight="1" x14ac:dyDescent="0.25"/>
    <row r="1302" s="79" customFormat="1" ht="15" customHeight="1" x14ac:dyDescent="0.25"/>
    <row r="1303" s="79" customFormat="1" ht="15" customHeight="1" x14ac:dyDescent="0.25"/>
    <row r="1304" s="79" customFormat="1" ht="15" customHeight="1" x14ac:dyDescent="0.25"/>
    <row r="1305" s="79" customFormat="1" ht="15" customHeight="1" x14ac:dyDescent="0.25"/>
    <row r="1306" s="79" customFormat="1" ht="15" customHeight="1" x14ac:dyDescent="0.25"/>
    <row r="1307" s="79" customFormat="1" ht="15" customHeight="1" x14ac:dyDescent="0.25"/>
    <row r="1308" s="79" customFormat="1" ht="15" customHeight="1" x14ac:dyDescent="0.25"/>
    <row r="1309" s="79" customFormat="1" ht="15" customHeight="1" x14ac:dyDescent="0.25"/>
    <row r="1310" s="79" customFormat="1" ht="15" customHeight="1" x14ac:dyDescent="0.25"/>
    <row r="1311" s="79" customFormat="1" ht="15" customHeight="1" x14ac:dyDescent="0.25"/>
    <row r="1312" s="79" customFormat="1" ht="15" customHeight="1" x14ac:dyDescent="0.25"/>
    <row r="1313" s="79" customFormat="1" ht="15" customHeight="1" x14ac:dyDescent="0.25"/>
    <row r="1314" s="79" customFormat="1" ht="15" customHeight="1" x14ac:dyDescent="0.25"/>
    <row r="1315" s="79" customFormat="1" ht="15" customHeight="1" x14ac:dyDescent="0.25"/>
    <row r="1316" s="79" customFormat="1" ht="15" customHeight="1" x14ac:dyDescent="0.25"/>
    <row r="1317" s="79" customFormat="1" ht="15" customHeight="1" x14ac:dyDescent="0.25"/>
    <row r="1318" s="79" customFormat="1" ht="15" customHeight="1" x14ac:dyDescent="0.25"/>
    <row r="1319" s="79" customFormat="1" ht="15" customHeight="1" x14ac:dyDescent="0.25"/>
    <row r="1320" s="79" customFormat="1" ht="15" customHeight="1" x14ac:dyDescent="0.25"/>
    <row r="1321" s="79" customFormat="1" ht="15" customHeight="1" x14ac:dyDescent="0.25"/>
    <row r="1322" s="79" customFormat="1" ht="15" customHeight="1" x14ac:dyDescent="0.25"/>
    <row r="1323" s="79" customFormat="1" ht="15" customHeight="1" x14ac:dyDescent="0.25"/>
    <row r="1324" s="79" customFormat="1" ht="15" customHeight="1" x14ac:dyDescent="0.25"/>
    <row r="1325" s="79" customFormat="1" ht="15" customHeight="1" x14ac:dyDescent="0.25"/>
    <row r="1326" s="79" customFormat="1" ht="15" customHeight="1" x14ac:dyDescent="0.25"/>
    <row r="1327" s="79" customFormat="1" ht="15" customHeight="1" x14ac:dyDescent="0.25"/>
    <row r="1328" s="79" customFormat="1" ht="15" customHeight="1" x14ac:dyDescent="0.25"/>
    <row r="1329" s="79" customFormat="1" ht="15" customHeight="1" x14ac:dyDescent="0.25"/>
    <row r="1330" s="79" customFormat="1" ht="15" customHeight="1" x14ac:dyDescent="0.25"/>
    <row r="1331" s="79" customFormat="1" ht="15" customHeight="1" x14ac:dyDescent="0.25"/>
    <row r="1332" s="79" customFormat="1" ht="15" customHeight="1" x14ac:dyDescent="0.25"/>
    <row r="1333" s="79" customFormat="1" ht="15" customHeight="1" x14ac:dyDescent="0.25"/>
    <row r="1334" s="79" customFormat="1" ht="15" customHeight="1" x14ac:dyDescent="0.25"/>
    <row r="1335" s="79" customFormat="1" ht="15" customHeight="1" x14ac:dyDescent="0.25"/>
    <row r="1336" s="79" customFormat="1" ht="15" customHeight="1" x14ac:dyDescent="0.25"/>
    <row r="1337" s="79" customFormat="1" ht="15" customHeight="1" x14ac:dyDescent="0.25"/>
    <row r="1338" s="79" customFormat="1" ht="15" customHeight="1" x14ac:dyDescent="0.25"/>
    <row r="1339" s="79" customFormat="1" ht="15" customHeight="1" x14ac:dyDescent="0.25"/>
    <row r="1340" s="79" customFormat="1" ht="15" customHeight="1" x14ac:dyDescent="0.25"/>
    <row r="1341" s="79" customFormat="1" ht="15" customHeight="1" x14ac:dyDescent="0.25"/>
    <row r="1342" s="79" customFormat="1" ht="15" customHeight="1" x14ac:dyDescent="0.25"/>
    <row r="1343" s="79" customFormat="1" ht="15" customHeight="1" x14ac:dyDescent="0.25"/>
    <row r="1344" s="79" customFormat="1" ht="15" customHeight="1" x14ac:dyDescent="0.25"/>
    <row r="1345" s="79" customFormat="1" ht="15" customHeight="1" x14ac:dyDescent="0.25"/>
    <row r="1346" s="79" customFormat="1" ht="15" customHeight="1" x14ac:dyDescent="0.25"/>
    <row r="1347" s="79" customFormat="1" ht="15" customHeight="1" x14ac:dyDescent="0.25"/>
    <row r="1348" s="79" customFormat="1" ht="15" customHeight="1" x14ac:dyDescent="0.25"/>
    <row r="1349" s="79" customFormat="1" ht="15" customHeight="1" x14ac:dyDescent="0.25"/>
    <row r="1350" s="79" customFormat="1" ht="15" customHeight="1" x14ac:dyDescent="0.25"/>
    <row r="1351" s="79" customFormat="1" ht="15" customHeight="1" x14ac:dyDescent="0.25"/>
    <row r="1352" s="79" customFormat="1" ht="15" customHeight="1" x14ac:dyDescent="0.25"/>
    <row r="1353" s="79" customFormat="1" ht="15" customHeight="1" x14ac:dyDescent="0.25"/>
    <row r="1354" s="79" customFormat="1" ht="15" customHeight="1" x14ac:dyDescent="0.25"/>
    <row r="1355" s="79" customFormat="1" ht="15" customHeight="1" x14ac:dyDescent="0.25"/>
    <row r="1356" s="79" customFormat="1" ht="15" customHeight="1" x14ac:dyDescent="0.25"/>
    <row r="1357" s="79" customFormat="1" ht="15" customHeight="1" x14ac:dyDescent="0.25"/>
    <row r="1358" s="79" customFormat="1" ht="15" customHeight="1" x14ac:dyDescent="0.25"/>
    <row r="1359" s="79" customFormat="1" ht="15" customHeight="1" x14ac:dyDescent="0.25"/>
    <row r="1360" s="79" customFormat="1" ht="15" customHeight="1" x14ac:dyDescent="0.25"/>
    <row r="1361" s="79" customFormat="1" ht="15" customHeight="1" x14ac:dyDescent="0.25"/>
    <row r="1362" s="79" customFormat="1" ht="15" customHeight="1" x14ac:dyDescent="0.25"/>
    <row r="1363" s="79" customFormat="1" ht="15" customHeight="1" x14ac:dyDescent="0.25"/>
    <row r="1364" s="79" customFormat="1" ht="15" customHeight="1" x14ac:dyDescent="0.25"/>
    <row r="1365" s="79" customFormat="1" ht="15" customHeight="1" x14ac:dyDescent="0.25"/>
    <row r="1366" s="79" customFormat="1" ht="15" customHeight="1" x14ac:dyDescent="0.25"/>
    <row r="1367" s="79" customFormat="1" ht="15" customHeight="1" x14ac:dyDescent="0.25"/>
    <row r="1368" s="79" customFormat="1" ht="15" customHeight="1" x14ac:dyDescent="0.25"/>
    <row r="1369" s="79" customFormat="1" ht="15" customHeight="1" x14ac:dyDescent="0.25"/>
    <row r="1370" s="79" customFormat="1" ht="15" customHeight="1" x14ac:dyDescent="0.25"/>
    <row r="1371" s="79" customFormat="1" ht="15" customHeight="1" x14ac:dyDescent="0.25"/>
    <row r="1372" s="79" customFormat="1" ht="15" customHeight="1" x14ac:dyDescent="0.25"/>
    <row r="1373" s="79" customFormat="1" ht="15" customHeight="1" x14ac:dyDescent="0.25"/>
    <row r="1374" s="79" customFormat="1" ht="15" customHeight="1" x14ac:dyDescent="0.25"/>
    <row r="1375" s="79" customFormat="1" ht="15" customHeight="1" x14ac:dyDescent="0.25"/>
    <row r="1376" s="79" customFormat="1" ht="15" customHeight="1" x14ac:dyDescent="0.25"/>
    <row r="1377" s="79" customFormat="1" ht="15" customHeight="1" x14ac:dyDescent="0.25"/>
    <row r="1378" s="79" customFormat="1" ht="15" customHeight="1" x14ac:dyDescent="0.25"/>
    <row r="1379" s="79" customFormat="1" ht="15" customHeight="1" x14ac:dyDescent="0.25"/>
    <row r="1380" s="79" customFormat="1" ht="15" customHeight="1" x14ac:dyDescent="0.25"/>
    <row r="1381" s="79" customFormat="1" ht="15" customHeight="1" x14ac:dyDescent="0.25"/>
    <row r="1382" s="79" customFormat="1" ht="15" customHeight="1" x14ac:dyDescent="0.25"/>
    <row r="1383" s="79" customFormat="1" ht="15" customHeight="1" x14ac:dyDescent="0.25"/>
    <row r="1384" s="79" customFormat="1" ht="15" customHeight="1" x14ac:dyDescent="0.25"/>
    <row r="1385" s="79" customFormat="1" ht="15" customHeight="1" x14ac:dyDescent="0.25"/>
    <row r="1386" s="79" customFormat="1" ht="15" customHeight="1" x14ac:dyDescent="0.25"/>
    <row r="1387" s="79" customFormat="1" ht="15" customHeight="1" x14ac:dyDescent="0.25"/>
    <row r="1388" s="79" customFormat="1" ht="15" customHeight="1" x14ac:dyDescent="0.25"/>
    <row r="1389" s="79" customFormat="1" ht="15" customHeight="1" x14ac:dyDescent="0.25"/>
    <row r="1390" s="79" customFormat="1" ht="15" customHeight="1" x14ac:dyDescent="0.25"/>
    <row r="1391" s="79" customFormat="1" ht="15" customHeight="1" x14ac:dyDescent="0.25"/>
    <row r="1392" s="79" customFormat="1" ht="15" customHeight="1" x14ac:dyDescent="0.25"/>
    <row r="1393" s="79" customFormat="1" ht="15" customHeight="1" x14ac:dyDescent="0.25"/>
    <row r="1394" s="79" customFormat="1" ht="15" customHeight="1" x14ac:dyDescent="0.25"/>
    <row r="1395" s="79" customFormat="1" ht="15" customHeight="1" x14ac:dyDescent="0.25"/>
    <row r="1396" s="79" customFormat="1" ht="15" customHeight="1" x14ac:dyDescent="0.25"/>
    <row r="1397" s="79" customFormat="1" ht="15" customHeight="1" x14ac:dyDescent="0.25"/>
    <row r="1398" s="79" customFormat="1" ht="15" customHeight="1" x14ac:dyDescent="0.25"/>
    <row r="1399" s="79" customFormat="1" ht="15" customHeight="1" x14ac:dyDescent="0.25"/>
    <row r="1400" s="79" customFormat="1" ht="15" customHeight="1" x14ac:dyDescent="0.25"/>
    <row r="1401" s="79" customFormat="1" ht="15" customHeight="1" x14ac:dyDescent="0.25"/>
    <row r="1402" s="79" customFormat="1" ht="15" customHeight="1" x14ac:dyDescent="0.25"/>
    <row r="1403" s="79" customFormat="1" ht="15" customHeight="1" x14ac:dyDescent="0.25"/>
    <row r="1404" s="79" customFormat="1" ht="15" customHeight="1" x14ac:dyDescent="0.25"/>
    <row r="1405" s="79" customFormat="1" ht="15" customHeight="1" x14ac:dyDescent="0.25"/>
    <row r="1406" s="79" customFormat="1" ht="15" customHeight="1" x14ac:dyDescent="0.25"/>
    <row r="1407" s="79" customFormat="1" ht="15" customHeight="1" x14ac:dyDescent="0.25"/>
    <row r="1408" s="79" customFormat="1" ht="15" customHeight="1" x14ac:dyDescent="0.25"/>
    <row r="1409" s="79" customFormat="1" ht="15" customHeight="1" x14ac:dyDescent="0.25"/>
    <row r="1410" s="79" customFormat="1" ht="15" customHeight="1" x14ac:dyDescent="0.25"/>
    <row r="1411" s="79" customFormat="1" ht="15" customHeight="1" x14ac:dyDescent="0.25"/>
    <row r="1412" s="79" customFormat="1" ht="15" customHeight="1" x14ac:dyDescent="0.25"/>
    <row r="1413" s="79" customFormat="1" ht="15" customHeight="1" x14ac:dyDescent="0.25"/>
    <row r="1414" s="79" customFormat="1" ht="15" customHeight="1" x14ac:dyDescent="0.25"/>
    <row r="1415" s="79" customFormat="1" ht="15" customHeight="1" x14ac:dyDescent="0.25"/>
    <row r="1416" s="79" customFormat="1" ht="15" customHeight="1" x14ac:dyDescent="0.25"/>
    <row r="1417" s="79" customFormat="1" ht="15" customHeight="1" x14ac:dyDescent="0.25"/>
    <row r="1418" s="79" customFormat="1" ht="15" customHeight="1" x14ac:dyDescent="0.25"/>
    <row r="1419" s="79" customFormat="1" ht="15" customHeight="1" x14ac:dyDescent="0.25"/>
    <row r="1420" s="79" customFormat="1" ht="15" customHeight="1" x14ac:dyDescent="0.25"/>
    <row r="1421" s="79" customFormat="1" ht="15" customHeight="1" x14ac:dyDescent="0.25"/>
    <row r="1422" s="79" customFormat="1" ht="15" customHeight="1" x14ac:dyDescent="0.25"/>
    <row r="1423" s="79" customFormat="1" ht="15" customHeight="1" x14ac:dyDescent="0.25"/>
    <row r="1424" s="79" customFormat="1" ht="15" customHeight="1" x14ac:dyDescent="0.25"/>
    <row r="1425" s="79" customFormat="1" ht="15" customHeight="1" x14ac:dyDescent="0.25"/>
    <row r="1426" s="79" customFormat="1" ht="15" customHeight="1" x14ac:dyDescent="0.25"/>
    <row r="1427" s="79" customFormat="1" ht="15" customHeight="1" x14ac:dyDescent="0.25"/>
    <row r="1428" s="79" customFormat="1" ht="15" customHeight="1" x14ac:dyDescent="0.25"/>
    <row r="1429" s="79" customFormat="1" ht="15" customHeight="1" x14ac:dyDescent="0.25"/>
    <row r="1430" s="79" customFormat="1" ht="15" customHeight="1" x14ac:dyDescent="0.25"/>
    <row r="1431" s="79" customFormat="1" ht="15" customHeight="1" x14ac:dyDescent="0.25"/>
    <row r="1432" s="79" customFormat="1" ht="15" customHeight="1" x14ac:dyDescent="0.25"/>
    <row r="1433" s="79" customFormat="1" ht="15" customHeight="1" x14ac:dyDescent="0.25"/>
    <row r="1434" s="79" customFormat="1" ht="15" customHeight="1" x14ac:dyDescent="0.25"/>
    <row r="1435" s="79" customFormat="1" ht="15" customHeight="1" x14ac:dyDescent="0.25"/>
    <row r="1436" s="79" customFormat="1" ht="15" customHeight="1" x14ac:dyDescent="0.25"/>
    <row r="1437" s="79" customFormat="1" ht="15" customHeight="1" x14ac:dyDescent="0.25"/>
    <row r="1438" s="79" customFormat="1" ht="15" customHeight="1" x14ac:dyDescent="0.25"/>
    <row r="1439" s="79" customFormat="1" ht="15" customHeight="1" x14ac:dyDescent="0.25"/>
    <row r="1440" s="79" customFormat="1" ht="15" customHeight="1" x14ac:dyDescent="0.25"/>
    <row r="1441" s="79" customFormat="1" ht="15" customHeight="1" x14ac:dyDescent="0.25"/>
    <row r="1442" s="79" customFormat="1" ht="15" customHeight="1" x14ac:dyDescent="0.25"/>
    <row r="1443" s="79" customFormat="1" ht="15" customHeight="1" x14ac:dyDescent="0.25"/>
    <row r="1444" s="79" customFormat="1" ht="15" customHeight="1" x14ac:dyDescent="0.25"/>
    <row r="1445" s="79" customFormat="1" ht="15" customHeight="1" x14ac:dyDescent="0.25"/>
    <row r="1446" s="79" customFormat="1" ht="15" customHeight="1" x14ac:dyDescent="0.25"/>
    <row r="1447" s="79" customFormat="1" ht="15" customHeight="1" x14ac:dyDescent="0.25"/>
    <row r="1448" s="79" customFormat="1" ht="15" customHeight="1" x14ac:dyDescent="0.25"/>
    <row r="1449" s="79" customFormat="1" ht="15" customHeight="1" x14ac:dyDescent="0.25"/>
    <row r="1450" s="79" customFormat="1" ht="15" customHeight="1" x14ac:dyDescent="0.25"/>
    <row r="1451" s="79" customFormat="1" ht="15" customHeight="1" x14ac:dyDescent="0.25"/>
    <row r="1452" s="79" customFormat="1" ht="15" customHeight="1" x14ac:dyDescent="0.25"/>
    <row r="1453" s="79" customFormat="1" ht="15" customHeight="1" x14ac:dyDescent="0.25"/>
    <row r="1454" s="79" customFormat="1" ht="15" customHeight="1" x14ac:dyDescent="0.25"/>
    <row r="1455" s="79" customFormat="1" ht="15" customHeight="1" x14ac:dyDescent="0.25"/>
    <row r="1456" s="79" customFormat="1" ht="15" customHeight="1" x14ac:dyDescent="0.25"/>
    <row r="1457" s="79" customFormat="1" ht="15" customHeight="1" x14ac:dyDescent="0.25"/>
    <row r="1458" s="79" customFormat="1" ht="15" customHeight="1" x14ac:dyDescent="0.25"/>
    <row r="1459" s="79" customFormat="1" ht="15" customHeight="1" x14ac:dyDescent="0.25"/>
    <row r="1460" s="79" customFormat="1" ht="15" customHeight="1" x14ac:dyDescent="0.25"/>
    <row r="1461" s="79" customFormat="1" ht="15" customHeight="1" x14ac:dyDescent="0.25"/>
    <row r="1462" s="79" customFormat="1" ht="15" customHeight="1" x14ac:dyDescent="0.25"/>
    <row r="1463" s="79" customFormat="1" ht="15" customHeight="1" x14ac:dyDescent="0.25"/>
    <row r="1464" s="79" customFormat="1" ht="15" customHeight="1" x14ac:dyDescent="0.25"/>
    <row r="1465" s="79" customFormat="1" ht="15" customHeight="1" x14ac:dyDescent="0.25"/>
    <row r="1466" s="79" customFormat="1" ht="15" customHeight="1" x14ac:dyDescent="0.25"/>
    <row r="1467" s="79" customFormat="1" ht="15" customHeight="1" x14ac:dyDescent="0.25"/>
    <row r="1468" s="79" customFormat="1" ht="15" customHeight="1" x14ac:dyDescent="0.25"/>
    <row r="1469" s="79" customFormat="1" ht="15" customHeight="1" x14ac:dyDescent="0.25"/>
    <row r="1470" s="79" customFormat="1" ht="15" customHeight="1" x14ac:dyDescent="0.25"/>
    <row r="1471" s="79" customFormat="1" ht="15" customHeight="1" x14ac:dyDescent="0.25"/>
    <row r="1472" s="79" customFormat="1" ht="15" customHeight="1" x14ac:dyDescent="0.25"/>
    <row r="1473" s="79" customFormat="1" ht="15" customHeight="1" x14ac:dyDescent="0.25"/>
    <row r="1474" s="79" customFormat="1" ht="15" customHeight="1" x14ac:dyDescent="0.25"/>
    <row r="1475" s="79" customFormat="1" ht="15" customHeight="1" x14ac:dyDescent="0.25"/>
    <row r="1476" s="79" customFormat="1" ht="15" customHeight="1" x14ac:dyDescent="0.25"/>
    <row r="1477" s="79" customFormat="1" ht="15" customHeight="1" x14ac:dyDescent="0.25"/>
    <row r="1478" s="79" customFormat="1" ht="15" customHeight="1" x14ac:dyDescent="0.25"/>
    <row r="1479" s="79" customFormat="1" ht="15" customHeight="1" x14ac:dyDescent="0.25"/>
    <row r="1480" s="79" customFormat="1" ht="15" customHeight="1" x14ac:dyDescent="0.25"/>
    <row r="1481" s="79" customFormat="1" ht="15" customHeight="1" x14ac:dyDescent="0.25"/>
    <row r="1482" s="79" customFormat="1" ht="15" customHeight="1" x14ac:dyDescent="0.25"/>
    <row r="1483" s="79" customFormat="1" ht="15" customHeight="1" x14ac:dyDescent="0.25"/>
    <row r="1484" s="79" customFormat="1" ht="15" customHeight="1" x14ac:dyDescent="0.25"/>
    <row r="1485" s="79" customFormat="1" ht="15" customHeight="1" x14ac:dyDescent="0.25"/>
    <row r="1486" s="79" customFormat="1" ht="15" customHeight="1" x14ac:dyDescent="0.25"/>
    <row r="1487" s="79" customFormat="1" ht="15" customHeight="1" x14ac:dyDescent="0.25"/>
    <row r="1488" s="79" customFormat="1" ht="15" customHeight="1" x14ac:dyDescent="0.25"/>
    <row r="1489" s="79" customFormat="1" ht="15" customHeight="1" x14ac:dyDescent="0.25"/>
    <row r="1490" s="79" customFormat="1" ht="15" customHeight="1" x14ac:dyDescent="0.25"/>
    <row r="1491" s="79" customFormat="1" ht="15" customHeight="1" x14ac:dyDescent="0.25"/>
    <row r="1492" s="79" customFormat="1" ht="15" customHeight="1" x14ac:dyDescent="0.25"/>
    <row r="1493" s="79" customFormat="1" ht="15" customHeight="1" x14ac:dyDescent="0.25"/>
    <row r="1494" s="79" customFormat="1" ht="15" customHeight="1" x14ac:dyDescent="0.25"/>
    <row r="1495" s="79" customFormat="1" ht="15" customHeight="1" x14ac:dyDescent="0.25"/>
    <row r="1496" s="79" customFormat="1" ht="15" customHeight="1" x14ac:dyDescent="0.25"/>
    <row r="1497" s="79" customFormat="1" ht="15" customHeight="1" x14ac:dyDescent="0.25"/>
    <row r="1498" s="79" customFormat="1" ht="15" customHeight="1" x14ac:dyDescent="0.25"/>
    <row r="1499" s="79" customFormat="1" ht="15" customHeight="1" x14ac:dyDescent="0.25"/>
    <row r="1500" s="79" customFormat="1" ht="15" customHeight="1" x14ac:dyDescent="0.25"/>
    <row r="1501" s="79" customFormat="1" ht="15" customHeight="1" x14ac:dyDescent="0.25"/>
    <row r="1502" s="79" customFormat="1" ht="15" customHeight="1" x14ac:dyDescent="0.25"/>
    <row r="1503" s="79" customFormat="1" ht="15" customHeight="1" x14ac:dyDescent="0.25"/>
    <row r="1504" s="79" customFormat="1" ht="15" customHeight="1" x14ac:dyDescent="0.25"/>
    <row r="1505" s="79" customFormat="1" ht="15" customHeight="1" x14ac:dyDescent="0.25"/>
    <row r="1506" s="79" customFormat="1" ht="15" customHeight="1" x14ac:dyDescent="0.25"/>
    <row r="1507" s="79" customFormat="1" ht="15" customHeight="1" x14ac:dyDescent="0.25"/>
    <row r="1508" s="79" customFormat="1" ht="15" customHeight="1" x14ac:dyDescent="0.25"/>
    <row r="1509" s="79" customFormat="1" ht="15" customHeight="1" x14ac:dyDescent="0.25"/>
    <row r="1510" s="79" customFormat="1" ht="15" customHeight="1" x14ac:dyDescent="0.25"/>
    <row r="1511" s="79" customFormat="1" ht="15" customHeight="1" x14ac:dyDescent="0.25"/>
    <row r="1512" s="79" customFormat="1" ht="15" customHeight="1" x14ac:dyDescent="0.25"/>
    <row r="1513" s="79" customFormat="1" ht="15" customHeight="1" x14ac:dyDescent="0.25"/>
    <row r="1514" s="79" customFormat="1" ht="15" customHeight="1" x14ac:dyDescent="0.25"/>
  </sheetData>
  <sheetProtection selectLockedCells="1"/>
  <mergeCells count="5">
    <mergeCell ref="C2:AG2"/>
    <mergeCell ref="AH2:AH3"/>
    <mergeCell ref="AI2:AL3"/>
    <mergeCell ref="AM2:AP3"/>
    <mergeCell ref="AQ2:AR3"/>
  </mergeCells>
  <conditionalFormatting sqref="C17:C18 C9:AG11 C5:AG7">
    <cfRule type="expression" priority="1830" stopIfTrue="1">
      <formula>C5=""</formula>
    </cfRule>
    <cfRule type="expression" dxfId="3134" priority="1831" stopIfTrue="1">
      <formula>C5=CléPersonnalisée2</formula>
    </cfRule>
    <cfRule type="expression" dxfId="3133" priority="1832" stopIfTrue="1">
      <formula>C5=CléPersonnalisée1</formula>
    </cfRule>
    <cfRule type="expression" dxfId="3132" priority="1833" stopIfTrue="1">
      <formula>C5=CléMaladie</formula>
    </cfRule>
    <cfRule type="expression" dxfId="3131" priority="1834" stopIfTrue="1">
      <formula>C5=CléPersonnelle</formula>
    </cfRule>
    <cfRule type="expression" dxfId="3130" priority="1835" stopIfTrue="1">
      <formula>C5=CléCongés</formula>
    </cfRule>
  </conditionalFormatting>
  <conditionalFormatting sqref="AH5:AH6 AH9:AH11">
    <cfRule type="dataBar" priority="1836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{EFCA3EF0-62CB-474E-9500-BBB736F6723F}</x14:id>
        </ext>
      </extLst>
    </cfRule>
  </conditionalFormatting>
  <conditionalFormatting sqref="AI5:AL6 AI9:AL11">
    <cfRule type="expression" priority="1824" stopIfTrue="1">
      <formula>AI5=""</formula>
    </cfRule>
    <cfRule type="expression" dxfId="3129" priority="1825" stopIfTrue="1">
      <formula>AI5=CléPersonnalisée2</formula>
    </cfRule>
    <cfRule type="expression" dxfId="3128" priority="1826" stopIfTrue="1">
      <formula>AI5=CléPersonnalisée1</formula>
    </cfRule>
    <cfRule type="expression" dxfId="3127" priority="1827" stopIfTrue="1">
      <formula>AI5=CléMaladie</formula>
    </cfRule>
    <cfRule type="expression" dxfId="3126" priority="1828" stopIfTrue="1">
      <formula>AI5=CléPersonnelle</formula>
    </cfRule>
    <cfRule type="expression" dxfId="3125" priority="1829" stopIfTrue="1">
      <formula>AI5=CléCongés</formula>
    </cfRule>
  </conditionalFormatting>
  <conditionalFormatting sqref="AM5:AP6 AM9:AP10">
    <cfRule type="expression" priority="1818" stopIfTrue="1">
      <formula>AM5=""</formula>
    </cfRule>
    <cfRule type="expression" dxfId="3124" priority="1819" stopIfTrue="1">
      <formula>AM5=CléPersonnalisée2</formula>
    </cfRule>
    <cfRule type="expression" dxfId="3123" priority="1820" stopIfTrue="1">
      <formula>AM5=CléPersonnalisée1</formula>
    </cfRule>
    <cfRule type="expression" dxfId="3122" priority="1821" stopIfTrue="1">
      <formula>AM5=CléMaladie</formula>
    </cfRule>
    <cfRule type="expression" dxfId="3121" priority="1822" stopIfTrue="1">
      <formula>AM5=CléPersonnelle</formula>
    </cfRule>
    <cfRule type="expression" dxfId="3120" priority="1823" stopIfTrue="1">
      <formula>AM5=CléCongés</formula>
    </cfRule>
  </conditionalFormatting>
  <conditionalFormatting sqref="AQ5:AR6 AQ9:AR10 AQ32:AR32 AQ44:AR44">
    <cfRule type="expression" priority="1812" stopIfTrue="1">
      <formula>AQ5=""</formula>
    </cfRule>
    <cfRule type="expression" dxfId="3119" priority="1813" stopIfTrue="1">
      <formula>AQ5=CléPersonnalisée2</formula>
    </cfRule>
    <cfRule type="expression" dxfId="3118" priority="1814" stopIfTrue="1">
      <formula>AQ5=CléPersonnalisée1</formula>
    </cfRule>
    <cfRule type="expression" dxfId="3117" priority="1815" stopIfTrue="1">
      <formula>AQ5=CléMaladie</formula>
    </cfRule>
    <cfRule type="expression" dxfId="3116" priority="1816" stopIfTrue="1">
      <formula>AQ5=CléPersonnelle</formula>
    </cfRule>
    <cfRule type="expression" dxfId="3115" priority="1817" stopIfTrue="1">
      <formula>AQ5=CléCongés</formula>
    </cfRule>
  </conditionalFormatting>
  <conditionalFormatting sqref="AP7:AP8">
    <cfRule type="expression" priority="1806" stopIfTrue="1">
      <formula>AP7=""</formula>
    </cfRule>
    <cfRule type="expression" dxfId="3114" priority="1807" stopIfTrue="1">
      <formula>AP7=CléPersonnalisée2</formula>
    </cfRule>
    <cfRule type="expression" dxfId="3113" priority="1808" stopIfTrue="1">
      <formula>AP7=CléPersonnalisée1</formula>
    </cfRule>
    <cfRule type="expression" dxfId="3112" priority="1809" stopIfTrue="1">
      <formula>AP7=CléMaladie</formula>
    </cfRule>
    <cfRule type="expression" dxfId="3111" priority="1810" stopIfTrue="1">
      <formula>AP7=CléPersonnelle</formula>
    </cfRule>
    <cfRule type="expression" dxfId="3110" priority="1811" stopIfTrue="1">
      <formula>AP7=CléCongés</formula>
    </cfRule>
  </conditionalFormatting>
  <conditionalFormatting sqref="AQ8:AR8 AR7">
    <cfRule type="expression" priority="1800" stopIfTrue="1">
      <formula>AQ7=""</formula>
    </cfRule>
    <cfRule type="expression" dxfId="3109" priority="1801" stopIfTrue="1">
      <formula>AQ7=CléPersonnalisée2</formula>
    </cfRule>
    <cfRule type="expression" dxfId="3108" priority="1802" stopIfTrue="1">
      <formula>AQ7=CléPersonnalisée1</formula>
    </cfRule>
    <cfRule type="expression" dxfId="3107" priority="1803" stopIfTrue="1">
      <formula>AQ7=CléMaladie</formula>
    </cfRule>
    <cfRule type="expression" dxfId="3106" priority="1804" stopIfTrue="1">
      <formula>AQ7=CléPersonnelle</formula>
    </cfRule>
    <cfRule type="expression" dxfId="3105" priority="1805" stopIfTrue="1">
      <formula>AQ7=CléCongés</formula>
    </cfRule>
  </conditionalFormatting>
  <conditionalFormatting sqref="AM11 AP11">
    <cfRule type="expression" priority="1794" stopIfTrue="1">
      <formula>AM11=""</formula>
    </cfRule>
    <cfRule type="expression" dxfId="3104" priority="1795" stopIfTrue="1">
      <formula>AM11=CléPersonnalisée2</formula>
    </cfRule>
    <cfRule type="expression" dxfId="3103" priority="1796" stopIfTrue="1">
      <formula>AM11=CléPersonnalisée1</formula>
    </cfRule>
    <cfRule type="expression" dxfId="3102" priority="1797" stopIfTrue="1">
      <formula>AM11=CléMaladie</formula>
    </cfRule>
    <cfRule type="expression" dxfId="3101" priority="1798" stopIfTrue="1">
      <formula>AM11=CléPersonnelle</formula>
    </cfRule>
    <cfRule type="expression" dxfId="3100" priority="1799" stopIfTrue="1">
      <formula>AM11=CléCongés</formula>
    </cfRule>
  </conditionalFormatting>
  <conditionalFormatting sqref="AQ48:AR48">
    <cfRule type="expression" priority="1788" stopIfTrue="1">
      <formula>AQ48=""</formula>
    </cfRule>
    <cfRule type="expression" dxfId="3099" priority="1789" stopIfTrue="1">
      <formula>AQ48=CléPersonnalisée2</formula>
    </cfRule>
    <cfRule type="expression" dxfId="3098" priority="1790" stopIfTrue="1">
      <formula>AQ48=CléPersonnalisée1</formula>
    </cfRule>
    <cfRule type="expression" dxfId="3097" priority="1791" stopIfTrue="1">
      <formula>AQ48=CléMaladie</formula>
    </cfRule>
    <cfRule type="expression" dxfId="3096" priority="1792" stopIfTrue="1">
      <formula>AQ48=CléPersonnelle</formula>
    </cfRule>
    <cfRule type="expression" dxfId="3095" priority="1793" stopIfTrue="1">
      <formula>AQ48=CléCongés</formula>
    </cfRule>
  </conditionalFormatting>
  <conditionalFormatting sqref="AQ52:AR52">
    <cfRule type="expression" priority="1782" stopIfTrue="1">
      <formula>AQ52=""</formula>
    </cfRule>
    <cfRule type="expression" dxfId="3094" priority="1783" stopIfTrue="1">
      <formula>AQ52=CléPersonnalisée2</formula>
    </cfRule>
    <cfRule type="expression" dxfId="3093" priority="1784" stopIfTrue="1">
      <formula>AQ52=CléPersonnalisée1</formula>
    </cfRule>
    <cfRule type="expression" dxfId="3092" priority="1785" stopIfTrue="1">
      <formula>AQ52=CléMaladie</formula>
    </cfRule>
    <cfRule type="expression" dxfId="3091" priority="1786" stopIfTrue="1">
      <formula>AQ52=CléPersonnelle</formula>
    </cfRule>
    <cfRule type="expression" dxfId="3090" priority="1787" stopIfTrue="1">
      <formula>AQ52=CléCongés</formula>
    </cfRule>
  </conditionalFormatting>
  <conditionalFormatting sqref="AQ56:AR56 AQ60:AR60">
    <cfRule type="expression" priority="1776" stopIfTrue="1">
      <formula>AQ56=""</formula>
    </cfRule>
    <cfRule type="expression" dxfId="3089" priority="1777" stopIfTrue="1">
      <formula>AQ56=CléPersonnalisée2</formula>
    </cfRule>
    <cfRule type="expression" dxfId="3088" priority="1778" stopIfTrue="1">
      <formula>AQ56=CléPersonnalisée1</formula>
    </cfRule>
    <cfRule type="expression" dxfId="3087" priority="1779" stopIfTrue="1">
      <formula>AQ56=CléMaladie</formula>
    </cfRule>
    <cfRule type="expression" dxfId="3086" priority="1780" stopIfTrue="1">
      <formula>AQ56=CléPersonnelle</formula>
    </cfRule>
    <cfRule type="expression" dxfId="3085" priority="1781" stopIfTrue="1">
      <formula>AQ56=CléCongés</formula>
    </cfRule>
  </conditionalFormatting>
  <conditionalFormatting sqref="AQ64:AR64 AQ68:AR68">
    <cfRule type="expression" priority="1770" stopIfTrue="1">
      <formula>AQ64=""</formula>
    </cfRule>
    <cfRule type="expression" dxfId="3084" priority="1771" stopIfTrue="1">
      <formula>AQ64=CléPersonnalisée2</formula>
    </cfRule>
    <cfRule type="expression" dxfId="3083" priority="1772" stopIfTrue="1">
      <formula>AQ64=CléPersonnalisée1</formula>
    </cfRule>
    <cfRule type="expression" dxfId="3082" priority="1773" stopIfTrue="1">
      <formula>AQ64=CléMaladie</formula>
    </cfRule>
    <cfRule type="expression" dxfId="3081" priority="1774" stopIfTrue="1">
      <formula>AQ64=CléPersonnelle</formula>
    </cfRule>
    <cfRule type="expression" dxfId="3080" priority="1775" stopIfTrue="1">
      <formula>AQ64=CléCongés</formula>
    </cfRule>
  </conditionalFormatting>
  <conditionalFormatting sqref="AQ72:AR72 AQ76:AR76 AQ84:AR84 AQ88:AR88 AQ92:AR92 AQ80:AR80">
    <cfRule type="expression" priority="1764" stopIfTrue="1">
      <formula>AQ72=""</formula>
    </cfRule>
    <cfRule type="expression" dxfId="3079" priority="1765" stopIfTrue="1">
      <formula>AQ72=CléPersonnalisée2</formula>
    </cfRule>
    <cfRule type="expression" dxfId="3078" priority="1766" stopIfTrue="1">
      <formula>AQ72=CléPersonnalisée1</formula>
    </cfRule>
    <cfRule type="expression" dxfId="3077" priority="1767" stopIfTrue="1">
      <formula>AQ72=CléMaladie</formula>
    </cfRule>
    <cfRule type="expression" dxfId="3076" priority="1768" stopIfTrue="1">
      <formula>AQ72=CléPersonnelle</formula>
    </cfRule>
    <cfRule type="expression" dxfId="3075" priority="1769" stopIfTrue="1">
      <formula>AQ72=CléCongés</formula>
    </cfRule>
  </conditionalFormatting>
  <conditionalFormatting sqref="D17:AG18 C19:AG19">
    <cfRule type="expression" priority="1758" stopIfTrue="1">
      <formula>C17=""</formula>
    </cfRule>
    <cfRule type="expression" dxfId="3074" priority="1759" stopIfTrue="1">
      <formula>C17=CléPersonnalisée2</formula>
    </cfRule>
    <cfRule type="expression" dxfId="3073" priority="1760" stopIfTrue="1">
      <formula>C17=CléPersonnalisée1</formula>
    </cfRule>
    <cfRule type="expression" dxfId="3072" priority="1761" stopIfTrue="1">
      <formula>C17=CléMaladie</formula>
    </cfRule>
    <cfRule type="expression" dxfId="3071" priority="1762" stopIfTrue="1">
      <formula>C17=CléPersonnelle</formula>
    </cfRule>
    <cfRule type="expression" dxfId="3070" priority="1763" stopIfTrue="1">
      <formula>C17=CléCongés</formula>
    </cfRule>
  </conditionalFormatting>
  <conditionalFormatting sqref="AJ17:AL19">
    <cfRule type="expression" priority="1752" stopIfTrue="1">
      <formula>AJ17=""</formula>
    </cfRule>
    <cfRule type="expression" dxfId="3069" priority="1753" stopIfTrue="1">
      <formula>AJ17=CléPersonnalisée2</formula>
    </cfRule>
    <cfRule type="expression" dxfId="3068" priority="1754" stopIfTrue="1">
      <formula>AJ17=CléPersonnalisée1</formula>
    </cfRule>
    <cfRule type="expression" dxfId="3067" priority="1755" stopIfTrue="1">
      <formula>AJ17=CléMaladie</formula>
    </cfRule>
    <cfRule type="expression" dxfId="3066" priority="1756" stopIfTrue="1">
      <formula>AJ17=CléPersonnelle</formula>
    </cfRule>
    <cfRule type="expression" dxfId="3065" priority="1757" stopIfTrue="1">
      <formula>AJ17=CléCongés</formula>
    </cfRule>
  </conditionalFormatting>
  <conditionalFormatting sqref="C21:AG23">
    <cfRule type="expression" priority="1746" stopIfTrue="1">
      <formula>C21=""</formula>
    </cfRule>
    <cfRule type="expression" dxfId="3064" priority="1747" stopIfTrue="1">
      <formula>C21=CléPersonnalisée2</formula>
    </cfRule>
    <cfRule type="expression" dxfId="3063" priority="1748" stopIfTrue="1">
      <formula>C21=CléPersonnalisée1</formula>
    </cfRule>
    <cfRule type="expression" dxfId="3062" priority="1749" stopIfTrue="1">
      <formula>C21=CléMaladie</formula>
    </cfRule>
    <cfRule type="expression" dxfId="3061" priority="1750" stopIfTrue="1">
      <formula>C21=CléPersonnelle</formula>
    </cfRule>
    <cfRule type="expression" dxfId="3060" priority="1751" stopIfTrue="1">
      <formula>C21=CléCongés</formula>
    </cfRule>
  </conditionalFormatting>
  <conditionalFormatting sqref="AJ21:AL23">
    <cfRule type="expression" priority="1740" stopIfTrue="1">
      <formula>AJ21=""</formula>
    </cfRule>
    <cfRule type="expression" dxfId="3059" priority="1741" stopIfTrue="1">
      <formula>AJ21=CléPersonnalisée2</formula>
    </cfRule>
    <cfRule type="expression" dxfId="3058" priority="1742" stopIfTrue="1">
      <formula>AJ21=CléPersonnalisée1</formula>
    </cfRule>
    <cfRule type="expression" dxfId="3057" priority="1743" stopIfTrue="1">
      <formula>AJ21=CléMaladie</formula>
    </cfRule>
    <cfRule type="expression" dxfId="3056" priority="1744" stopIfTrue="1">
      <formula>AJ21=CléPersonnelle</formula>
    </cfRule>
    <cfRule type="expression" dxfId="3055" priority="1745" stopIfTrue="1">
      <formula>AJ21=CléCongés</formula>
    </cfRule>
  </conditionalFormatting>
  <conditionalFormatting sqref="C25:AG27">
    <cfRule type="expression" priority="1733" stopIfTrue="1">
      <formula>C25=""</formula>
    </cfRule>
    <cfRule type="expression" dxfId="3054" priority="1734" stopIfTrue="1">
      <formula>C25=CléPersonnalisée2</formula>
    </cfRule>
    <cfRule type="expression" dxfId="3053" priority="1735" stopIfTrue="1">
      <formula>C25=CléPersonnalisée1</formula>
    </cfRule>
    <cfRule type="expression" dxfId="3052" priority="1736" stopIfTrue="1">
      <formula>C25=CléMaladie</formula>
    </cfRule>
    <cfRule type="expression" dxfId="3051" priority="1737" stopIfTrue="1">
      <formula>C25=CléPersonnelle</formula>
    </cfRule>
    <cfRule type="expression" dxfId="3050" priority="1738" stopIfTrue="1">
      <formula>C25=CléCongés</formula>
    </cfRule>
  </conditionalFormatting>
  <conditionalFormatting sqref="AH27">
    <cfRule type="dataBar" priority="1739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{0A25DE35-51CC-4699-9549-CAFA403EDAD4}</x14:id>
        </ext>
      </extLst>
    </cfRule>
  </conditionalFormatting>
  <conditionalFormatting sqref="AI27:AL27 AJ25:AL26">
    <cfRule type="expression" priority="1727" stopIfTrue="1">
      <formula>AI25=""</formula>
    </cfRule>
    <cfRule type="expression" dxfId="3049" priority="1728" stopIfTrue="1">
      <formula>AI25=CléPersonnalisée2</formula>
    </cfRule>
    <cfRule type="expression" dxfId="3048" priority="1729" stopIfTrue="1">
      <formula>AI25=CléPersonnalisée1</formula>
    </cfRule>
    <cfRule type="expression" dxfId="3047" priority="1730" stopIfTrue="1">
      <formula>AI25=CléMaladie</formula>
    </cfRule>
    <cfRule type="expression" dxfId="3046" priority="1731" stopIfTrue="1">
      <formula>AI25=CléPersonnelle</formula>
    </cfRule>
    <cfRule type="expression" dxfId="3045" priority="1732" stopIfTrue="1">
      <formula>AI25=CléCongés</formula>
    </cfRule>
  </conditionalFormatting>
  <conditionalFormatting sqref="AM25:AP26">
    <cfRule type="expression" priority="1721" stopIfTrue="1">
      <formula>AM25=""</formula>
    </cfRule>
    <cfRule type="expression" dxfId="3044" priority="1722" stopIfTrue="1">
      <formula>AM25=CléPersonnalisée2</formula>
    </cfRule>
    <cfRule type="expression" dxfId="3043" priority="1723" stopIfTrue="1">
      <formula>AM25=CléPersonnalisée1</formula>
    </cfRule>
    <cfRule type="expression" dxfId="3042" priority="1724" stopIfTrue="1">
      <formula>AM25=CléMaladie</formula>
    </cfRule>
    <cfRule type="expression" dxfId="3041" priority="1725" stopIfTrue="1">
      <formula>AM25=CléPersonnelle</formula>
    </cfRule>
    <cfRule type="expression" dxfId="3040" priority="1726" stopIfTrue="1">
      <formula>AM25=CléCongés</formula>
    </cfRule>
  </conditionalFormatting>
  <conditionalFormatting sqref="AQ25:AR26">
    <cfRule type="expression" priority="1715" stopIfTrue="1">
      <formula>AQ25=""</formula>
    </cfRule>
    <cfRule type="expression" dxfId="3039" priority="1716" stopIfTrue="1">
      <formula>AQ25=CléPersonnalisée2</formula>
    </cfRule>
    <cfRule type="expression" dxfId="3038" priority="1717" stopIfTrue="1">
      <formula>AQ25=CléPersonnalisée1</formula>
    </cfRule>
    <cfRule type="expression" dxfId="3037" priority="1718" stopIfTrue="1">
      <formula>AQ25=CléMaladie</formula>
    </cfRule>
    <cfRule type="expression" dxfId="3036" priority="1719" stopIfTrue="1">
      <formula>AQ25=CléPersonnelle</formula>
    </cfRule>
    <cfRule type="expression" dxfId="3035" priority="1720" stopIfTrue="1">
      <formula>AQ25=CléCongés</formula>
    </cfRule>
  </conditionalFormatting>
  <conditionalFormatting sqref="AM27 AP27">
    <cfRule type="expression" priority="1709" stopIfTrue="1">
      <formula>AM27=""</formula>
    </cfRule>
    <cfRule type="expression" dxfId="3034" priority="1710" stopIfTrue="1">
      <formula>AM27=CléPersonnalisée2</formula>
    </cfRule>
    <cfRule type="expression" dxfId="3033" priority="1711" stopIfTrue="1">
      <formula>AM27=CléPersonnalisée1</formula>
    </cfRule>
    <cfRule type="expression" dxfId="3032" priority="1712" stopIfTrue="1">
      <formula>AM27=CléMaladie</formula>
    </cfRule>
    <cfRule type="expression" dxfId="3031" priority="1713" stopIfTrue="1">
      <formula>AM27=CléPersonnelle</formula>
    </cfRule>
    <cfRule type="expression" dxfId="3030" priority="1714" stopIfTrue="1">
      <formula>AM27=CléCongés</formula>
    </cfRule>
  </conditionalFormatting>
  <conditionalFormatting sqref="C29:AG31">
    <cfRule type="expression" priority="1702" stopIfTrue="1">
      <formula>C29=""</formula>
    </cfRule>
    <cfRule type="expression" dxfId="3029" priority="1703" stopIfTrue="1">
      <formula>C29=CléPersonnalisée2</formula>
    </cfRule>
    <cfRule type="expression" dxfId="3028" priority="1704" stopIfTrue="1">
      <formula>C29=CléPersonnalisée1</formula>
    </cfRule>
    <cfRule type="expression" dxfId="3027" priority="1705" stopIfTrue="1">
      <formula>C29=CléMaladie</formula>
    </cfRule>
    <cfRule type="expression" dxfId="3026" priority="1706" stopIfTrue="1">
      <formula>C29=CléPersonnelle</formula>
    </cfRule>
    <cfRule type="expression" dxfId="3025" priority="1707" stopIfTrue="1">
      <formula>C29=CléCongés</formula>
    </cfRule>
  </conditionalFormatting>
  <conditionalFormatting sqref="AH31">
    <cfRule type="dataBar" priority="1708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{EF7B77B8-A678-479A-B72F-BC0C6038F10E}</x14:id>
        </ext>
      </extLst>
    </cfRule>
  </conditionalFormatting>
  <conditionalFormatting sqref="AI31:AL31 AJ29:AL30">
    <cfRule type="expression" priority="1696" stopIfTrue="1">
      <formula>AI29=""</formula>
    </cfRule>
    <cfRule type="expression" dxfId="3024" priority="1697" stopIfTrue="1">
      <formula>AI29=CléPersonnalisée2</formula>
    </cfRule>
    <cfRule type="expression" dxfId="3023" priority="1698" stopIfTrue="1">
      <formula>AI29=CléPersonnalisée1</formula>
    </cfRule>
    <cfRule type="expression" dxfId="3022" priority="1699" stopIfTrue="1">
      <formula>AI29=CléMaladie</formula>
    </cfRule>
    <cfRule type="expression" dxfId="3021" priority="1700" stopIfTrue="1">
      <formula>AI29=CléPersonnelle</formula>
    </cfRule>
    <cfRule type="expression" dxfId="3020" priority="1701" stopIfTrue="1">
      <formula>AI29=CléCongés</formula>
    </cfRule>
  </conditionalFormatting>
  <conditionalFormatting sqref="AM29:AP30">
    <cfRule type="expression" priority="1690" stopIfTrue="1">
      <formula>AM29=""</formula>
    </cfRule>
    <cfRule type="expression" dxfId="3019" priority="1691" stopIfTrue="1">
      <formula>AM29=CléPersonnalisée2</formula>
    </cfRule>
    <cfRule type="expression" dxfId="3018" priority="1692" stopIfTrue="1">
      <formula>AM29=CléPersonnalisée1</formula>
    </cfRule>
    <cfRule type="expression" dxfId="3017" priority="1693" stopIfTrue="1">
      <formula>AM29=CléMaladie</formula>
    </cfRule>
    <cfRule type="expression" dxfId="3016" priority="1694" stopIfTrue="1">
      <formula>AM29=CléPersonnelle</formula>
    </cfRule>
    <cfRule type="expression" dxfId="3015" priority="1695" stopIfTrue="1">
      <formula>AM29=CléCongés</formula>
    </cfRule>
  </conditionalFormatting>
  <conditionalFormatting sqref="AQ29:AR30">
    <cfRule type="expression" priority="1684" stopIfTrue="1">
      <formula>AQ29=""</formula>
    </cfRule>
    <cfRule type="expression" dxfId="3014" priority="1685" stopIfTrue="1">
      <formula>AQ29=CléPersonnalisée2</formula>
    </cfRule>
    <cfRule type="expression" dxfId="3013" priority="1686" stopIfTrue="1">
      <formula>AQ29=CléPersonnalisée1</formula>
    </cfRule>
    <cfRule type="expression" dxfId="3012" priority="1687" stopIfTrue="1">
      <formula>AQ29=CléMaladie</formula>
    </cfRule>
    <cfRule type="expression" dxfId="3011" priority="1688" stopIfTrue="1">
      <formula>AQ29=CléPersonnelle</formula>
    </cfRule>
    <cfRule type="expression" dxfId="3010" priority="1689" stopIfTrue="1">
      <formula>AQ29=CléCongés</formula>
    </cfRule>
  </conditionalFormatting>
  <conditionalFormatting sqref="AM31 AP31">
    <cfRule type="expression" priority="1678" stopIfTrue="1">
      <formula>AM31=""</formula>
    </cfRule>
    <cfRule type="expression" dxfId="3009" priority="1679" stopIfTrue="1">
      <formula>AM31=CléPersonnalisée2</formula>
    </cfRule>
    <cfRule type="expression" dxfId="3008" priority="1680" stopIfTrue="1">
      <formula>AM31=CléPersonnalisée1</formula>
    </cfRule>
    <cfRule type="expression" dxfId="3007" priority="1681" stopIfTrue="1">
      <formula>AM31=CléMaladie</formula>
    </cfRule>
    <cfRule type="expression" dxfId="3006" priority="1682" stopIfTrue="1">
      <formula>AM31=CléPersonnelle</formula>
    </cfRule>
    <cfRule type="expression" dxfId="3005" priority="1683" stopIfTrue="1">
      <formula>AM31=CléCongés</formula>
    </cfRule>
  </conditionalFormatting>
  <conditionalFormatting sqref="C33:AG35">
    <cfRule type="expression" priority="1671" stopIfTrue="1">
      <formula>C33=""</formula>
    </cfRule>
    <cfRule type="expression" dxfId="3004" priority="1672" stopIfTrue="1">
      <formula>C33=CléPersonnalisée2</formula>
    </cfRule>
    <cfRule type="expression" dxfId="3003" priority="1673" stopIfTrue="1">
      <formula>C33=CléPersonnalisée1</formula>
    </cfRule>
    <cfRule type="expression" dxfId="3002" priority="1674" stopIfTrue="1">
      <formula>C33=CléMaladie</formula>
    </cfRule>
    <cfRule type="expression" dxfId="3001" priority="1675" stopIfTrue="1">
      <formula>C33=CléPersonnelle</formula>
    </cfRule>
    <cfRule type="expression" dxfId="3000" priority="1676" stopIfTrue="1">
      <formula>C33=CléCongés</formula>
    </cfRule>
  </conditionalFormatting>
  <conditionalFormatting sqref="AH35">
    <cfRule type="dataBar" priority="1677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{4DFE3428-87C5-4526-B2D8-F386E9C2E536}</x14:id>
        </ext>
      </extLst>
    </cfRule>
  </conditionalFormatting>
  <conditionalFormatting sqref="AI35:AL35 AJ33:AL34">
    <cfRule type="expression" priority="1665" stopIfTrue="1">
      <formula>AI33=""</formula>
    </cfRule>
    <cfRule type="expression" dxfId="2999" priority="1666" stopIfTrue="1">
      <formula>AI33=CléPersonnalisée2</formula>
    </cfRule>
    <cfRule type="expression" dxfId="2998" priority="1667" stopIfTrue="1">
      <formula>AI33=CléPersonnalisée1</formula>
    </cfRule>
    <cfRule type="expression" dxfId="2997" priority="1668" stopIfTrue="1">
      <formula>AI33=CléMaladie</formula>
    </cfRule>
    <cfRule type="expression" dxfId="2996" priority="1669" stopIfTrue="1">
      <formula>AI33=CléPersonnelle</formula>
    </cfRule>
    <cfRule type="expression" dxfId="2995" priority="1670" stopIfTrue="1">
      <formula>AI33=CléCongés</formula>
    </cfRule>
  </conditionalFormatting>
  <conditionalFormatting sqref="AM33:AP34">
    <cfRule type="expression" priority="1659" stopIfTrue="1">
      <formula>AM33=""</formula>
    </cfRule>
    <cfRule type="expression" dxfId="2994" priority="1660" stopIfTrue="1">
      <formula>AM33=CléPersonnalisée2</formula>
    </cfRule>
    <cfRule type="expression" dxfId="2993" priority="1661" stopIfTrue="1">
      <formula>AM33=CléPersonnalisée1</formula>
    </cfRule>
    <cfRule type="expression" dxfId="2992" priority="1662" stopIfTrue="1">
      <formula>AM33=CléMaladie</formula>
    </cfRule>
    <cfRule type="expression" dxfId="2991" priority="1663" stopIfTrue="1">
      <formula>AM33=CléPersonnelle</formula>
    </cfRule>
    <cfRule type="expression" dxfId="2990" priority="1664" stopIfTrue="1">
      <formula>AM33=CléCongés</formula>
    </cfRule>
  </conditionalFormatting>
  <conditionalFormatting sqref="AQ33:AR34">
    <cfRule type="expression" priority="1653" stopIfTrue="1">
      <formula>AQ33=""</formula>
    </cfRule>
    <cfRule type="expression" dxfId="2989" priority="1654" stopIfTrue="1">
      <formula>AQ33=CléPersonnalisée2</formula>
    </cfRule>
    <cfRule type="expression" dxfId="2988" priority="1655" stopIfTrue="1">
      <formula>AQ33=CléPersonnalisée1</formula>
    </cfRule>
    <cfRule type="expression" dxfId="2987" priority="1656" stopIfTrue="1">
      <formula>AQ33=CléMaladie</formula>
    </cfRule>
    <cfRule type="expression" dxfId="2986" priority="1657" stopIfTrue="1">
      <formula>AQ33=CléPersonnelle</formula>
    </cfRule>
    <cfRule type="expression" dxfId="2985" priority="1658" stopIfTrue="1">
      <formula>AQ33=CléCongés</formula>
    </cfRule>
  </conditionalFormatting>
  <conditionalFormatting sqref="AM35 AP35">
    <cfRule type="expression" priority="1647" stopIfTrue="1">
      <formula>AM35=""</formula>
    </cfRule>
    <cfRule type="expression" dxfId="2984" priority="1648" stopIfTrue="1">
      <formula>AM35=CléPersonnalisée2</formula>
    </cfRule>
    <cfRule type="expression" dxfId="2983" priority="1649" stopIfTrue="1">
      <formula>AM35=CléPersonnalisée1</formula>
    </cfRule>
    <cfRule type="expression" dxfId="2982" priority="1650" stopIfTrue="1">
      <formula>AM35=CléMaladie</formula>
    </cfRule>
    <cfRule type="expression" dxfId="2981" priority="1651" stopIfTrue="1">
      <formula>AM35=CléPersonnelle</formula>
    </cfRule>
    <cfRule type="expression" dxfId="2980" priority="1652" stopIfTrue="1">
      <formula>AM35=CléCongés</formula>
    </cfRule>
  </conditionalFormatting>
  <conditionalFormatting sqref="C37:AG39">
    <cfRule type="expression" priority="1640" stopIfTrue="1">
      <formula>C37=""</formula>
    </cfRule>
    <cfRule type="expression" dxfId="2979" priority="1641" stopIfTrue="1">
      <formula>C37=CléPersonnalisée2</formula>
    </cfRule>
    <cfRule type="expression" dxfId="2978" priority="1642" stopIfTrue="1">
      <formula>C37=CléPersonnalisée1</formula>
    </cfRule>
    <cfRule type="expression" dxfId="2977" priority="1643" stopIfTrue="1">
      <formula>C37=CléMaladie</formula>
    </cfRule>
    <cfRule type="expression" dxfId="2976" priority="1644" stopIfTrue="1">
      <formula>C37=CléPersonnelle</formula>
    </cfRule>
    <cfRule type="expression" dxfId="2975" priority="1645" stopIfTrue="1">
      <formula>C37=CléCongés</formula>
    </cfRule>
  </conditionalFormatting>
  <conditionalFormatting sqref="AH39">
    <cfRule type="dataBar" priority="1646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{67C4A938-CC4D-4350-A4EB-46C6B8E7BDA8}</x14:id>
        </ext>
      </extLst>
    </cfRule>
  </conditionalFormatting>
  <conditionalFormatting sqref="AI39:AL39 AJ37:AL38">
    <cfRule type="expression" priority="1634" stopIfTrue="1">
      <formula>AI37=""</formula>
    </cfRule>
    <cfRule type="expression" dxfId="2974" priority="1635" stopIfTrue="1">
      <formula>AI37=CléPersonnalisée2</formula>
    </cfRule>
    <cfRule type="expression" dxfId="2973" priority="1636" stopIfTrue="1">
      <formula>AI37=CléPersonnalisée1</formula>
    </cfRule>
    <cfRule type="expression" dxfId="2972" priority="1637" stopIfTrue="1">
      <formula>AI37=CléMaladie</formula>
    </cfRule>
    <cfRule type="expression" dxfId="2971" priority="1638" stopIfTrue="1">
      <formula>AI37=CléPersonnelle</formula>
    </cfRule>
    <cfRule type="expression" dxfId="2970" priority="1639" stopIfTrue="1">
      <formula>AI37=CléCongés</formula>
    </cfRule>
  </conditionalFormatting>
  <conditionalFormatting sqref="AM37:AP38">
    <cfRule type="expression" priority="1628" stopIfTrue="1">
      <formula>AM37=""</formula>
    </cfRule>
    <cfRule type="expression" dxfId="2969" priority="1629" stopIfTrue="1">
      <formula>AM37=CléPersonnalisée2</formula>
    </cfRule>
    <cfRule type="expression" dxfId="2968" priority="1630" stopIfTrue="1">
      <formula>AM37=CléPersonnalisée1</formula>
    </cfRule>
    <cfRule type="expression" dxfId="2967" priority="1631" stopIfTrue="1">
      <formula>AM37=CléMaladie</formula>
    </cfRule>
    <cfRule type="expression" dxfId="2966" priority="1632" stopIfTrue="1">
      <formula>AM37=CléPersonnelle</formula>
    </cfRule>
    <cfRule type="expression" dxfId="2965" priority="1633" stopIfTrue="1">
      <formula>AM37=CléCongés</formula>
    </cfRule>
  </conditionalFormatting>
  <conditionalFormatting sqref="AQ37:AR38">
    <cfRule type="expression" priority="1622" stopIfTrue="1">
      <formula>AQ37=""</formula>
    </cfRule>
    <cfRule type="expression" dxfId="2964" priority="1623" stopIfTrue="1">
      <formula>AQ37=CléPersonnalisée2</formula>
    </cfRule>
    <cfRule type="expression" dxfId="2963" priority="1624" stopIfTrue="1">
      <formula>AQ37=CléPersonnalisée1</formula>
    </cfRule>
    <cfRule type="expression" dxfId="2962" priority="1625" stopIfTrue="1">
      <formula>AQ37=CléMaladie</formula>
    </cfRule>
    <cfRule type="expression" dxfId="2961" priority="1626" stopIfTrue="1">
      <formula>AQ37=CléPersonnelle</formula>
    </cfRule>
    <cfRule type="expression" dxfId="2960" priority="1627" stopIfTrue="1">
      <formula>AQ37=CléCongés</formula>
    </cfRule>
  </conditionalFormatting>
  <conditionalFormatting sqref="AM39 AP39">
    <cfRule type="expression" priority="1616" stopIfTrue="1">
      <formula>AM39=""</formula>
    </cfRule>
    <cfRule type="expression" dxfId="2959" priority="1617" stopIfTrue="1">
      <formula>AM39=CléPersonnalisée2</formula>
    </cfRule>
    <cfRule type="expression" dxfId="2958" priority="1618" stopIfTrue="1">
      <formula>AM39=CléPersonnalisée1</formula>
    </cfRule>
    <cfRule type="expression" dxfId="2957" priority="1619" stopIfTrue="1">
      <formula>AM39=CléMaladie</formula>
    </cfRule>
    <cfRule type="expression" dxfId="2956" priority="1620" stopIfTrue="1">
      <formula>AM39=CléPersonnelle</formula>
    </cfRule>
    <cfRule type="expression" dxfId="2955" priority="1621" stopIfTrue="1">
      <formula>AM39=CléCongés</formula>
    </cfRule>
  </conditionalFormatting>
  <conditionalFormatting sqref="C41:AG43">
    <cfRule type="expression" priority="1609" stopIfTrue="1">
      <formula>C41=""</formula>
    </cfRule>
    <cfRule type="expression" dxfId="2954" priority="1610" stopIfTrue="1">
      <formula>C41=CléPersonnalisée2</formula>
    </cfRule>
    <cfRule type="expression" dxfId="2953" priority="1611" stopIfTrue="1">
      <formula>C41=CléPersonnalisée1</formula>
    </cfRule>
    <cfRule type="expression" dxfId="2952" priority="1612" stopIfTrue="1">
      <formula>C41=CléMaladie</formula>
    </cfRule>
    <cfRule type="expression" dxfId="2951" priority="1613" stopIfTrue="1">
      <formula>C41=CléPersonnelle</formula>
    </cfRule>
    <cfRule type="expression" dxfId="2950" priority="1614" stopIfTrue="1">
      <formula>C41=CléCongés</formula>
    </cfRule>
  </conditionalFormatting>
  <conditionalFormatting sqref="AH43">
    <cfRule type="dataBar" priority="1615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{5F56DD75-FDA9-4F9B-A2F4-C3B092FB2839}</x14:id>
        </ext>
      </extLst>
    </cfRule>
  </conditionalFormatting>
  <conditionalFormatting sqref="AI43:AL43 AJ41:AL42">
    <cfRule type="expression" priority="1603" stopIfTrue="1">
      <formula>AI41=""</formula>
    </cfRule>
    <cfRule type="expression" dxfId="2949" priority="1604" stopIfTrue="1">
      <formula>AI41=CléPersonnalisée2</formula>
    </cfRule>
    <cfRule type="expression" dxfId="2948" priority="1605" stopIfTrue="1">
      <formula>AI41=CléPersonnalisée1</formula>
    </cfRule>
    <cfRule type="expression" dxfId="2947" priority="1606" stopIfTrue="1">
      <formula>AI41=CléMaladie</formula>
    </cfRule>
    <cfRule type="expression" dxfId="2946" priority="1607" stopIfTrue="1">
      <formula>AI41=CléPersonnelle</formula>
    </cfRule>
    <cfRule type="expression" dxfId="2945" priority="1608" stopIfTrue="1">
      <formula>AI41=CléCongés</formula>
    </cfRule>
  </conditionalFormatting>
  <conditionalFormatting sqref="AM41:AP42">
    <cfRule type="expression" priority="1597" stopIfTrue="1">
      <formula>AM41=""</formula>
    </cfRule>
    <cfRule type="expression" dxfId="2944" priority="1598" stopIfTrue="1">
      <formula>AM41=CléPersonnalisée2</formula>
    </cfRule>
    <cfRule type="expression" dxfId="2943" priority="1599" stopIfTrue="1">
      <formula>AM41=CléPersonnalisée1</formula>
    </cfRule>
    <cfRule type="expression" dxfId="2942" priority="1600" stopIfTrue="1">
      <formula>AM41=CléMaladie</formula>
    </cfRule>
    <cfRule type="expression" dxfId="2941" priority="1601" stopIfTrue="1">
      <formula>AM41=CléPersonnelle</formula>
    </cfRule>
    <cfRule type="expression" dxfId="2940" priority="1602" stopIfTrue="1">
      <formula>AM41=CléCongés</formula>
    </cfRule>
  </conditionalFormatting>
  <conditionalFormatting sqref="AQ41:AR42">
    <cfRule type="expression" priority="1591" stopIfTrue="1">
      <formula>AQ41=""</formula>
    </cfRule>
    <cfRule type="expression" dxfId="2939" priority="1592" stopIfTrue="1">
      <formula>AQ41=CléPersonnalisée2</formula>
    </cfRule>
    <cfRule type="expression" dxfId="2938" priority="1593" stopIfTrue="1">
      <formula>AQ41=CléPersonnalisée1</formula>
    </cfRule>
    <cfRule type="expression" dxfId="2937" priority="1594" stopIfTrue="1">
      <formula>AQ41=CléMaladie</formula>
    </cfRule>
    <cfRule type="expression" dxfId="2936" priority="1595" stopIfTrue="1">
      <formula>AQ41=CléPersonnelle</formula>
    </cfRule>
    <cfRule type="expression" dxfId="2935" priority="1596" stopIfTrue="1">
      <formula>AQ41=CléCongés</formula>
    </cfRule>
  </conditionalFormatting>
  <conditionalFormatting sqref="AM43 AP43">
    <cfRule type="expression" priority="1585" stopIfTrue="1">
      <formula>AM43=""</formula>
    </cfRule>
    <cfRule type="expression" dxfId="2934" priority="1586" stopIfTrue="1">
      <formula>AM43=CléPersonnalisée2</formula>
    </cfRule>
    <cfRule type="expression" dxfId="2933" priority="1587" stopIfTrue="1">
      <formula>AM43=CléPersonnalisée1</formula>
    </cfRule>
    <cfRule type="expression" dxfId="2932" priority="1588" stopIfTrue="1">
      <formula>AM43=CléMaladie</formula>
    </cfRule>
    <cfRule type="expression" dxfId="2931" priority="1589" stopIfTrue="1">
      <formula>AM43=CléPersonnelle</formula>
    </cfRule>
    <cfRule type="expression" dxfId="2930" priority="1590" stopIfTrue="1">
      <formula>AM43=CléCongés</formula>
    </cfRule>
  </conditionalFormatting>
  <conditionalFormatting sqref="C45:AG47">
    <cfRule type="expression" priority="1578" stopIfTrue="1">
      <formula>C45=""</formula>
    </cfRule>
    <cfRule type="expression" dxfId="2929" priority="1579" stopIfTrue="1">
      <formula>C45=CléPersonnalisée2</formula>
    </cfRule>
    <cfRule type="expression" dxfId="2928" priority="1580" stopIfTrue="1">
      <formula>C45=CléPersonnalisée1</formula>
    </cfRule>
    <cfRule type="expression" dxfId="2927" priority="1581" stopIfTrue="1">
      <formula>C45=CléMaladie</formula>
    </cfRule>
    <cfRule type="expression" dxfId="2926" priority="1582" stopIfTrue="1">
      <formula>C45=CléPersonnelle</formula>
    </cfRule>
    <cfRule type="expression" dxfId="2925" priority="1583" stopIfTrue="1">
      <formula>C45=CléCongés</formula>
    </cfRule>
  </conditionalFormatting>
  <conditionalFormatting sqref="AH47">
    <cfRule type="dataBar" priority="1584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{B058B288-F669-4386-9620-8CFC97903F40}</x14:id>
        </ext>
      </extLst>
    </cfRule>
  </conditionalFormatting>
  <conditionalFormatting sqref="AI47:AL47 AJ45:AL46">
    <cfRule type="expression" priority="1572" stopIfTrue="1">
      <formula>AI45=""</formula>
    </cfRule>
    <cfRule type="expression" dxfId="2924" priority="1573" stopIfTrue="1">
      <formula>AI45=CléPersonnalisée2</formula>
    </cfRule>
    <cfRule type="expression" dxfId="2923" priority="1574" stopIfTrue="1">
      <formula>AI45=CléPersonnalisée1</formula>
    </cfRule>
    <cfRule type="expression" dxfId="2922" priority="1575" stopIfTrue="1">
      <formula>AI45=CléMaladie</formula>
    </cfRule>
    <cfRule type="expression" dxfId="2921" priority="1576" stopIfTrue="1">
      <formula>AI45=CléPersonnelle</formula>
    </cfRule>
    <cfRule type="expression" dxfId="2920" priority="1577" stopIfTrue="1">
      <formula>AI45=CléCongés</formula>
    </cfRule>
  </conditionalFormatting>
  <conditionalFormatting sqref="AM45:AP46">
    <cfRule type="expression" priority="1566" stopIfTrue="1">
      <formula>AM45=""</formula>
    </cfRule>
    <cfRule type="expression" dxfId="2919" priority="1567" stopIfTrue="1">
      <formula>AM45=CléPersonnalisée2</formula>
    </cfRule>
    <cfRule type="expression" dxfId="2918" priority="1568" stopIfTrue="1">
      <formula>AM45=CléPersonnalisée1</formula>
    </cfRule>
    <cfRule type="expression" dxfId="2917" priority="1569" stopIfTrue="1">
      <formula>AM45=CléMaladie</formula>
    </cfRule>
    <cfRule type="expression" dxfId="2916" priority="1570" stopIfTrue="1">
      <formula>AM45=CléPersonnelle</formula>
    </cfRule>
    <cfRule type="expression" dxfId="2915" priority="1571" stopIfTrue="1">
      <formula>AM45=CléCongés</formula>
    </cfRule>
  </conditionalFormatting>
  <conditionalFormatting sqref="AQ45:AR46">
    <cfRule type="expression" priority="1560" stopIfTrue="1">
      <formula>AQ45=""</formula>
    </cfRule>
    <cfRule type="expression" dxfId="2914" priority="1561" stopIfTrue="1">
      <formula>AQ45=CléPersonnalisée2</formula>
    </cfRule>
    <cfRule type="expression" dxfId="2913" priority="1562" stopIfTrue="1">
      <formula>AQ45=CléPersonnalisée1</formula>
    </cfRule>
    <cfRule type="expression" dxfId="2912" priority="1563" stopIfTrue="1">
      <formula>AQ45=CléMaladie</formula>
    </cfRule>
    <cfRule type="expression" dxfId="2911" priority="1564" stopIfTrue="1">
      <formula>AQ45=CléPersonnelle</formula>
    </cfRule>
    <cfRule type="expression" dxfId="2910" priority="1565" stopIfTrue="1">
      <formula>AQ45=CléCongés</formula>
    </cfRule>
  </conditionalFormatting>
  <conditionalFormatting sqref="AM47 AP47">
    <cfRule type="expression" priority="1554" stopIfTrue="1">
      <formula>AM47=""</formula>
    </cfRule>
    <cfRule type="expression" dxfId="2909" priority="1555" stopIfTrue="1">
      <formula>AM47=CléPersonnalisée2</formula>
    </cfRule>
    <cfRule type="expression" dxfId="2908" priority="1556" stopIfTrue="1">
      <formula>AM47=CléPersonnalisée1</formula>
    </cfRule>
    <cfRule type="expression" dxfId="2907" priority="1557" stopIfTrue="1">
      <formula>AM47=CléMaladie</formula>
    </cfRule>
    <cfRule type="expression" dxfId="2906" priority="1558" stopIfTrue="1">
      <formula>AM47=CléPersonnelle</formula>
    </cfRule>
    <cfRule type="expression" dxfId="2905" priority="1559" stopIfTrue="1">
      <formula>AM47=CléCongés</formula>
    </cfRule>
  </conditionalFormatting>
  <conditionalFormatting sqref="C49:AG51">
    <cfRule type="expression" priority="1547" stopIfTrue="1">
      <formula>C49=""</formula>
    </cfRule>
    <cfRule type="expression" dxfId="2904" priority="1548" stopIfTrue="1">
      <formula>C49=CléPersonnalisée2</formula>
    </cfRule>
    <cfRule type="expression" dxfId="2903" priority="1549" stopIfTrue="1">
      <formula>C49=CléPersonnalisée1</formula>
    </cfRule>
    <cfRule type="expression" dxfId="2902" priority="1550" stopIfTrue="1">
      <formula>C49=CléMaladie</formula>
    </cfRule>
    <cfRule type="expression" dxfId="2901" priority="1551" stopIfTrue="1">
      <formula>C49=CléPersonnelle</formula>
    </cfRule>
    <cfRule type="expression" dxfId="2900" priority="1552" stopIfTrue="1">
      <formula>C49=CléCongés</formula>
    </cfRule>
  </conditionalFormatting>
  <conditionalFormatting sqref="AH51">
    <cfRule type="dataBar" priority="1553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{F8EFBA2B-AE10-44C1-AD90-34894CE2F975}</x14:id>
        </ext>
      </extLst>
    </cfRule>
  </conditionalFormatting>
  <conditionalFormatting sqref="AI51:AL51 AJ49:AL50">
    <cfRule type="expression" priority="1541" stopIfTrue="1">
      <formula>AI49=""</formula>
    </cfRule>
    <cfRule type="expression" dxfId="2899" priority="1542" stopIfTrue="1">
      <formula>AI49=CléPersonnalisée2</formula>
    </cfRule>
    <cfRule type="expression" dxfId="2898" priority="1543" stopIfTrue="1">
      <formula>AI49=CléPersonnalisée1</formula>
    </cfRule>
    <cfRule type="expression" dxfId="2897" priority="1544" stopIfTrue="1">
      <formula>AI49=CléMaladie</formula>
    </cfRule>
    <cfRule type="expression" dxfId="2896" priority="1545" stopIfTrue="1">
      <formula>AI49=CléPersonnelle</formula>
    </cfRule>
    <cfRule type="expression" dxfId="2895" priority="1546" stopIfTrue="1">
      <formula>AI49=CléCongés</formula>
    </cfRule>
  </conditionalFormatting>
  <conditionalFormatting sqref="AM49:AP50">
    <cfRule type="expression" priority="1535" stopIfTrue="1">
      <formula>AM49=""</formula>
    </cfRule>
    <cfRule type="expression" dxfId="2894" priority="1536" stopIfTrue="1">
      <formula>AM49=CléPersonnalisée2</formula>
    </cfRule>
    <cfRule type="expression" dxfId="2893" priority="1537" stopIfTrue="1">
      <formula>AM49=CléPersonnalisée1</formula>
    </cfRule>
    <cfRule type="expression" dxfId="2892" priority="1538" stopIfTrue="1">
      <formula>AM49=CléMaladie</formula>
    </cfRule>
    <cfRule type="expression" dxfId="2891" priority="1539" stopIfTrue="1">
      <formula>AM49=CléPersonnelle</formula>
    </cfRule>
    <cfRule type="expression" dxfId="2890" priority="1540" stopIfTrue="1">
      <formula>AM49=CléCongés</formula>
    </cfRule>
  </conditionalFormatting>
  <conditionalFormatting sqref="AQ49:AR50">
    <cfRule type="expression" priority="1529" stopIfTrue="1">
      <formula>AQ49=""</formula>
    </cfRule>
    <cfRule type="expression" dxfId="2889" priority="1530" stopIfTrue="1">
      <formula>AQ49=CléPersonnalisée2</formula>
    </cfRule>
    <cfRule type="expression" dxfId="2888" priority="1531" stopIfTrue="1">
      <formula>AQ49=CléPersonnalisée1</formula>
    </cfRule>
    <cfRule type="expression" dxfId="2887" priority="1532" stopIfTrue="1">
      <formula>AQ49=CléMaladie</formula>
    </cfRule>
    <cfRule type="expression" dxfId="2886" priority="1533" stopIfTrue="1">
      <formula>AQ49=CléPersonnelle</formula>
    </cfRule>
    <cfRule type="expression" dxfId="2885" priority="1534" stopIfTrue="1">
      <formula>AQ49=CléCongés</formula>
    </cfRule>
  </conditionalFormatting>
  <conditionalFormatting sqref="AM51 AP51">
    <cfRule type="expression" priority="1523" stopIfTrue="1">
      <formula>AM51=""</formula>
    </cfRule>
    <cfRule type="expression" dxfId="2884" priority="1524" stopIfTrue="1">
      <formula>AM51=CléPersonnalisée2</formula>
    </cfRule>
    <cfRule type="expression" dxfId="2883" priority="1525" stopIfTrue="1">
      <formula>AM51=CléPersonnalisée1</formula>
    </cfRule>
    <cfRule type="expression" dxfId="2882" priority="1526" stopIfTrue="1">
      <formula>AM51=CléMaladie</formula>
    </cfRule>
    <cfRule type="expression" dxfId="2881" priority="1527" stopIfTrue="1">
      <formula>AM51=CléPersonnelle</formula>
    </cfRule>
    <cfRule type="expression" dxfId="2880" priority="1528" stopIfTrue="1">
      <formula>AM51=CléCongés</formula>
    </cfRule>
  </conditionalFormatting>
  <conditionalFormatting sqref="C53:AG55">
    <cfRule type="expression" priority="1516" stopIfTrue="1">
      <formula>C53=""</formula>
    </cfRule>
    <cfRule type="expression" dxfId="2879" priority="1517" stopIfTrue="1">
      <formula>C53=CléPersonnalisée2</formula>
    </cfRule>
    <cfRule type="expression" dxfId="2878" priority="1518" stopIfTrue="1">
      <formula>C53=CléPersonnalisée1</formula>
    </cfRule>
    <cfRule type="expression" dxfId="2877" priority="1519" stopIfTrue="1">
      <formula>C53=CléMaladie</formula>
    </cfRule>
    <cfRule type="expression" dxfId="2876" priority="1520" stopIfTrue="1">
      <formula>C53=CléPersonnelle</formula>
    </cfRule>
    <cfRule type="expression" dxfId="2875" priority="1521" stopIfTrue="1">
      <formula>C53=CléCongés</formula>
    </cfRule>
  </conditionalFormatting>
  <conditionalFormatting sqref="AH55">
    <cfRule type="dataBar" priority="1522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{81754B7A-8FD4-4272-A470-19138DE0D9E7}</x14:id>
        </ext>
      </extLst>
    </cfRule>
  </conditionalFormatting>
  <conditionalFormatting sqref="AI55:AL55 AJ53:AL54">
    <cfRule type="expression" priority="1510" stopIfTrue="1">
      <formula>AI53=""</formula>
    </cfRule>
    <cfRule type="expression" dxfId="2874" priority="1511" stopIfTrue="1">
      <formula>AI53=CléPersonnalisée2</formula>
    </cfRule>
    <cfRule type="expression" dxfId="2873" priority="1512" stopIfTrue="1">
      <formula>AI53=CléPersonnalisée1</formula>
    </cfRule>
    <cfRule type="expression" dxfId="2872" priority="1513" stopIfTrue="1">
      <formula>AI53=CléMaladie</formula>
    </cfRule>
    <cfRule type="expression" dxfId="2871" priority="1514" stopIfTrue="1">
      <formula>AI53=CléPersonnelle</formula>
    </cfRule>
    <cfRule type="expression" dxfId="2870" priority="1515" stopIfTrue="1">
      <formula>AI53=CléCongés</formula>
    </cfRule>
  </conditionalFormatting>
  <conditionalFormatting sqref="AM53:AP54">
    <cfRule type="expression" priority="1504" stopIfTrue="1">
      <formula>AM53=""</formula>
    </cfRule>
    <cfRule type="expression" dxfId="2869" priority="1505" stopIfTrue="1">
      <formula>AM53=CléPersonnalisée2</formula>
    </cfRule>
    <cfRule type="expression" dxfId="2868" priority="1506" stopIfTrue="1">
      <formula>AM53=CléPersonnalisée1</formula>
    </cfRule>
    <cfRule type="expression" dxfId="2867" priority="1507" stopIfTrue="1">
      <formula>AM53=CléMaladie</formula>
    </cfRule>
    <cfRule type="expression" dxfId="2866" priority="1508" stopIfTrue="1">
      <formula>AM53=CléPersonnelle</formula>
    </cfRule>
    <cfRule type="expression" dxfId="2865" priority="1509" stopIfTrue="1">
      <formula>AM53=CléCongés</formula>
    </cfRule>
  </conditionalFormatting>
  <conditionalFormatting sqref="AQ53:AR54">
    <cfRule type="expression" priority="1498" stopIfTrue="1">
      <formula>AQ53=""</formula>
    </cfRule>
    <cfRule type="expression" dxfId="2864" priority="1499" stopIfTrue="1">
      <formula>AQ53=CléPersonnalisée2</formula>
    </cfRule>
    <cfRule type="expression" dxfId="2863" priority="1500" stopIfTrue="1">
      <formula>AQ53=CléPersonnalisée1</formula>
    </cfRule>
    <cfRule type="expression" dxfId="2862" priority="1501" stopIfTrue="1">
      <formula>AQ53=CléMaladie</formula>
    </cfRule>
    <cfRule type="expression" dxfId="2861" priority="1502" stopIfTrue="1">
      <formula>AQ53=CléPersonnelle</formula>
    </cfRule>
    <cfRule type="expression" dxfId="2860" priority="1503" stopIfTrue="1">
      <formula>AQ53=CléCongés</formula>
    </cfRule>
  </conditionalFormatting>
  <conditionalFormatting sqref="AM55 AP55">
    <cfRule type="expression" priority="1492" stopIfTrue="1">
      <formula>AM55=""</formula>
    </cfRule>
    <cfRule type="expression" dxfId="2859" priority="1493" stopIfTrue="1">
      <formula>AM55=CléPersonnalisée2</formula>
    </cfRule>
    <cfRule type="expression" dxfId="2858" priority="1494" stopIfTrue="1">
      <formula>AM55=CléPersonnalisée1</formula>
    </cfRule>
    <cfRule type="expression" dxfId="2857" priority="1495" stopIfTrue="1">
      <formula>AM55=CléMaladie</formula>
    </cfRule>
    <cfRule type="expression" dxfId="2856" priority="1496" stopIfTrue="1">
      <formula>AM55=CléPersonnelle</formula>
    </cfRule>
    <cfRule type="expression" dxfId="2855" priority="1497" stopIfTrue="1">
      <formula>AM55=CléCongés</formula>
    </cfRule>
  </conditionalFormatting>
  <conditionalFormatting sqref="C61:AG63">
    <cfRule type="expression" priority="1485" stopIfTrue="1">
      <formula>C61=""</formula>
    </cfRule>
    <cfRule type="expression" dxfId="2854" priority="1486" stopIfTrue="1">
      <formula>C61=CléPersonnalisée2</formula>
    </cfRule>
    <cfRule type="expression" dxfId="2853" priority="1487" stopIfTrue="1">
      <formula>C61=CléPersonnalisée1</formula>
    </cfRule>
    <cfRule type="expression" dxfId="2852" priority="1488" stopIfTrue="1">
      <formula>C61=CléMaladie</formula>
    </cfRule>
    <cfRule type="expression" dxfId="2851" priority="1489" stopIfTrue="1">
      <formula>C61=CléPersonnelle</formula>
    </cfRule>
    <cfRule type="expression" dxfId="2850" priority="1490" stopIfTrue="1">
      <formula>C61=CléCongés</formula>
    </cfRule>
  </conditionalFormatting>
  <conditionalFormatting sqref="AH63">
    <cfRule type="dataBar" priority="1491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{B4679261-88F0-4CDD-B8B9-FBAE9A459426}</x14:id>
        </ext>
      </extLst>
    </cfRule>
  </conditionalFormatting>
  <conditionalFormatting sqref="AI63:AL63 AJ61:AL62">
    <cfRule type="expression" priority="1479" stopIfTrue="1">
      <formula>AI61=""</formula>
    </cfRule>
    <cfRule type="expression" dxfId="2849" priority="1480" stopIfTrue="1">
      <formula>AI61=CléPersonnalisée2</formula>
    </cfRule>
    <cfRule type="expression" dxfId="2848" priority="1481" stopIfTrue="1">
      <formula>AI61=CléPersonnalisée1</formula>
    </cfRule>
    <cfRule type="expression" dxfId="2847" priority="1482" stopIfTrue="1">
      <formula>AI61=CléMaladie</formula>
    </cfRule>
    <cfRule type="expression" dxfId="2846" priority="1483" stopIfTrue="1">
      <formula>AI61=CléPersonnelle</formula>
    </cfRule>
    <cfRule type="expression" dxfId="2845" priority="1484" stopIfTrue="1">
      <formula>AI61=CléCongés</formula>
    </cfRule>
  </conditionalFormatting>
  <conditionalFormatting sqref="AM61:AP62">
    <cfRule type="expression" priority="1473" stopIfTrue="1">
      <formula>AM61=""</formula>
    </cfRule>
    <cfRule type="expression" dxfId="2844" priority="1474" stopIfTrue="1">
      <formula>AM61=CléPersonnalisée2</formula>
    </cfRule>
    <cfRule type="expression" dxfId="2843" priority="1475" stopIfTrue="1">
      <formula>AM61=CléPersonnalisée1</formula>
    </cfRule>
    <cfRule type="expression" dxfId="2842" priority="1476" stopIfTrue="1">
      <formula>AM61=CléMaladie</formula>
    </cfRule>
    <cfRule type="expression" dxfId="2841" priority="1477" stopIfTrue="1">
      <formula>AM61=CléPersonnelle</formula>
    </cfRule>
    <cfRule type="expression" dxfId="2840" priority="1478" stopIfTrue="1">
      <formula>AM61=CléCongés</formula>
    </cfRule>
  </conditionalFormatting>
  <conditionalFormatting sqref="AQ61:AR62">
    <cfRule type="expression" priority="1467" stopIfTrue="1">
      <formula>AQ61=""</formula>
    </cfRule>
    <cfRule type="expression" dxfId="2839" priority="1468" stopIfTrue="1">
      <formula>AQ61=CléPersonnalisée2</formula>
    </cfRule>
    <cfRule type="expression" dxfId="2838" priority="1469" stopIfTrue="1">
      <formula>AQ61=CléPersonnalisée1</formula>
    </cfRule>
    <cfRule type="expression" dxfId="2837" priority="1470" stopIfTrue="1">
      <formula>AQ61=CléMaladie</formula>
    </cfRule>
    <cfRule type="expression" dxfId="2836" priority="1471" stopIfTrue="1">
      <formula>AQ61=CléPersonnelle</formula>
    </cfRule>
    <cfRule type="expression" dxfId="2835" priority="1472" stopIfTrue="1">
      <formula>AQ61=CléCongés</formula>
    </cfRule>
  </conditionalFormatting>
  <conditionalFormatting sqref="AM63 AP63">
    <cfRule type="expression" priority="1461" stopIfTrue="1">
      <formula>AM63=""</formula>
    </cfRule>
    <cfRule type="expression" dxfId="2834" priority="1462" stopIfTrue="1">
      <formula>AM63=CléPersonnalisée2</formula>
    </cfRule>
    <cfRule type="expression" dxfId="2833" priority="1463" stopIfTrue="1">
      <formula>AM63=CléPersonnalisée1</formula>
    </cfRule>
    <cfRule type="expression" dxfId="2832" priority="1464" stopIfTrue="1">
      <formula>AM63=CléMaladie</formula>
    </cfRule>
    <cfRule type="expression" dxfId="2831" priority="1465" stopIfTrue="1">
      <formula>AM63=CléPersonnelle</formula>
    </cfRule>
    <cfRule type="expression" dxfId="2830" priority="1466" stopIfTrue="1">
      <formula>AM63=CléCongés</formula>
    </cfRule>
  </conditionalFormatting>
  <conditionalFormatting sqref="AO39">
    <cfRule type="expression" priority="1326" stopIfTrue="1">
      <formula>AO39=""</formula>
    </cfRule>
    <cfRule type="expression" dxfId="2829" priority="1327" stopIfTrue="1">
      <formula>AO39=CléPersonnalisée2</formula>
    </cfRule>
    <cfRule type="expression" dxfId="2828" priority="1328" stopIfTrue="1">
      <formula>AO39=CléPersonnalisée1</formula>
    </cfRule>
    <cfRule type="expression" dxfId="2827" priority="1329" stopIfTrue="1">
      <formula>AO39=CléMaladie</formula>
    </cfRule>
    <cfRule type="expression" dxfId="2826" priority="1330" stopIfTrue="1">
      <formula>AO39=CléPersonnelle</formula>
    </cfRule>
    <cfRule type="expression" dxfId="2825" priority="1331" stopIfTrue="1">
      <formula>AO39=CléCongés</formula>
    </cfRule>
  </conditionalFormatting>
  <conditionalFormatting sqref="C69:AG71">
    <cfRule type="expression" priority="1454" stopIfTrue="1">
      <formula>C69=""</formula>
    </cfRule>
    <cfRule type="expression" dxfId="2824" priority="1455" stopIfTrue="1">
      <formula>C69=CléPersonnalisée2</formula>
    </cfRule>
    <cfRule type="expression" dxfId="2823" priority="1456" stopIfTrue="1">
      <formula>C69=CléPersonnalisée1</formula>
    </cfRule>
    <cfRule type="expression" dxfId="2822" priority="1457" stopIfTrue="1">
      <formula>C69=CléMaladie</formula>
    </cfRule>
    <cfRule type="expression" dxfId="2821" priority="1458" stopIfTrue="1">
      <formula>C69=CléPersonnelle</formula>
    </cfRule>
    <cfRule type="expression" dxfId="2820" priority="1459" stopIfTrue="1">
      <formula>C69=CléCongés</formula>
    </cfRule>
  </conditionalFormatting>
  <conditionalFormatting sqref="AH71">
    <cfRule type="dataBar" priority="1460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{0F073A68-B69C-43B2-B31E-44EC804A30D5}</x14:id>
        </ext>
      </extLst>
    </cfRule>
  </conditionalFormatting>
  <conditionalFormatting sqref="AI71:AL71 AJ69:AL70">
    <cfRule type="expression" priority="1448" stopIfTrue="1">
      <formula>AI69=""</formula>
    </cfRule>
    <cfRule type="expression" dxfId="2819" priority="1449" stopIfTrue="1">
      <formula>AI69=CléPersonnalisée2</formula>
    </cfRule>
    <cfRule type="expression" dxfId="2818" priority="1450" stopIfTrue="1">
      <formula>AI69=CléPersonnalisée1</formula>
    </cfRule>
    <cfRule type="expression" dxfId="2817" priority="1451" stopIfTrue="1">
      <formula>AI69=CléMaladie</formula>
    </cfRule>
    <cfRule type="expression" dxfId="2816" priority="1452" stopIfTrue="1">
      <formula>AI69=CléPersonnelle</formula>
    </cfRule>
    <cfRule type="expression" dxfId="2815" priority="1453" stopIfTrue="1">
      <formula>AI69=CléCongés</formula>
    </cfRule>
  </conditionalFormatting>
  <conditionalFormatting sqref="AM69:AP70">
    <cfRule type="expression" priority="1442" stopIfTrue="1">
      <formula>AM69=""</formula>
    </cfRule>
    <cfRule type="expression" dxfId="2814" priority="1443" stopIfTrue="1">
      <formula>AM69=CléPersonnalisée2</formula>
    </cfRule>
    <cfRule type="expression" dxfId="2813" priority="1444" stopIfTrue="1">
      <formula>AM69=CléPersonnalisée1</formula>
    </cfRule>
    <cfRule type="expression" dxfId="2812" priority="1445" stopIfTrue="1">
      <formula>AM69=CléMaladie</formula>
    </cfRule>
    <cfRule type="expression" dxfId="2811" priority="1446" stopIfTrue="1">
      <formula>AM69=CléPersonnelle</formula>
    </cfRule>
    <cfRule type="expression" dxfId="2810" priority="1447" stopIfTrue="1">
      <formula>AM69=CléCongés</formula>
    </cfRule>
  </conditionalFormatting>
  <conditionalFormatting sqref="AQ69:AR70">
    <cfRule type="expression" priority="1436" stopIfTrue="1">
      <formula>AQ69=""</formula>
    </cfRule>
    <cfRule type="expression" dxfId="2809" priority="1437" stopIfTrue="1">
      <formula>AQ69=CléPersonnalisée2</formula>
    </cfRule>
    <cfRule type="expression" dxfId="2808" priority="1438" stopIfTrue="1">
      <formula>AQ69=CléPersonnalisée1</formula>
    </cfRule>
    <cfRule type="expression" dxfId="2807" priority="1439" stopIfTrue="1">
      <formula>AQ69=CléMaladie</formula>
    </cfRule>
    <cfRule type="expression" dxfId="2806" priority="1440" stopIfTrue="1">
      <formula>AQ69=CléPersonnelle</formula>
    </cfRule>
    <cfRule type="expression" dxfId="2805" priority="1441" stopIfTrue="1">
      <formula>AQ69=CléCongés</formula>
    </cfRule>
  </conditionalFormatting>
  <conditionalFormatting sqref="AM71 AP71">
    <cfRule type="expression" priority="1430" stopIfTrue="1">
      <formula>AM71=""</formula>
    </cfRule>
    <cfRule type="expression" dxfId="2804" priority="1431" stopIfTrue="1">
      <formula>AM71=CléPersonnalisée2</formula>
    </cfRule>
    <cfRule type="expression" dxfId="2803" priority="1432" stopIfTrue="1">
      <formula>AM71=CléPersonnalisée1</formula>
    </cfRule>
    <cfRule type="expression" dxfId="2802" priority="1433" stopIfTrue="1">
      <formula>AM71=CléMaladie</formula>
    </cfRule>
    <cfRule type="expression" dxfId="2801" priority="1434" stopIfTrue="1">
      <formula>AM71=CléPersonnelle</formula>
    </cfRule>
    <cfRule type="expression" dxfId="2800" priority="1435" stopIfTrue="1">
      <formula>AM71=CléCongés</formula>
    </cfRule>
  </conditionalFormatting>
  <conditionalFormatting sqref="AI23">
    <cfRule type="expression" priority="1418" stopIfTrue="1">
      <formula>AI23=""</formula>
    </cfRule>
    <cfRule type="expression" dxfId="2799" priority="1419" stopIfTrue="1">
      <formula>AI23=CléPersonnalisée2</formula>
    </cfRule>
    <cfRule type="expression" dxfId="2798" priority="1420" stopIfTrue="1">
      <formula>AI23=CléPersonnalisée1</formula>
    </cfRule>
    <cfRule type="expression" dxfId="2797" priority="1421" stopIfTrue="1">
      <formula>AI23=CléMaladie</formula>
    </cfRule>
    <cfRule type="expression" dxfId="2796" priority="1422" stopIfTrue="1">
      <formula>AI23=CléPersonnelle</formula>
    </cfRule>
    <cfRule type="expression" dxfId="2795" priority="1423" stopIfTrue="1">
      <formula>AI23=CléCongés</formula>
    </cfRule>
  </conditionalFormatting>
  <conditionalFormatting sqref="AI19">
    <cfRule type="expression" priority="1424" stopIfTrue="1">
      <formula>AI19=""</formula>
    </cfRule>
    <cfRule type="expression" dxfId="2794" priority="1425" stopIfTrue="1">
      <formula>AI19=CléPersonnalisée2</formula>
    </cfRule>
    <cfRule type="expression" dxfId="2793" priority="1426" stopIfTrue="1">
      <formula>AI19=CléPersonnalisée1</formula>
    </cfRule>
    <cfRule type="expression" dxfId="2792" priority="1427" stopIfTrue="1">
      <formula>AI19=CléMaladie</formula>
    </cfRule>
    <cfRule type="expression" dxfId="2791" priority="1428" stopIfTrue="1">
      <formula>AI19=CléPersonnelle</formula>
    </cfRule>
    <cfRule type="expression" dxfId="2790" priority="1429" stopIfTrue="1">
      <formula>AI19=CléCongés</formula>
    </cfRule>
  </conditionalFormatting>
  <conditionalFormatting sqref="AI25:AI26">
    <cfRule type="expression" priority="1272" stopIfTrue="1">
      <formula>AI25=""</formula>
    </cfRule>
    <cfRule type="expression" dxfId="2789" priority="1273" stopIfTrue="1">
      <formula>AI25=CléPersonnalisée2</formula>
    </cfRule>
    <cfRule type="expression" dxfId="2788" priority="1274" stopIfTrue="1">
      <formula>AI25=CléPersonnalisée1</formula>
    </cfRule>
    <cfRule type="expression" dxfId="2787" priority="1275" stopIfTrue="1">
      <formula>AI25=CléMaladie</formula>
    </cfRule>
    <cfRule type="expression" dxfId="2786" priority="1276" stopIfTrue="1">
      <formula>AI25=CléPersonnelle</formula>
    </cfRule>
    <cfRule type="expression" dxfId="2785" priority="1277" stopIfTrue="1">
      <formula>AI25=CléCongés</formula>
    </cfRule>
  </conditionalFormatting>
  <conditionalFormatting sqref="AH19">
    <cfRule type="dataBar" priority="1417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{BD75AE1E-7171-464F-8B2B-042CCBA53409}</x14:id>
        </ext>
      </extLst>
    </cfRule>
  </conditionalFormatting>
  <conditionalFormatting sqref="AH23">
    <cfRule type="dataBar" priority="1416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{2B88C2D9-04CF-44A8-A9FB-CD0132574D6D}</x14:id>
        </ext>
      </extLst>
    </cfRule>
  </conditionalFormatting>
  <conditionalFormatting sqref="AM17:AP18">
    <cfRule type="expression" priority="1410" stopIfTrue="1">
      <formula>AM17=""</formula>
    </cfRule>
    <cfRule type="expression" dxfId="2784" priority="1411" stopIfTrue="1">
      <formula>AM17=CléPersonnalisée2</formula>
    </cfRule>
    <cfRule type="expression" dxfId="2783" priority="1412" stopIfTrue="1">
      <formula>AM17=CléPersonnalisée1</formula>
    </cfRule>
    <cfRule type="expression" dxfId="2782" priority="1413" stopIfTrue="1">
      <formula>AM17=CléMaladie</formula>
    </cfRule>
    <cfRule type="expression" dxfId="2781" priority="1414" stopIfTrue="1">
      <formula>AM17=CléPersonnelle</formula>
    </cfRule>
    <cfRule type="expression" dxfId="2780" priority="1415" stopIfTrue="1">
      <formula>AM17=CléCongés</formula>
    </cfRule>
  </conditionalFormatting>
  <conditionalFormatting sqref="AQ17:AR18">
    <cfRule type="expression" priority="1404" stopIfTrue="1">
      <formula>AQ17=""</formula>
    </cfRule>
    <cfRule type="expression" dxfId="2779" priority="1405" stopIfTrue="1">
      <formula>AQ17=CléPersonnalisée2</formula>
    </cfRule>
    <cfRule type="expression" dxfId="2778" priority="1406" stopIfTrue="1">
      <formula>AQ17=CléPersonnalisée1</formula>
    </cfRule>
    <cfRule type="expression" dxfId="2777" priority="1407" stopIfTrue="1">
      <formula>AQ17=CléMaladie</formula>
    </cfRule>
    <cfRule type="expression" dxfId="2776" priority="1408" stopIfTrue="1">
      <formula>AQ17=CléPersonnelle</formula>
    </cfRule>
    <cfRule type="expression" dxfId="2775" priority="1409" stopIfTrue="1">
      <formula>AQ17=CléCongés</formula>
    </cfRule>
  </conditionalFormatting>
  <conditionalFormatting sqref="AM19 AP19">
    <cfRule type="expression" priority="1398" stopIfTrue="1">
      <formula>AM19=""</formula>
    </cfRule>
    <cfRule type="expression" dxfId="2774" priority="1399" stopIfTrue="1">
      <formula>AM19=CléPersonnalisée2</formula>
    </cfRule>
    <cfRule type="expression" dxfId="2773" priority="1400" stopIfTrue="1">
      <formula>AM19=CléPersonnalisée1</formula>
    </cfRule>
    <cfRule type="expression" dxfId="2772" priority="1401" stopIfTrue="1">
      <formula>AM19=CléMaladie</formula>
    </cfRule>
    <cfRule type="expression" dxfId="2771" priority="1402" stopIfTrue="1">
      <formula>AM19=CléPersonnelle</formula>
    </cfRule>
    <cfRule type="expression" dxfId="2770" priority="1403" stopIfTrue="1">
      <formula>AM19=CléCongés</formula>
    </cfRule>
  </conditionalFormatting>
  <conditionalFormatting sqref="AO31">
    <cfRule type="expression" priority="1338" stopIfTrue="1">
      <formula>AO31=""</formula>
    </cfRule>
    <cfRule type="expression" dxfId="2769" priority="1339" stopIfTrue="1">
      <formula>AO31=CléPersonnalisée2</formula>
    </cfRule>
    <cfRule type="expression" dxfId="2768" priority="1340" stopIfTrue="1">
      <formula>AO31=CléPersonnalisée1</formula>
    </cfRule>
    <cfRule type="expression" dxfId="2767" priority="1341" stopIfTrue="1">
      <formula>AO31=CléMaladie</formula>
    </cfRule>
    <cfRule type="expression" dxfId="2766" priority="1342" stopIfTrue="1">
      <formula>AO31=CléPersonnelle</formula>
    </cfRule>
    <cfRule type="expression" dxfId="2765" priority="1343" stopIfTrue="1">
      <formula>AO31=CléCongés</formula>
    </cfRule>
  </conditionalFormatting>
  <conditionalFormatting sqref="AM21:AP22">
    <cfRule type="expression" priority="1392" stopIfTrue="1">
      <formula>AM21=""</formula>
    </cfRule>
    <cfRule type="expression" dxfId="2764" priority="1393" stopIfTrue="1">
      <formula>AM21=CléPersonnalisée2</formula>
    </cfRule>
    <cfRule type="expression" dxfId="2763" priority="1394" stopIfTrue="1">
      <formula>AM21=CléPersonnalisée1</formula>
    </cfRule>
    <cfRule type="expression" dxfId="2762" priority="1395" stopIfTrue="1">
      <formula>AM21=CléMaladie</formula>
    </cfRule>
    <cfRule type="expression" dxfId="2761" priority="1396" stopIfTrue="1">
      <formula>AM21=CléPersonnelle</formula>
    </cfRule>
    <cfRule type="expression" dxfId="2760" priority="1397" stopIfTrue="1">
      <formula>AM21=CléCongés</formula>
    </cfRule>
  </conditionalFormatting>
  <conditionalFormatting sqref="AQ21:AR22">
    <cfRule type="expression" priority="1386" stopIfTrue="1">
      <formula>AQ21=""</formula>
    </cfRule>
    <cfRule type="expression" dxfId="2759" priority="1387" stopIfTrue="1">
      <formula>AQ21=CléPersonnalisée2</formula>
    </cfRule>
    <cfRule type="expression" dxfId="2758" priority="1388" stopIfTrue="1">
      <formula>AQ21=CléPersonnalisée1</formula>
    </cfRule>
    <cfRule type="expression" dxfId="2757" priority="1389" stopIfTrue="1">
      <formula>AQ21=CléMaladie</formula>
    </cfRule>
    <cfRule type="expression" dxfId="2756" priority="1390" stopIfTrue="1">
      <formula>AQ21=CléPersonnelle</formula>
    </cfRule>
    <cfRule type="expression" dxfId="2755" priority="1391" stopIfTrue="1">
      <formula>AQ21=CléCongés</formula>
    </cfRule>
  </conditionalFormatting>
  <conditionalFormatting sqref="AM23 AP23">
    <cfRule type="expression" priority="1380" stopIfTrue="1">
      <formula>AM23=""</formula>
    </cfRule>
    <cfRule type="expression" dxfId="2754" priority="1381" stopIfTrue="1">
      <formula>AM23=CléPersonnalisée2</formula>
    </cfRule>
    <cfRule type="expression" dxfId="2753" priority="1382" stopIfTrue="1">
      <formula>AM23=CléPersonnalisée1</formula>
    </cfRule>
    <cfRule type="expression" dxfId="2752" priority="1383" stopIfTrue="1">
      <formula>AM23=CléMaladie</formula>
    </cfRule>
    <cfRule type="expression" dxfId="2751" priority="1384" stopIfTrue="1">
      <formula>AM23=CléPersonnelle</formula>
    </cfRule>
    <cfRule type="expression" dxfId="2750" priority="1385" stopIfTrue="1">
      <formula>AM23=CléCongés</formula>
    </cfRule>
  </conditionalFormatting>
  <conditionalFormatting sqref="AH17:AH18">
    <cfRule type="dataBar" priority="1379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{AFAC72E9-2511-47FA-A9A3-67CD94DE1541}</x14:id>
        </ext>
      </extLst>
    </cfRule>
  </conditionalFormatting>
  <conditionalFormatting sqref="AH21:AH22">
    <cfRule type="dataBar" priority="1378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{C9B6BB1B-CDE1-4C0C-8E64-ABE04781B755}</x14:id>
        </ext>
      </extLst>
    </cfRule>
  </conditionalFormatting>
  <conditionalFormatting sqref="AH25:AH26">
    <cfRule type="dataBar" priority="1377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{95708D21-B0CF-4787-A353-03464FBC0B91}</x14:id>
        </ext>
      </extLst>
    </cfRule>
  </conditionalFormatting>
  <conditionalFormatting sqref="AH29:AH30">
    <cfRule type="dataBar" priority="1376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{15AA0188-168C-4D35-BCF8-7D05956E070B}</x14:id>
        </ext>
      </extLst>
    </cfRule>
  </conditionalFormatting>
  <conditionalFormatting sqref="AH33:AH34">
    <cfRule type="dataBar" priority="1375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{D53D973D-05A5-4972-9212-4FEA0F1EA0FF}</x14:id>
        </ext>
      </extLst>
    </cfRule>
  </conditionalFormatting>
  <conditionalFormatting sqref="AH37:AH38">
    <cfRule type="dataBar" priority="1374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{679EFB40-016C-48F2-9F4C-B0FDF5BA7574}</x14:id>
        </ext>
      </extLst>
    </cfRule>
  </conditionalFormatting>
  <conditionalFormatting sqref="AH41:AH42">
    <cfRule type="dataBar" priority="1373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{29C13AD5-9B2A-4C60-B25A-B90D87A1EB25}</x14:id>
        </ext>
      </extLst>
    </cfRule>
  </conditionalFormatting>
  <conditionalFormatting sqref="AH45:AH46">
    <cfRule type="dataBar" priority="1372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{00217153-DF87-430F-A100-63E188077674}</x14:id>
        </ext>
      </extLst>
    </cfRule>
  </conditionalFormatting>
  <conditionalFormatting sqref="AH49:AH50">
    <cfRule type="dataBar" priority="1371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{985C0B3C-E0A5-41DF-82A6-DBAF47234907}</x14:id>
        </ext>
      </extLst>
    </cfRule>
  </conditionalFormatting>
  <conditionalFormatting sqref="AH53:AH54">
    <cfRule type="dataBar" priority="1370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{6113497D-5A85-4846-A2C7-54E2FB9D1A6F}</x14:id>
        </ext>
      </extLst>
    </cfRule>
  </conditionalFormatting>
  <conditionalFormatting sqref="AH61:AH62">
    <cfRule type="dataBar" priority="1369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{D8E39EB3-8394-4D83-A082-91E8FC9BF641}</x14:id>
        </ext>
      </extLst>
    </cfRule>
  </conditionalFormatting>
  <conditionalFormatting sqref="AH69:AH70">
    <cfRule type="dataBar" priority="1368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{0583DB38-5F04-4B1E-A927-2C17F0495DB6}</x14:id>
        </ext>
      </extLst>
    </cfRule>
  </conditionalFormatting>
  <conditionalFormatting sqref="AO11">
    <cfRule type="expression" priority="1362" stopIfTrue="1">
      <formula>AO11=""</formula>
    </cfRule>
    <cfRule type="expression" dxfId="2749" priority="1363" stopIfTrue="1">
      <formula>AO11=CléPersonnalisée2</formula>
    </cfRule>
    <cfRule type="expression" dxfId="2748" priority="1364" stopIfTrue="1">
      <formula>AO11=CléPersonnalisée1</formula>
    </cfRule>
    <cfRule type="expression" dxfId="2747" priority="1365" stopIfTrue="1">
      <formula>AO11=CléMaladie</formula>
    </cfRule>
    <cfRule type="expression" dxfId="2746" priority="1366" stopIfTrue="1">
      <formula>AO11=CléPersonnelle</formula>
    </cfRule>
    <cfRule type="expression" dxfId="2745" priority="1367" stopIfTrue="1">
      <formula>AO11=CléCongés</formula>
    </cfRule>
  </conditionalFormatting>
  <conditionalFormatting sqref="AO19">
    <cfRule type="expression" priority="1356" stopIfTrue="1">
      <formula>AO19=""</formula>
    </cfRule>
    <cfRule type="expression" dxfId="2744" priority="1357" stopIfTrue="1">
      <formula>AO19=CléPersonnalisée2</formula>
    </cfRule>
    <cfRule type="expression" dxfId="2743" priority="1358" stopIfTrue="1">
      <formula>AO19=CléPersonnalisée1</formula>
    </cfRule>
    <cfRule type="expression" dxfId="2742" priority="1359" stopIfTrue="1">
      <formula>AO19=CléMaladie</formula>
    </cfRule>
    <cfRule type="expression" dxfId="2741" priority="1360" stopIfTrue="1">
      <formula>AO19=CléPersonnelle</formula>
    </cfRule>
    <cfRule type="expression" dxfId="2740" priority="1361" stopIfTrue="1">
      <formula>AO19=CléCongés</formula>
    </cfRule>
  </conditionalFormatting>
  <conditionalFormatting sqref="AO23">
    <cfRule type="expression" priority="1350" stopIfTrue="1">
      <formula>AO23=""</formula>
    </cfRule>
    <cfRule type="expression" dxfId="2739" priority="1351" stopIfTrue="1">
      <formula>AO23=CléPersonnalisée2</formula>
    </cfRule>
    <cfRule type="expression" dxfId="2738" priority="1352" stopIfTrue="1">
      <formula>AO23=CléPersonnalisée1</formula>
    </cfRule>
    <cfRule type="expression" dxfId="2737" priority="1353" stopIfTrue="1">
      <formula>AO23=CléMaladie</formula>
    </cfRule>
    <cfRule type="expression" dxfId="2736" priority="1354" stopIfTrue="1">
      <formula>AO23=CléPersonnelle</formula>
    </cfRule>
    <cfRule type="expression" dxfId="2735" priority="1355" stopIfTrue="1">
      <formula>AO23=CléCongés</formula>
    </cfRule>
  </conditionalFormatting>
  <conditionalFormatting sqref="AO27">
    <cfRule type="expression" priority="1344" stopIfTrue="1">
      <formula>AO27=""</formula>
    </cfRule>
    <cfRule type="expression" dxfId="2734" priority="1345" stopIfTrue="1">
      <formula>AO27=CléPersonnalisée2</formula>
    </cfRule>
    <cfRule type="expression" dxfId="2733" priority="1346" stopIfTrue="1">
      <formula>AO27=CléPersonnalisée1</formula>
    </cfRule>
    <cfRule type="expression" dxfId="2732" priority="1347" stopIfTrue="1">
      <formula>AO27=CléMaladie</formula>
    </cfRule>
    <cfRule type="expression" dxfId="2731" priority="1348" stopIfTrue="1">
      <formula>AO27=CléPersonnelle</formula>
    </cfRule>
    <cfRule type="expression" dxfId="2730" priority="1349" stopIfTrue="1">
      <formula>AO27=CléCongés</formula>
    </cfRule>
  </conditionalFormatting>
  <conditionalFormatting sqref="AM65:AP66">
    <cfRule type="expression" priority="1090" stopIfTrue="1">
      <formula>AM65=""</formula>
    </cfRule>
    <cfRule type="expression" dxfId="2729" priority="1091" stopIfTrue="1">
      <formula>AM65=CléPersonnalisée2</formula>
    </cfRule>
    <cfRule type="expression" dxfId="2728" priority="1092" stopIfTrue="1">
      <formula>AM65=CléPersonnalisée1</formula>
    </cfRule>
    <cfRule type="expression" dxfId="2727" priority="1093" stopIfTrue="1">
      <formula>AM65=CléMaladie</formula>
    </cfRule>
    <cfRule type="expression" dxfId="2726" priority="1094" stopIfTrue="1">
      <formula>AM65=CléPersonnelle</formula>
    </cfRule>
    <cfRule type="expression" dxfId="2725" priority="1095" stopIfTrue="1">
      <formula>AM65=CléCongés</formula>
    </cfRule>
  </conditionalFormatting>
  <conditionalFormatting sqref="AO35">
    <cfRule type="expression" priority="1332" stopIfTrue="1">
      <formula>AO35=""</formula>
    </cfRule>
    <cfRule type="expression" dxfId="2724" priority="1333" stopIfTrue="1">
      <formula>AO35=CléPersonnalisée2</formula>
    </cfRule>
    <cfRule type="expression" dxfId="2723" priority="1334" stopIfTrue="1">
      <formula>AO35=CléPersonnalisée1</formula>
    </cfRule>
    <cfRule type="expression" dxfId="2722" priority="1335" stopIfTrue="1">
      <formula>AO35=CléMaladie</formula>
    </cfRule>
    <cfRule type="expression" dxfId="2721" priority="1336" stopIfTrue="1">
      <formula>AO35=CléPersonnelle</formula>
    </cfRule>
    <cfRule type="expression" dxfId="2720" priority="1337" stopIfTrue="1">
      <formula>AO35=CléCongés</formula>
    </cfRule>
  </conditionalFormatting>
  <conditionalFormatting sqref="AM67 AP67">
    <cfRule type="expression" priority="1078" stopIfTrue="1">
      <formula>AM67=""</formula>
    </cfRule>
    <cfRule type="expression" dxfId="2719" priority="1079" stopIfTrue="1">
      <formula>AM67=CléPersonnalisée2</formula>
    </cfRule>
    <cfRule type="expression" dxfId="2718" priority="1080" stopIfTrue="1">
      <formula>AM67=CléPersonnalisée1</formula>
    </cfRule>
    <cfRule type="expression" dxfId="2717" priority="1081" stopIfTrue="1">
      <formula>AM67=CléMaladie</formula>
    </cfRule>
    <cfRule type="expression" dxfId="2716" priority="1082" stopIfTrue="1">
      <formula>AM67=CléPersonnelle</formula>
    </cfRule>
    <cfRule type="expression" dxfId="2715" priority="1083" stopIfTrue="1">
      <formula>AM67=CléCongés</formula>
    </cfRule>
  </conditionalFormatting>
  <conditionalFormatting sqref="AO43">
    <cfRule type="expression" priority="1320" stopIfTrue="1">
      <formula>AO43=""</formula>
    </cfRule>
    <cfRule type="expression" dxfId="2714" priority="1321" stopIfTrue="1">
      <formula>AO43=CléPersonnalisée2</formula>
    </cfRule>
    <cfRule type="expression" dxfId="2713" priority="1322" stopIfTrue="1">
      <formula>AO43=CléPersonnalisée1</formula>
    </cfRule>
    <cfRule type="expression" dxfId="2712" priority="1323" stopIfTrue="1">
      <formula>AO43=CléMaladie</formula>
    </cfRule>
    <cfRule type="expression" dxfId="2711" priority="1324" stopIfTrue="1">
      <formula>AO43=CléPersonnelle</formula>
    </cfRule>
    <cfRule type="expression" dxfId="2710" priority="1325" stopIfTrue="1">
      <formula>AO43=CléCongés</formula>
    </cfRule>
  </conditionalFormatting>
  <conditionalFormatting sqref="AO47">
    <cfRule type="expression" priority="1314" stopIfTrue="1">
      <formula>AO47=""</formula>
    </cfRule>
    <cfRule type="expression" dxfId="2709" priority="1315" stopIfTrue="1">
      <formula>AO47=CléPersonnalisée2</formula>
    </cfRule>
    <cfRule type="expression" dxfId="2708" priority="1316" stopIfTrue="1">
      <formula>AO47=CléPersonnalisée1</formula>
    </cfRule>
    <cfRule type="expression" dxfId="2707" priority="1317" stopIfTrue="1">
      <formula>AO47=CléMaladie</formula>
    </cfRule>
    <cfRule type="expression" dxfId="2706" priority="1318" stopIfTrue="1">
      <formula>AO47=CléPersonnelle</formula>
    </cfRule>
    <cfRule type="expression" dxfId="2705" priority="1319" stopIfTrue="1">
      <formula>AO47=CléCongés</formula>
    </cfRule>
  </conditionalFormatting>
  <conditionalFormatting sqref="AO51">
    <cfRule type="expression" priority="1308" stopIfTrue="1">
      <formula>AO51=""</formula>
    </cfRule>
    <cfRule type="expression" dxfId="2704" priority="1309" stopIfTrue="1">
      <formula>AO51=CléPersonnalisée2</formula>
    </cfRule>
    <cfRule type="expression" dxfId="2703" priority="1310" stopIfTrue="1">
      <formula>AO51=CléPersonnalisée1</formula>
    </cfRule>
    <cfRule type="expression" dxfId="2702" priority="1311" stopIfTrue="1">
      <formula>AO51=CléMaladie</formula>
    </cfRule>
    <cfRule type="expression" dxfId="2701" priority="1312" stopIfTrue="1">
      <formula>AO51=CléPersonnelle</formula>
    </cfRule>
    <cfRule type="expression" dxfId="2700" priority="1313" stopIfTrue="1">
      <formula>AO51=CléCongés</formula>
    </cfRule>
  </conditionalFormatting>
  <conditionalFormatting sqref="AO55">
    <cfRule type="expression" priority="1302" stopIfTrue="1">
      <formula>AO55=""</formula>
    </cfRule>
    <cfRule type="expression" dxfId="2699" priority="1303" stopIfTrue="1">
      <formula>AO55=CléPersonnalisée2</formula>
    </cfRule>
    <cfRule type="expression" dxfId="2698" priority="1304" stopIfTrue="1">
      <formula>AO55=CléPersonnalisée1</formula>
    </cfRule>
    <cfRule type="expression" dxfId="2697" priority="1305" stopIfTrue="1">
      <formula>AO55=CléMaladie</formula>
    </cfRule>
    <cfRule type="expression" dxfId="2696" priority="1306" stopIfTrue="1">
      <formula>AO55=CléPersonnelle</formula>
    </cfRule>
    <cfRule type="expression" dxfId="2695" priority="1307" stopIfTrue="1">
      <formula>AO55=CléCongés</formula>
    </cfRule>
  </conditionalFormatting>
  <conditionalFormatting sqref="AO63">
    <cfRule type="expression" priority="1296" stopIfTrue="1">
      <formula>AO63=""</formula>
    </cfRule>
    <cfRule type="expression" dxfId="2694" priority="1297" stopIfTrue="1">
      <formula>AO63=CléPersonnalisée2</formula>
    </cfRule>
    <cfRule type="expression" dxfId="2693" priority="1298" stopIfTrue="1">
      <formula>AO63=CléPersonnalisée1</formula>
    </cfRule>
    <cfRule type="expression" dxfId="2692" priority="1299" stopIfTrue="1">
      <formula>AO63=CléMaladie</formula>
    </cfRule>
    <cfRule type="expression" dxfId="2691" priority="1300" stopIfTrue="1">
      <formula>AO63=CléPersonnelle</formula>
    </cfRule>
    <cfRule type="expression" dxfId="2690" priority="1301" stopIfTrue="1">
      <formula>AO63=CléCongés</formula>
    </cfRule>
  </conditionalFormatting>
  <conditionalFormatting sqref="AO71">
    <cfRule type="expression" priority="1290" stopIfTrue="1">
      <formula>AO71=""</formula>
    </cfRule>
    <cfRule type="expression" dxfId="2689" priority="1291" stopIfTrue="1">
      <formula>AO71=CléPersonnalisée2</formula>
    </cfRule>
    <cfRule type="expression" dxfId="2688" priority="1292" stopIfTrue="1">
      <formula>AO71=CléPersonnalisée1</formula>
    </cfRule>
    <cfRule type="expression" dxfId="2687" priority="1293" stopIfTrue="1">
      <formula>AO71=CléMaladie</formula>
    </cfRule>
    <cfRule type="expression" dxfId="2686" priority="1294" stopIfTrue="1">
      <formula>AO71=CléPersonnelle</formula>
    </cfRule>
    <cfRule type="expression" dxfId="2685" priority="1295" stopIfTrue="1">
      <formula>AO71=CléCongés</formula>
    </cfRule>
  </conditionalFormatting>
  <conditionalFormatting sqref="AI17:AI18">
    <cfRule type="expression" priority="1284" stopIfTrue="1">
      <formula>AI17=""</formula>
    </cfRule>
    <cfRule type="expression" dxfId="2684" priority="1285" stopIfTrue="1">
      <formula>AI17=CléPersonnalisée2</formula>
    </cfRule>
    <cfRule type="expression" dxfId="2683" priority="1286" stopIfTrue="1">
      <formula>AI17=CléPersonnalisée1</formula>
    </cfRule>
    <cfRule type="expression" dxfId="2682" priority="1287" stopIfTrue="1">
      <formula>AI17=CléMaladie</formula>
    </cfRule>
    <cfRule type="expression" dxfId="2681" priority="1288" stopIfTrue="1">
      <formula>AI17=CléPersonnelle</formula>
    </cfRule>
    <cfRule type="expression" dxfId="2680" priority="1289" stopIfTrue="1">
      <formula>AI17=CléCongés</formula>
    </cfRule>
  </conditionalFormatting>
  <conditionalFormatting sqref="AI21:AI22">
    <cfRule type="expression" priority="1278" stopIfTrue="1">
      <formula>AI21=""</formula>
    </cfRule>
    <cfRule type="expression" dxfId="2679" priority="1279" stopIfTrue="1">
      <formula>AI21=CléPersonnalisée2</formula>
    </cfRule>
    <cfRule type="expression" dxfId="2678" priority="1280" stopIfTrue="1">
      <formula>AI21=CléPersonnalisée1</formula>
    </cfRule>
    <cfRule type="expression" dxfId="2677" priority="1281" stopIfTrue="1">
      <formula>AI21=CléMaladie</formula>
    </cfRule>
    <cfRule type="expression" dxfId="2676" priority="1282" stopIfTrue="1">
      <formula>AI21=CléPersonnelle</formula>
    </cfRule>
    <cfRule type="expression" dxfId="2675" priority="1283" stopIfTrue="1">
      <formula>AI21=CléCongés</formula>
    </cfRule>
  </conditionalFormatting>
  <conditionalFormatting sqref="AI29:AI30">
    <cfRule type="expression" priority="1266" stopIfTrue="1">
      <formula>AI29=""</formula>
    </cfRule>
    <cfRule type="expression" dxfId="2674" priority="1267" stopIfTrue="1">
      <formula>AI29=CléPersonnalisée2</formula>
    </cfRule>
    <cfRule type="expression" dxfId="2673" priority="1268" stopIfTrue="1">
      <formula>AI29=CléPersonnalisée1</formula>
    </cfRule>
    <cfRule type="expression" dxfId="2672" priority="1269" stopIfTrue="1">
      <formula>AI29=CléMaladie</formula>
    </cfRule>
    <cfRule type="expression" dxfId="2671" priority="1270" stopIfTrue="1">
      <formula>AI29=CléPersonnelle</formula>
    </cfRule>
    <cfRule type="expression" dxfId="2670" priority="1271" stopIfTrue="1">
      <formula>AI29=CléCongés</formula>
    </cfRule>
  </conditionalFormatting>
  <conditionalFormatting sqref="AI33:AI34">
    <cfRule type="expression" priority="1260" stopIfTrue="1">
      <formula>AI33=""</formula>
    </cfRule>
    <cfRule type="expression" dxfId="2669" priority="1261" stopIfTrue="1">
      <formula>AI33=CléPersonnalisée2</formula>
    </cfRule>
    <cfRule type="expression" dxfId="2668" priority="1262" stopIfTrue="1">
      <formula>AI33=CléPersonnalisée1</formula>
    </cfRule>
    <cfRule type="expression" dxfId="2667" priority="1263" stopIfTrue="1">
      <formula>AI33=CléMaladie</formula>
    </cfRule>
    <cfRule type="expression" dxfId="2666" priority="1264" stopIfTrue="1">
      <formula>AI33=CléPersonnelle</formula>
    </cfRule>
    <cfRule type="expression" dxfId="2665" priority="1265" stopIfTrue="1">
      <formula>AI33=CléCongés</formula>
    </cfRule>
  </conditionalFormatting>
  <conditionalFormatting sqref="AI37:AI38">
    <cfRule type="expression" priority="1254" stopIfTrue="1">
      <formula>AI37=""</formula>
    </cfRule>
    <cfRule type="expression" dxfId="2664" priority="1255" stopIfTrue="1">
      <formula>AI37=CléPersonnalisée2</formula>
    </cfRule>
    <cfRule type="expression" dxfId="2663" priority="1256" stopIfTrue="1">
      <formula>AI37=CléPersonnalisée1</formula>
    </cfRule>
    <cfRule type="expression" dxfId="2662" priority="1257" stopIfTrue="1">
      <formula>AI37=CléMaladie</formula>
    </cfRule>
    <cfRule type="expression" dxfId="2661" priority="1258" stopIfTrue="1">
      <formula>AI37=CléPersonnelle</formula>
    </cfRule>
    <cfRule type="expression" dxfId="2660" priority="1259" stopIfTrue="1">
      <formula>AI37=CléCongés</formula>
    </cfRule>
  </conditionalFormatting>
  <conditionalFormatting sqref="AI41:AI42">
    <cfRule type="expression" priority="1248" stopIfTrue="1">
      <formula>AI41=""</formula>
    </cfRule>
    <cfRule type="expression" dxfId="2659" priority="1249" stopIfTrue="1">
      <formula>AI41=CléPersonnalisée2</formula>
    </cfRule>
    <cfRule type="expression" dxfId="2658" priority="1250" stopIfTrue="1">
      <formula>AI41=CléPersonnalisée1</formula>
    </cfRule>
    <cfRule type="expression" dxfId="2657" priority="1251" stopIfTrue="1">
      <formula>AI41=CléMaladie</formula>
    </cfRule>
    <cfRule type="expression" dxfId="2656" priority="1252" stopIfTrue="1">
      <formula>AI41=CléPersonnelle</formula>
    </cfRule>
    <cfRule type="expression" dxfId="2655" priority="1253" stopIfTrue="1">
      <formula>AI41=CléCongés</formula>
    </cfRule>
  </conditionalFormatting>
  <conditionalFormatting sqref="AI45:AI46">
    <cfRule type="expression" priority="1242" stopIfTrue="1">
      <formula>AI45=""</formula>
    </cfRule>
    <cfRule type="expression" dxfId="2654" priority="1243" stopIfTrue="1">
      <formula>AI45=CléPersonnalisée2</formula>
    </cfRule>
    <cfRule type="expression" dxfId="2653" priority="1244" stopIfTrue="1">
      <formula>AI45=CléPersonnalisée1</formula>
    </cfRule>
    <cfRule type="expression" dxfId="2652" priority="1245" stopIfTrue="1">
      <formula>AI45=CléMaladie</formula>
    </cfRule>
    <cfRule type="expression" dxfId="2651" priority="1246" stopIfTrue="1">
      <formula>AI45=CléPersonnelle</formula>
    </cfRule>
    <cfRule type="expression" dxfId="2650" priority="1247" stopIfTrue="1">
      <formula>AI45=CléCongés</formula>
    </cfRule>
  </conditionalFormatting>
  <conditionalFormatting sqref="AI49:AI50">
    <cfRule type="expression" priority="1236" stopIfTrue="1">
      <formula>AI49=""</formula>
    </cfRule>
    <cfRule type="expression" dxfId="2649" priority="1237" stopIfTrue="1">
      <formula>AI49=CléPersonnalisée2</formula>
    </cfRule>
    <cfRule type="expression" dxfId="2648" priority="1238" stopIfTrue="1">
      <formula>AI49=CléPersonnalisée1</formula>
    </cfRule>
    <cfRule type="expression" dxfId="2647" priority="1239" stopIfTrue="1">
      <formula>AI49=CléMaladie</formula>
    </cfRule>
    <cfRule type="expression" dxfId="2646" priority="1240" stopIfTrue="1">
      <formula>AI49=CléPersonnelle</formula>
    </cfRule>
    <cfRule type="expression" dxfId="2645" priority="1241" stopIfTrue="1">
      <formula>AI49=CléCongés</formula>
    </cfRule>
  </conditionalFormatting>
  <conditionalFormatting sqref="AI53:AI54">
    <cfRule type="expression" priority="1230" stopIfTrue="1">
      <formula>AI53=""</formula>
    </cfRule>
    <cfRule type="expression" dxfId="2644" priority="1231" stopIfTrue="1">
      <formula>AI53=CléPersonnalisée2</formula>
    </cfRule>
    <cfRule type="expression" dxfId="2643" priority="1232" stopIfTrue="1">
      <formula>AI53=CléPersonnalisée1</formula>
    </cfRule>
    <cfRule type="expression" dxfId="2642" priority="1233" stopIfTrue="1">
      <formula>AI53=CléMaladie</formula>
    </cfRule>
    <cfRule type="expression" dxfId="2641" priority="1234" stopIfTrue="1">
      <formula>AI53=CléPersonnelle</formula>
    </cfRule>
    <cfRule type="expression" dxfId="2640" priority="1235" stopIfTrue="1">
      <formula>AI53=CléCongés</formula>
    </cfRule>
  </conditionalFormatting>
  <conditionalFormatting sqref="AI61:AI62">
    <cfRule type="expression" priority="1224" stopIfTrue="1">
      <formula>AI61=""</formula>
    </cfRule>
    <cfRule type="expression" dxfId="2639" priority="1225" stopIfTrue="1">
      <formula>AI61=CléPersonnalisée2</formula>
    </cfRule>
    <cfRule type="expression" dxfId="2638" priority="1226" stopIfTrue="1">
      <formula>AI61=CléPersonnalisée1</formula>
    </cfRule>
    <cfRule type="expression" dxfId="2637" priority="1227" stopIfTrue="1">
      <formula>AI61=CléMaladie</formula>
    </cfRule>
    <cfRule type="expression" dxfId="2636" priority="1228" stopIfTrue="1">
      <formula>AI61=CléPersonnelle</formula>
    </cfRule>
    <cfRule type="expression" dxfId="2635" priority="1229" stopIfTrue="1">
      <formula>AI61=CléCongés</formula>
    </cfRule>
  </conditionalFormatting>
  <conditionalFormatting sqref="AI69:AI70">
    <cfRule type="expression" priority="1218" stopIfTrue="1">
      <formula>AI69=""</formula>
    </cfRule>
    <cfRule type="expression" dxfId="2634" priority="1219" stopIfTrue="1">
      <formula>AI69=CléPersonnalisée2</formula>
    </cfRule>
    <cfRule type="expression" dxfId="2633" priority="1220" stopIfTrue="1">
      <formula>AI69=CléPersonnalisée1</formula>
    </cfRule>
    <cfRule type="expression" dxfId="2632" priority="1221" stopIfTrue="1">
      <formula>AI69=CléMaladie</formula>
    </cfRule>
    <cfRule type="expression" dxfId="2631" priority="1222" stopIfTrue="1">
      <formula>AI69=CléPersonnelle</formula>
    </cfRule>
    <cfRule type="expression" dxfId="2630" priority="1223" stopIfTrue="1">
      <formula>AI69=CléCongés</formula>
    </cfRule>
  </conditionalFormatting>
  <conditionalFormatting sqref="AN11">
    <cfRule type="expression" priority="1212" stopIfTrue="1">
      <formula>AN11=""</formula>
    </cfRule>
    <cfRule type="expression" dxfId="2629" priority="1213" stopIfTrue="1">
      <formula>AN11=CléPersonnalisée2</formula>
    </cfRule>
    <cfRule type="expression" dxfId="2628" priority="1214" stopIfTrue="1">
      <formula>AN11=CléPersonnalisée1</formula>
    </cfRule>
    <cfRule type="expression" dxfId="2627" priority="1215" stopIfTrue="1">
      <formula>AN11=CléMaladie</formula>
    </cfRule>
    <cfRule type="expression" dxfId="2626" priority="1216" stopIfTrue="1">
      <formula>AN11=CléPersonnelle</formula>
    </cfRule>
    <cfRule type="expression" dxfId="2625" priority="1217" stopIfTrue="1">
      <formula>AN11=CléCongés</formula>
    </cfRule>
  </conditionalFormatting>
  <conditionalFormatting sqref="AN19">
    <cfRule type="expression" priority="1206" stopIfTrue="1">
      <formula>AN19=""</formula>
    </cfRule>
    <cfRule type="expression" dxfId="2624" priority="1207" stopIfTrue="1">
      <formula>AN19=CléPersonnalisée2</formula>
    </cfRule>
    <cfRule type="expression" dxfId="2623" priority="1208" stopIfTrue="1">
      <formula>AN19=CléPersonnalisée1</formula>
    </cfRule>
    <cfRule type="expression" dxfId="2622" priority="1209" stopIfTrue="1">
      <formula>AN19=CléMaladie</formula>
    </cfRule>
    <cfRule type="expression" dxfId="2621" priority="1210" stopIfTrue="1">
      <formula>AN19=CléPersonnelle</formula>
    </cfRule>
    <cfRule type="expression" dxfId="2620" priority="1211" stopIfTrue="1">
      <formula>AN19=CléCongés</formula>
    </cfRule>
  </conditionalFormatting>
  <conditionalFormatting sqref="AN23">
    <cfRule type="expression" priority="1200" stopIfTrue="1">
      <formula>AN23=""</formula>
    </cfRule>
    <cfRule type="expression" dxfId="2619" priority="1201" stopIfTrue="1">
      <formula>AN23=CléPersonnalisée2</formula>
    </cfRule>
    <cfRule type="expression" dxfId="2618" priority="1202" stopIfTrue="1">
      <formula>AN23=CléPersonnalisée1</formula>
    </cfRule>
    <cfRule type="expression" dxfId="2617" priority="1203" stopIfTrue="1">
      <formula>AN23=CléMaladie</formula>
    </cfRule>
    <cfRule type="expression" dxfId="2616" priority="1204" stopIfTrue="1">
      <formula>AN23=CléPersonnelle</formula>
    </cfRule>
    <cfRule type="expression" dxfId="2615" priority="1205" stopIfTrue="1">
      <formula>AN23=CléCongés</formula>
    </cfRule>
  </conditionalFormatting>
  <conditionalFormatting sqref="AN27">
    <cfRule type="expression" priority="1194" stopIfTrue="1">
      <formula>AN27=""</formula>
    </cfRule>
    <cfRule type="expression" dxfId="2614" priority="1195" stopIfTrue="1">
      <formula>AN27=CléPersonnalisée2</formula>
    </cfRule>
    <cfRule type="expression" dxfId="2613" priority="1196" stopIfTrue="1">
      <formula>AN27=CléPersonnalisée1</formula>
    </cfRule>
    <cfRule type="expression" dxfId="2612" priority="1197" stopIfTrue="1">
      <formula>AN27=CléMaladie</formula>
    </cfRule>
    <cfRule type="expression" dxfId="2611" priority="1198" stopIfTrue="1">
      <formula>AN27=CléPersonnelle</formula>
    </cfRule>
    <cfRule type="expression" dxfId="2610" priority="1199" stopIfTrue="1">
      <formula>AN27=CléCongés</formula>
    </cfRule>
  </conditionalFormatting>
  <conditionalFormatting sqref="AN31">
    <cfRule type="expression" priority="1188" stopIfTrue="1">
      <formula>AN31=""</formula>
    </cfRule>
    <cfRule type="expression" dxfId="2609" priority="1189" stopIfTrue="1">
      <formula>AN31=CléPersonnalisée2</formula>
    </cfRule>
    <cfRule type="expression" dxfId="2608" priority="1190" stopIfTrue="1">
      <formula>AN31=CléPersonnalisée1</formula>
    </cfRule>
    <cfRule type="expression" dxfId="2607" priority="1191" stopIfTrue="1">
      <formula>AN31=CléMaladie</formula>
    </cfRule>
    <cfRule type="expression" dxfId="2606" priority="1192" stopIfTrue="1">
      <formula>AN31=CléPersonnelle</formula>
    </cfRule>
    <cfRule type="expression" dxfId="2605" priority="1193" stopIfTrue="1">
      <formula>AN31=CléCongés</formula>
    </cfRule>
  </conditionalFormatting>
  <conditionalFormatting sqref="AN35">
    <cfRule type="expression" priority="1182" stopIfTrue="1">
      <formula>AN35=""</formula>
    </cfRule>
    <cfRule type="expression" dxfId="2604" priority="1183" stopIfTrue="1">
      <formula>AN35=CléPersonnalisée2</formula>
    </cfRule>
    <cfRule type="expression" dxfId="2603" priority="1184" stopIfTrue="1">
      <formula>AN35=CléPersonnalisée1</formula>
    </cfRule>
    <cfRule type="expression" dxfId="2602" priority="1185" stopIfTrue="1">
      <formula>AN35=CléMaladie</formula>
    </cfRule>
    <cfRule type="expression" dxfId="2601" priority="1186" stopIfTrue="1">
      <formula>AN35=CléPersonnelle</formula>
    </cfRule>
    <cfRule type="expression" dxfId="2600" priority="1187" stopIfTrue="1">
      <formula>AN35=CléCongés</formula>
    </cfRule>
  </conditionalFormatting>
  <conditionalFormatting sqref="AN39">
    <cfRule type="expression" priority="1176" stopIfTrue="1">
      <formula>AN39=""</formula>
    </cfRule>
    <cfRule type="expression" dxfId="2599" priority="1177" stopIfTrue="1">
      <formula>AN39=CléPersonnalisée2</formula>
    </cfRule>
    <cfRule type="expression" dxfId="2598" priority="1178" stopIfTrue="1">
      <formula>AN39=CléPersonnalisée1</formula>
    </cfRule>
    <cfRule type="expression" dxfId="2597" priority="1179" stopIfTrue="1">
      <formula>AN39=CléMaladie</formula>
    </cfRule>
    <cfRule type="expression" dxfId="2596" priority="1180" stopIfTrue="1">
      <formula>AN39=CléPersonnelle</formula>
    </cfRule>
    <cfRule type="expression" dxfId="2595" priority="1181" stopIfTrue="1">
      <formula>AN39=CléCongés</formula>
    </cfRule>
  </conditionalFormatting>
  <conditionalFormatting sqref="AN43">
    <cfRule type="expression" priority="1170" stopIfTrue="1">
      <formula>AN43=""</formula>
    </cfRule>
    <cfRule type="expression" dxfId="2594" priority="1171" stopIfTrue="1">
      <formula>AN43=CléPersonnalisée2</formula>
    </cfRule>
    <cfRule type="expression" dxfId="2593" priority="1172" stopIfTrue="1">
      <formula>AN43=CléPersonnalisée1</formula>
    </cfRule>
    <cfRule type="expression" dxfId="2592" priority="1173" stopIfTrue="1">
      <formula>AN43=CléMaladie</formula>
    </cfRule>
    <cfRule type="expression" dxfId="2591" priority="1174" stopIfTrue="1">
      <formula>AN43=CléPersonnelle</formula>
    </cfRule>
    <cfRule type="expression" dxfId="2590" priority="1175" stopIfTrue="1">
      <formula>AN43=CléCongés</formula>
    </cfRule>
  </conditionalFormatting>
  <conditionalFormatting sqref="AN47">
    <cfRule type="expression" priority="1164" stopIfTrue="1">
      <formula>AN47=""</formula>
    </cfRule>
    <cfRule type="expression" dxfId="2589" priority="1165" stopIfTrue="1">
      <formula>AN47=CléPersonnalisée2</formula>
    </cfRule>
    <cfRule type="expression" dxfId="2588" priority="1166" stopIfTrue="1">
      <formula>AN47=CléPersonnalisée1</formula>
    </cfRule>
    <cfRule type="expression" dxfId="2587" priority="1167" stopIfTrue="1">
      <formula>AN47=CléMaladie</formula>
    </cfRule>
    <cfRule type="expression" dxfId="2586" priority="1168" stopIfTrue="1">
      <formula>AN47=CléPersonnelle</formula>
    </cfRule>
    <cfRule type="expression" dxfId="2585" priority="1169" stopIfTrue="1">
      <formula>AN47=CléCongés</formula>
    </cfRule>
  </conditionalFormatting>
  <conditionalFormatting sqref="AN51">
    <cfRule type="expression" priority="1158" stopIfTrue="1">
      <formula>AN51=""</formula>
    </cfRule>
    <cfRule type="expression" dxfId="2584" priority="1159" stopIfTrue="1">
      <formula>AN51=CléPersonnalisée2</formula>
    </cfRule>
    <cfRule type="expression" dxfId="2583" priority="1160" stopIfTrue="1">
      <formula>AN51=CléPersonnalisée1</formula>
    </cfRule>
    <cfRule type="expression" dxfId="2582" priority="1161" stopIfTrue="1">
      <formula>AN51=CléMaladie</formula>
    </cfRule>
    <cfRule type="expression" dxfId="2581" priority="1162" stopIfTrue="1">
      <formula>AN51=CléPersonnelle</formula>
    </cfRule>
    <cfRule type="expression" dxfId="2580" priority="1163" stopIfTrue="1">
      <formula>AN51=CléCongés</formula>
    </cfRule>
  </conditionalFormatting>
  <conditionalFormatting sqref="AN55">
    <cfRule type="expression" priority="1152" stopIfTrue="1">
      <formula>AN55=""</formula>
    </cfRule>
    <cfRule type="expression" dxfId="2579" priority="1153" stopIfTrue="1">
      <formula>AN55=CléPersonnalisée2</formula>
    </cfRule>
    <cfRule type="expression" dxfId="2578" priority="1154" stopIfTrue="1">
      <formula>AN55=CléPersonnalisée1</formula>
    </cfRule>
    <cfRule type="expression" dxfId="2577" priority="1155" stopIfTrue="1">
      <formula>AN55=CléMaladie</formula>
    </cfRule>
    <cfRule type="expression" dxfId="2576" priority="1156" stopIfTrue="1">
      <formula>AN55=CléPersonnelle</formula>
    </cfRule>
    <cfRule type="expression" dxfId="2575" priority="1157" stopIfTrue="1">
      <formula>AN55=CléCongés</formula>
    </cfRule>
  </conditionalFormatting>
  <conditionalFormatting sqref="AN63">
    <cfRule type="expression" priority="1146" stopIfTrue="1">
      <formula>AN63=""</formula>
    </cfRule>
    <cfRule type="expression" dxfId="2574" priority="1147" stopIfTrue="1">
      <formula>AN63=CléPersonnalisée2</formula>
    </cfRule>
    <cfRule type="expression" dxfId="2573" priority="1148" stopIfTrue="1">
      <formula>AN63=CléPersonnalisée1</formula>
    </cfRule>
    <cfRule type="expression" dxfId="2572" priority="1149" stopIfTrue="1">
      <formula>AN63=CléMaladie</formula>
    </cfRule>
    <cfRule type="expression" dxfId="2571" priority="1150" stopIfTrue="1">
      <formula>AN63=CléPersonnelle</formula>
    </cfRule>
    <cfRule type="expression" dxfId="2570" priority="1151" stopIfTrue="1">
      <formula>AN63=CléCongés</formula>
    </cfRule>
  </conditionalFormatting>
  <conditionalFormatting sqref="AN71">
    <cfRule type="expression" priority="1140" stopIfTrue="1">
      <formula>AN71=""</formula>
    </cfRule>
    <cfRule type="expression" dxfId="2569" priority="1141" stopIfTrue="1">
      <formula>AN71=CléPersonnalisée2</formula>
    </cfRule>
    <cfRule type="expression" dxfId="2568" priority="1142" stopIfTrue="1">
      <formula>AN71=CléPersonnalisée1</formula>
    </cfRule>
    <cfRule type="expression" dxfId="2567" priority="1143" stopIfTrue="1">
      <formula>AN71=CléMaladie</formula>
    </cfRule>
    <cfRule type="expression" dxfId="2566" priority="1144" stopIfTrue="1">
      <formula>AN71=CléPersonnelle</formula>
    </cfRule>
    <cfRule type="expression" dxfId="2565" priority="1145" stopIfTrue="1">
      <formula>AN71=CléCongés</formula>
    </cfRule>
  </conditionalFormatting>
  <conditionalFormatting sqref="AH7">
    <cfRule type="dataBar" priority="1139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{B8FEA7B5-F0FD-47A1-B043-F150B3410DA5}</x14:id>
        </ext>
      </extLst>
    </cfRule>
  </conditionalFormatting>
  <conditionalFormatting sqref="AI7:AL7">
    <cfRule type="expression" priority="1133" stopIfTrue="1">
      <formula>AI7=""</formula>
    </cfRule>
    <cfRule type="expression" dxfId="2564" priority="1134" stopIfTrue="1">
      <formula>AI7=CléPersonnalisée2</formula>
    </cfRule>
    <cfRule type="expression" dxfId="2563" priority="1135" stopIfTrue="1">
      <formula>AI7=CléPersonnalisée1</formula>
    </cfRule>
    <cfRule type="expression" dxfId="2562" priority="1136" stopIfTrue="1">
      <formula>AI7=CléMaladie</formula>
    </cfRule>
    <cfRule type="expression" dxfId="2561" priority="1137" stopIfTrue="1">
      <formula>AI7=CléPersonnelle</formula>
    </cfRule>
    <cfRule type="expression" dxfId="2560" priority="1138" stopIfTrue="1">
      <formula>AI7=CléCongés</formula>
    </cfRule>
  </conditionalFormatting>
  <conditionalFormatting sqref="AM7">
    <cfRule type="expression" priority="1127" stopIfTrue="1">
      <formula>AM7=""</formula>
    </cfRule>
    <cfRule type="expression" dxfId="2559" priority="1128" stopIfTrue="1">
      <formula>AM7=CléPersonnalisée2</formula>
    </cfRule>
    <cfRule type="expression" dxfId="2558" priority="1129" stopIfTrue="1">
      <formula>AM7=CléPersonnalisée1</formula>
    </cfRule>
    <cfRule type="expression" dxfId="2557" priority="1130" stopIfTrue="1">
      <formula>AM7=CléMaladie</formula>
    </cfRule>
    <cfRule type="expression" dxfId="2556" priority="1131" stopIfTrue="1">
      <formula>AM7=CléPersonnelle</formula>
    </cfRule>
    <cfRule type="expression" dxfId="2555" priority="1132" stopIfTrue="1">
      <formula>AM7=CléCongés</formula>
    </cfRule>
  </conditionalFormatting>
  <conditionalFormatting sqref="AO7">
    <cfRule type="expression" priority="1121" stopIfTrue="1">
      <formula>AO7=""</formula>
    </cfRule>
    <cfRule type="expression" dxfId="2554" priority="1122" stopIfTrue="1">
      <formula>AO7=CléPersonnalisée2</formula>
    </cfRule>
    <cfRule type="expression" dxfId="2553" priority="1123" stopIfTrue="1">
      <formula>AO7=CléPersonnalisée1</formula>
    </cfRule>
    <cfRule type="expression" dxfId="2552" priority="1124" stopIfTrue="1">
      <formula>AO7=CléMaladie</formula>
    </cfRule>
    <cfRule type="expression" dxfId="2551" priority="1125" stopIfTrue="1">
      <formula>AO7=CléPersonnelle</formula>
    </cfRule>
    <cfRule type="expression" dxfId="2550" priority="1126" stopIfTrue="1">
      <formula>AO7=CléCongés</formula>
    </cfRule>
  </conditionalFormatting>
  <conditionalFormatting sqref="AN7">
    <cfRule type="expression" priority="1115" stopIfTrue="1">
      <formula>AN7=""</formula>
    </cfRule>
    <cfRule type="expression" dxfId="2549" priority="1116" stopIfTrue="1">
      <formula>AN7=CléPersonnalisée2</formula>
    </cfRule>
    <cfRule type="expression" dxfId="2548" priority="1117" stopIfTrue="1">
      <formula>AN7=CléPersonnalisée1</formula>
    </cfRule>
    <cfRule type="expression" dxfId="2547" priority="1118" stopIfTrue="1">
      <formula>AN7=CléMaladie</formula>
    </cfRule>
    <cfRule type="expression" dxfId="2546" priority="1119" stopIfTrue="1">
      <formula>AN7=CléPersonnelle</formula>
    </cfRule>
    <cfRule type="expression" dxfId="2545" priority="1120" stopIfTrue="1">
      <formula>AN7=CléCongés</formula>
    </cfRule>
  </conditionalFormatting>
  <conditionalFormatting sqref="AQ7">
    <cfRule type="expression" priority="1109" stopIfTrue="1">
      <formula>AQ7=""</formula>
    </cfRule>
    <cfRule type="expression" dxfId="2544" priority="1110" stopIfTrue="1">
      <formula>AQ7=CléPersonnalisée2</formula>
    </cfRule>
    <cfRule type="expression" dxfId="2543" priority="1111" stopIfTrue="1">
      <formula>AQ7=CléPersonnalisée1</formula>
    </cfRule>
    <cfRule type="expression" dxfId="2542" priority="1112" stopIfTrue="1">
      <formula>AQ7=CléMaladie</formula>
    </cfRule>
    <cfRule type="expression" dxfId="2541" priority="1113" stopIfTrue="1">
      <formula>AQ7=CléPersonnelle</formula>
    </cfRule>
    <cfRule type="expression" dxfId="2540" priority="1114" stopIfTrue="1">
      <formula>AQ7=CléCongés</formula>
    </cfRule>
  </conditionalFormatting>
  <conditionalFormatting sqref="AQ71">
    <cfRule type="expression" priority="891" stopIfTrue="1">
      <formula>AQ71=""</formula>
    </cfRule>
    <cfRule type="expression" dxfId="2539" priority="892" stopIfTrue="1">
      <formula>AQ71=CléPersonnalisée2</formula>
    </cfRule>
    <cfRule type="expression" dxfId="2538" priority="893" stopIfTrue="1">
      <formula>AQ71=CléPersonnalisée1</formula>
    </cfRule>
    <cfRule type="expression" dxfId="2537" priority="894" stopIfTrue="1">
      <formula>AQ71=CléMaladie</formula>
    </cfRule>
    <cfRule type="expression" dxfId="2536" priority="895" stopIfTrue="1">
      <formula>AQ71=CléPersonnelle</formula>
    </cfRule>
    <cfRule type="expression" dxfId="2535" priority="896" stopIfTrue="1">
      <formula>AQ71=CléCongés</formula>
    </cfRule>
  </conditionalFormatting>
  <conditionalFormatting sqref="AQ75">
    <cfRule type="expression" priority="841" stopIfTrue="1">
      <formula>AQ75=""</formula>
    </cfRule>
    <cfRule type="expression" dxfId="2534" priority="842" stopIfTrue="1">
      <formula>AQ75=CléPersonnalisée2</formula>
    </cfRule>
    <cfRule type="expression" dxfId="2533" priority="843" stopIfTrue="1">
      <formula>AQ75=CléPersonnalisée1</formula>
    </cfRule>
    <cfRule type="expression" dxfId="2532" priority="844" stopIfTrue="1">
      <formula>AQ75=CléMaladie</formula>
    </cfRule>
    <cfRule type="expression" dxfId="2531" priority="845" stopIfTrue="1">
      <formula>AQ75=CléPersonnelle</formula>
    </cfRule>
    <cfRule type="expression" dxfId="2530" priority="846" stopIfTrue="1">
      <formula>AQ75=CléCongés</formula>
    </cfRule>
  </conditionalFormatting>
  <conditionalFormatting sqref="AQ83">
    <cfRule type="expression" priority="779" stopIfTrue="1">
      <formula>AQ83=""</formula>
    </cfRule>
    <cfRule type="expression" dxfId="2529" priority="780" stopIfTrue="1">
      <formula>AQ83=CléPersonnalisée2</formula>
    </cfRule>
    <cfRule type="expression" dxfId="2528" priority="781" stopIfTrue="1">
      <formula>AQ83=CléPersonnalisée1</formula>
    </cfRule>
    <cfRule type="expression" dxfId="2527" priority="782" stopIfTrue="1">
      <formula>AQ83=CléMaladie</formula>
    </cfRule>
    <cfRule type="expression" dxfId="2526" priority="783" stopIfTrue="1">
      <formula>AQ83=CléPersonnelle</formula>
    </cfRule>
    <cfRule type="expression" dxfId="2525" priority="784" stopIfTrue="1">
      <formula>AQ83=CléCongés</formula>
    </cfRule>
  </conditionalFormatting>
  <conditionalFormatting sqref="AQ91">
    <cfRule type="expression" priority="655" stopIfTrue="1">
      <formula>AQ91=""</formula>
    </cfRule>
    <cfRule type="expression" dxfId="2524" priority="656" stopIfTrue="1">
      <formula>AQ91=CléPersonnalisée2</formula>
    </cfRule>
    <cfRule type="expression" dxfId="2523" priority="657" stopIfTrue="1">
      <formula>AQ91=CléPersonnalisée1</formula>
    </cfRule>
    <cfRule type="expression" dxfId="2522" priority="658" stopIfTrue="1">
      <formula>AQ91=CléMaladie</formula>
    </cfRule>
    <cfRule type="expression" dxfId="2521" priority="659" stopIfTrue="1">
      <formula>AQ91=CléPersonnelle</formula>
    </cfRule>
    <cfRule type="expression" dxfId="2520" priority="660" stopIfTrue="1">
      <formula>AQ91=CléCongés</formula>
    </cfRule>
  </conditionalFormatting>
  <conditionalFormatting sqref="C65:AG67">
    <cfRule type="expression" priority="1102" stopIfTrue="1">
      <formula>C65=""</formula>
    </cfRule>
    <cfRule type="expression" dxfId="2519" priority="1103" stopIfTrue="1">
      <formula>C65=CléPersonnalisée2</formula>
    </cfRule>
    <cfRule type="expression" dxfId="2518" priority="1104" stopIfTrue="1">
      <formula>C65=CléPersonnalisée1</formula>
    </cfRule>
    <cfRule type="expression" dxfId="2517" priority="1105" stopIfTrue="1">
      <formula>C65=CléMaladie</formula>
    </cfRule>
    <cfRule type="expression" dxfId="2516" priority="1106" stopIfTrue="1">
      <formula>C65=CléPersonnelle</formula>
    </cfRule>
    <cfRule type="expression" dxfId="2515" priority="1107" stopIfTrue="1">
      <formula>C65=CléCongés</formula>
    </cfRule>
  </conditionalFormatting>
  <conditionalFormatting sqref="AH67">
    <cfRule type="dataBar" priority="1108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{A7F68FE2-04C7-4AA4-93B2-C089B5E2708C}</x14:id>
        </ext>
      </extLst>
    </cfRule>
  </conditionalFormatting>
  <conditionalFormatting sqref="AI67:AL67 AJ65:AL66">
    <cfRule type="expression" priority="1096" stopIfTrue="1">
      <formula>AI65=""</formula>
    </cfRule>
    <cfRule type="expression" dxfId="2514" priority="1097" stopIfTrue="1">
      <formula>AI65=CléPersonnalisée2</formula>
    </cfRule>
    <cfRule type="expression" dxfId="2513" priority="1098" stopIfTrue="1">
      <formula>AI65=CléPersonnalisée1</formula>
    </cfRule>
    <cfRule type="expression" dxfId="2512" priority="1099" stopIfTrue="1">
      <formula>AI65=CléMaladie</formula>
    </cfRule>
    <cfRule type="expression" dxfId="2511" priority="1100" stopIfTrue="1">
      <formula>AI65=CléPersonnelle</formula>
    </cfRule>
    <cfRule type="expression" dxfId="2510" priority="1101" stopIfTrue="1">
      <formula>AI65=CléCongés</formula>
    </cfRule>
  </conditionalFormatting>
  <conditionalFormatting sqref="AQ65:AR66">
    <cfRule type="expression" priority="1084" stopIfTrue="1">
      <formula>AQ65=""</formula>
    </cfRule>
    <cfRule type="expression" dxfId="2509" priority="1085" stopIfTrue="1">
      <formula>AQ65=CléPersonnalisée2</formula>
    </cfRule>
    <cfRule type="expression" dxfId="2508" priority="1086" stopIfTrue="1">
      <formula>AQ65=CléPersonnalisée1</formula>
    </cfRule>
    <cfRule type="expression" dxfId="2507" priority="1087" stopIfTrue="1">
      <formula>AQ65=CléMaladie</formula>
    </cfRule>
    <cfRule type="expression" dxfId="2506" priority="1088" stopIfTrue="1">
      <formula>AQ65=CléPersonnelle</formula>
    </cfRule>
    <cfRule type="expression" dxfId="2505" priority="1089" stopIfTrue="1">
      <formula>AQ65=CléCongés</formula>
    </cfRule>
  </conditionalFormatting>
  <conditionalFormatting sqref="AH65:AH66">
    <cfRule type="dataBar" priority="1077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{FBCBFA4D-9263-49D8-A0BE-3A0B24B5A58F}</x14:id>
        </ext>
      </extLst>
    </cfRule>
  </conditionalFormatting>
  <conditionalFormatting sqref="AO67">
    <cfRule type="expression" priority="1071" stopIfTrue="1">
      <formula>AO67=""</formula>
    </cfRule>
    <cfRule type="expression" dxfId="2504" priority="1072" stopIfTrue="1">
      <formula>AO67=CléPersonnalisée2</formula>
    </cfRule>
    <cfRule type="expression" dxfId="2503" priority="1073" stopIfTrue="1">
      <formula>AO67=CléPersonnalisée1</formula>
    </cfRule>
    <cfRule type="expression" dxfId="2502" priority="1074" stopIfTrue="1">
      <formula>AO67=CléMaladie</formula>
    </cfRule>
    <cfRule type="expression" dxfId="2501" priority="1075" stopIfTrue="1">
      <formula>AO67=CléPersonnelle</formula>
    </cfRule>
    <cfRule type="expression" dxfId="2500" priority="1076" stopIfTrue="1">
      <formula>AO67=CléCongés</formula>
    </cfRule>
  </conditionalFormatting>
  <conditionalFormatting sqref="AI65:AI66">
    <cfRule type="expression" priority="1065" stopIfTrue="1">
      <formula>AI65=""</formula>
    </cfRule>
    <cfRule type="expression" dxfId="2499" priority="1066" stopIfTrue="1">
      <formula>AI65=CléPersonnalisée2</formula>
    </cfRule>
    <cfRule type="expression" dxfId="2498" priority="1067" stopIfTrue="1">
      <formula>AI65=CléPersonnalisée1</formula>
    </cfRule>
    <cfRule type="expression" dxfId="2497" priority="1068" stopIfTrue="1">
      <formula>AI65=CléMaladie</formula>
    </cfRule>
    <cfRule type="expression" dxfId="2496" priority="1069" stopIfTrue="1">
      <formula>AI65=CléPersonnelle</formula>
    </cfRule>
    <cfRule type="expression" dxfId="2495" priority="1070" stopIfTrue="1">
      <formula>AI65=CléCongés</formula>
    </cfRule>
  </conditionalFormatting>
  <conditionalFormatting sqref="AN67">
    <cfRule type="expression" priority="1059" stopIfTrue="1">
      <formula>AN67=""</formula>
    </cfRule>
    <cfRule type="expression" dxfId="2494" priority="1060" stopIfTrue="1">
      <formula>AN67=CléPersonnalisée2</formula>
    </cfRule>
    <cfRule type="expression" dxfId="2493" priority="1061" stopIfTrue="1">
      <formula>AN67=CléPersonnalisée1</formula>
    </cfRule>
    <cfRule type="expression" dxfId="2492" priority="1062" stopIfTrue="1">
      <formula>AN67=CléMaladie</formula>
    </cfRule>
    <cfRule type="expression" dxfId="2491" priority="1063" stopIfTrue="1">
      <formula>AN67=CléPersonnelle</formula>
    </cfRule>
    <cfRule type="expression" dxfId="2490" priority="1064" stopIfTrue="1">
      <formula>AN67=CléCongés</formula>
    </cfRule>
  </conditionalFormatting>
  <conditionalFormatting sqref="AR11">
    <cfRule type="expression" priority="1053" stopIfTrue="1">
      <formula>AR11=""</formula>
    </cfRule>
    <cfRule type="expression" dxfId="2489" priority="1054" stopIfTrue="1">
      <formula>AR11=CléPersonnalisée2</formula>
    </cfRule>
    <cfRule type="expression" dxfId="2488" priority="1055" stopIfTrue="1">
      <formula>AR11=CléPersonnalisée1</formula>
    </cfRule>
    <cfRule type="expression" dxfId="2487" priority="1056" stopIfTrue="1">
      <formula>AR11=CléMaladie</formula>
    </cfRule>
    <cfRule type="expression" dxfId="2486" priority="1057" stopIfTrue="1">
      <formula>AR11=CléPersonnelle</formula>
    </cfRule>
    <cfRule type="expression" dxfId="2485" priority="1058" stopIfTrue="1">
      <formula>AR11=CléCongés</formula>
    </cfRule>
  </conditionalFormatting>
  <conditionalFormatting sqref="AQ11">
    <cfRule type="expression" priority="1047" stopIfTrue="1">
      <formula>AQ11=""</formula>
    </cfRule>
    <cfRule type="expression" dxfId="2484" priority="1048" stopIfTrue="1">
      <formula>AQ11=CléPersonnalisée2</formula>
    </cfRule>
    <cfRule type="expression" dxfId="2483" priority="1049" stopIfTrue="1">
      <formula>AQ11=CléPersonnalisée1</formula>
    </cfRule>
    <cfRule type="expression" dxfId="2482" priority="1050" stopIfTrue="1">
      <formula>AQ11=CléMaladie</formula>
    </cfRule>
    <cfRule type="expression" dxfId="2481" priority="1051" stopIfTrue="1">
      <formula>AQ11=CléPersonnelle</formula>
    </cfRule>
    <cfRule type="expression" dxfId="2480" priority="1052" stopIfTrue="1">
      <formula>AQ11=CléCongés</formula>
    </cfRule>
  </conditionalFormatting>
  <conditionalFormatting sqref="AR19">
    <cfRule type="expression" priority="1041" stopIfTrue="1">
      <formula>AR19=""</formula>
    </cfRule>
    <cfRule type="expression" dxfId="2479" priority="1042" stopIfTrue="1">
      <formula>AR19=CléPersonnalisée2</formula>
    </cfRule>
    <cfRule type="expression" dxfId="2478" priority="1043" stopIfTrue="1">
      <formula>AR19=CléPersonnalisée1</formula>
    </cfRule>
    <cfRule type="expression" dxfId="2477" priority="1044" stopIfTrue="1">
      <formula>AR19=CléMaladie</formula>
    </cfRule>
    <cfRule type="expression" dxfId="2476" priority="1045" stopIfTrue="1">
      <formula>AR19=CléPersonnelle</formula>
    </cfRule>
    <cfRule type="expression" dxfId="2475" priority="1046" stopIfTrue="1">
      <formula>AR19=CléCongés</formula>
    </cfRule>
  </conditionalFormatting>
  <conditionalFormatting sqref="AQ19">
    <cfRule type="expression" priority="1035" stopIfTrue="1">
      <formula>AQ19=""</formula>
    </cfRule>
    <cfRule type="expression" dxfId="2474" priority="1036" stopIfTrue="1">
      <formula>AQ19=CléPersonnalisée2</formula>
    </cfRule>
    <cfRule type="expression" dxfId="2473" priority="1037" stopIfTrue="1">
      <formula>AQ19=CléPersonnalisée1</formula>
    </cfRule>
    <cfRule type="expression" dxfId="2472" priority="1038" stopIfTrue="1">
      <formula>AQ19=CléMaladie</formula>
    </cfRule>
    <cfRule type="expression" dxfId="2471" priority="1039" stopIfTrue="1">
      <formula>AQ19=CléPersonnelle</formula>
    </cfRule>
    <cfRule type="expression" dxfId="2470" priority="1040" stopIfTrue="1">
      <formula>AQ19=CléCongés</formula>
    </cfRule>
  </conditionalFormatting>
  <conditionalFormatting sqref="AR23">
    <cfRule type="expression" priority="1029" stopIfTrue="1">
      <formula>AR23=""</formula>
    </cfRule>
    <cfRule type="expression" dxfId="2469" priority="1030" stopIfTrue="1">
      <formula>AR23=CléPersonnalisée2</formula>
    </cfRule>
    <cfRule type="expression" dxfId="2468" priority="1031" stopIfTrue="1">
      <formula>AR23=CléPersonnalisée1</formula>
    </cfRule>
    <cfRule type="expression" dxfId="2467" priority="1032" stopIfTrue="1">
      <formula>AR23=CléMaladie</formula>
    </cfRule>
    <cfRule type="expression" dxfId="2466" priority="1033" stopIfTrue="1">
      <formula>AR23=CléPersonnelle</formula>
    </cfRule>
    <cfRule type="expression" dxfId="2465" priority="1034" stopIfTrue="1">
      <formula>AR23=CléCongés</formula>
    </cfRule>
  </conditionalFormatting>
  <conditionalFormatting sqref="AQ23">
    <cfRule type="expression" priority="1023" stopIfTrue="1">
      <formula>AQ23=""</formula>
    </cfRule>
    <cfRule type="expression" dxfId="2464" priority="1024" stopIfTrue="1">
      <formula>AQ23=CléPersonnalisée2</formula>
    </cfRule>
    <cfRule type="expression" dxfId="2463" priority="1025" stopIfTrue="1">
      <formula>AQ23=CléPersonnalisée1</formula>
    </cfRule>
    <cfRule type="expression" dxfId="2462" priority="1026" stopIfTrue="1">
      <formula>AQ23=CléMaladie</formula>
    </cfRule>
    <cfRule type="expression" dxfId="2461" priority="1027" stopIfTrue="1">
      <formula>AQ23=CléPersonnelle</formula>
    </cfRule>
    <cfRule type="expression" dxfId="2460" priority="1028" stopIfTrue="1">
      <formula>AQ23=CléCongés</formula>
    </cfRule>
  </conditionalFormatting>
  <conditionalFormatting sqref="AR27">
    <cfRule type="expression" priority="1017" stopIfTrue="1">
      <formula>AR27=""</formula>
    </cfRule>
    <cfRule type="expression" dxfId="2459" priority="1018" stopIfTrue="1">
      <formula>AR27=CléPersonnalisée2</formula>
    </cfRule>
    <cfRule type="expression" dxfId="2458" priority="1019" stopIfTrue="1">
      <formula>AR27=CléPersonnalisée1</formula>
    </cfRule>
    <cfRule type="expression" dxfId="2457" priority="1020" stopIfTrue="1">
      <formula>AR27=CléMaladie</formula>
    </cfRule>
    <cfRule type="expression" dxfId="2456" priority="1021" stopIfTrue="1">
      <formula>AR27=CléPersonnelle</formula>
    </cfRule>
    <cfRule type="expression" dxfId="2455" priority="1022" stopIfTrue="1">
      <formula>AR27=CléCongés</formula>
    </cfRule>
  </conditionalFormatting>
  <conditionalFormatting sqref="AQ27">
    <cfRule type="expression" priority="1011" stopIfTrue="1">
      <formula>AQ27=""</formula>
    </cfRule>
    <cfRule type="expression" dxfId="2454" priority="1012" stopIfTrue="1">
      <formula>AQ27=CléPersonnalisée2</formula>
    </cfRule>
    <cfRule type="expression" dxfId="2453" priority="1013" stopIfTrue="1">
      <formula>AQ27=CléPersonnalisée1</formula>
    </cfRule>
    <cfRule type="expression" dxfId="2452" priority="1014" stopIfTrue="1">
      <formula>AQ27=CléMaladie</formula>
    </cfRule>
    <cfRule type="expression" dxfId="2451" priority="1015" stopIfTrue="1">
      <formula>AQ27=CléPersonnelle</formula>
    </cfRule>
    <cfRule type="expression" dxfId="2450" priority="1016" stopIfTrue="1">
      <formula>AQ27=CléCongés</formula>
    </cfRule>
  </conditionalFormatting>
  <conditionalFormatting sqref="AR31">
    <cfRule type="expression" priority="1005" stopIfTrue="1">
      <formula>AR31=""</formula>
    </cfRule>
    <cfRule type="expression" dxfId="2449" priority="1006" stopIfTrue="1">
      <formula>AR31=CléPersonnalisée2</formula>
    </cfRule>
    <cfRule type="expression" dxfId="2448" priority="1007" stopIfTrue="1">
      <formula>AR31=CléPersonnalisée1</formula>
    </cfRule>
    <cfRule type="expression" dxfId="2447" priority="1008" stopIfTrue="1">
      <formula>AR31=CléMaladie</formula>
    </cfRule>
    <cfRule type="expression" dxfId="2446" priority="1009" stopIfTrue="1">
      <formula>AR31=CléPersonnelle</formula>
    </cfRule>
    <cfRule type="expression" dxfId="2445" priority="1010" stopIfTrue="1">
      <formula>AR31=CléCongés</formula>
    </cfRule>
  </conditionalFormatting>
  <conditionalFormatting sqref="AQ31">
    <cfRule type="expression" priority="999" stopIfTrue="1">
      <formula>AQ31=""</formula>
    </cfRule>
    <cfRule type="expression" dxfId="2444" priority="1000" stopIfTrue="1">
      <formula>AQ31=CléPersonnalisée2</formula>
    </cfRule>
    <cfRule type="expression" dxfId="2443" priority="1001" stopIfTrue="1">
      <formula>AQ31=CléPersonnalisée1</formula>
    </cfRule>
    <cfRule type="expression" dxfId="2442" priority="1002" stopIfTrue="1">
      <formula>AQ31=CléMaladie</formula>
    </cfRule>
    <cfRule type="expression" dxfId="2441" priority="1003" stopIfTrue="1">
      <formula>AQ31=CléPersonnelle</formula>
    </cfRule>
    <cfRule type="expression" dxfId="2440" priority="1004" stopIfTrue="1">
      <formula>AQ31=CléCongés</formula>
    </cfRule>
  </conditionalFormatting>
  <conditionalFormatting sqref="AR35">
    <cfRule type="expression" priority="993" stopIfTrue="1">
      <formula>AR35=""</formula>
    </cfRule>
    <cfRule type="expression" dxfId="2439" priority="994" stopIfTrue="1">
      <formula>AR35=CléPersonnalisée2</formula>
    </cfRule>
    <cfRule type="expression" dxfId="2438" priority="995" stopIfTrue="1">
      <formula>AR35=CléPersonnalisée1</formula>
    </cfRule>
    <cfRule type="expression" dxfId="2437" priority="996" stopIfTrue="1">
      <formula>AR35=CléMaladie</formula>
    </cfRule>
    <cfRule type="expression" dxfId="2436" priority="997" stopIfTrue="1">
      <formula>AR35=CléPersonnelle</formula>
    </cfRule>
    <cfRule type="expression" dxfId="2435" priority="998" stopIfTrue="1">
      <formula>AR35=CléCongés</formula>
    </cfRule>
  </conditionalFormatting>
  <conditionalFormatting sqref="AQ35">
    <cfRule type="expression" priority="987" stopIfTrue="1">
      <formula>AQ35=""</formula>
    </cfRule>
    <cfRule type="expression" dxfId="2434" priority="988" stopIfTrue="1">
      <formula>AQ35=CléPersonnalisée2</formula>
    </cfRule>
    <cfRule type="expression" dxfId="2433" priority="989" stopIfTrue="1">
      <formula>AQ35=CléPersonnalisée1</formula>
    </cfRule>
    <cfRule type="expression" dxfId="2432" priority="990" stopIfTrue="1">
      <formula>AQ35=CléMaladie</formula>
    </cfRule>
    <cfRule type="expression" dxfId="2431" priority="991" stopIfTrue="1">
      <formula>AQ35=CléPersonnelle</formula>
    </cfRule>
    <cfRule type="expression" dxfId="2430" priority="992" stopIfTrue="1">
      <formula>AQ35=CléCongés</formula>
    </cfRule>
  </conditionalFormatting>
  <conditionalFormatting sqref="AR39">
    <cfRule type="expression" priority="981" stopIfTrue="1">
      <formula>AR39=""</formula>
    </cfRule>
    <cfRule type="expression" dxfId="2429" priority="982" stopIfTrue="1">
      <formula>AR39=CléPersonnalisée2</formula>
    </cfRule>
    <cfRule type="expression" dxfId="2428" priority="983" stopIfTrue="1">
      <formula>AR39=CléPersonnalisée1</formula>
    </cfRule>
    <cfRule type="expression" dxfId="2427" priority="984" stopIfTrue="1">
      <formula>AR39=CléMaladie</formula>
    </cfRule>
    <cfRule type="expression" dxfId="2426" priority="985" stopIfTrue="1">
      <formula>AR39=CléPersonnelle</formula>
    </cfRule>
    <cfRule type="expression" dxfId="2425" priority="986" stopIfTrue="1">
      <formula>AR39=CléCongés</formula>
    </cfRule>
  </conditionalFormatting>
  <conditionalFormatting sqref="AQ39">
    <cfRule type="expression" priority="975" stopIfTrue="1">
      <formula>AQ39=""</formula>
    </cfRule>
    <cfRule type="expression" dxfId="2424" priority="976" stopIfTrue="1">
      <formula>AQ39=CléPersonnalisée2</formula>
    </cfRule>
    <cfRule type="expression" dxfId="2423" priority="977" stopIfTrue="1">
      <formula>AQ39=CléPersonnalisée1</formula>
    </cfRule>
    <cfRule type="expression" dxfId="2422" priority="978" stopIfTrue="1">
      <formula>AQ39=CléMaladie</formula>
    </cfRule>
    <cfRule type="expression" dxfId="2421" priority="979" stopIfTrue="1">
      <formula>AQ39=CléPersonnelle</formula>
    </cfRule>
    <cfRule type="expression" dxfId="2420" priority="980" stopIfTrue="1">
      <formula>AQ39=CléCongés</formula>
    </cfRule>
  </conditionalFormatting>
  <conditionalFormatting sqref="AR43">
    <cfRule type="expression" priority="969" stopIfTrue="1">
      <formula>AR43=""</formula>
    </cfRule>
    <cfRule type="expression" dxfId="2419" priority="970" stopIfTrue="1">
      <formula>AR43=CléPersonnalisée2</formula>
    </cfRule>
    <cfRule type="expression" dxfId="2418" priority="971" stopIfTrue="1">
      <formula>AR43=CléPersonnalisée1</formula>
    </cfRule>
    <cfRule type="expression" dxfId="2417" priority="972" stopIfTrue="1">
      <formula>AR43=CléMaladie</formula>
    </cfRule>
    <cfRule type="expression" dxfId="2416" priority="973" stopIfTrue="1">
      <formula>AR43=CléPersonnelle</formula>
    </cfRule>
    <cfRule type="expression" dxfId="2415" priority="974" stopIfTrue="1">
      <formula>AR43=CléCongés</formula>
    </cfRule>
  </conditionalFormatting>
  <conditionalFormatting sqref="AQ43">
    <cfRule type="expression" priority="963" stopIfTrue="1">
      <formula>AQ43=""</formula>
    </cfRule>
    <cfRule type="expression" dxfId="2414" priority="964" stopIfTrue="1">
      <formula>AQ43=CléPersonnalisée2</formula>
    </cfRule>
    <cfRule type="expression" dxfId="2413" priority="965" stopIfTrue="1">
      <formula>AQ43=CléPersonnalisée1</formula>
    </cfRule>
    <cfRule type="expression" dxfId="2412" priority="966" stopIfTrue="1">
      <formula>AQ43=CléMaladie</formula>
    </cfRule>
    <cfRule type="expression" dxfId="2411" priority="967" stopIfTrue="1">
      <formula>AQ43=CléPersonnelle</formula>
    </cfRule>
    <cfRule type="expression" dxfId="2410" priority="968" stopIfTrue="1">
      <formula>AQ43=CléCongés</formula>
    </cfRule>
  </conditionalFormatting>
  <conditionalFormatting sqref="AR47">
    <cfRule type="expression" priority="957" stopIfTrue="1">
      <formula>AR47=""</formula>
    </cfRule>
    <cfRule type="expression" dxfId="2409" priority="958" stopIfTrue="1">
      <formula>AR47=CléPersonnalisée2</formula>
    </cfRule>
    <cfRule type="expression" dxfId="2408" priority="959" stopIfTrue="1">
      <formula>AR47=CléPersonnalisée1</formula>
    </cfRule>
    <cfRule type="expression" dxfId="2407" priority="960" stopIfTrue="1">
      <formula>AR47=CléMaladie</formula>
    </cfRule>
    <cfRule type="expression" dxfId="2406" priority="961" stopIfTrue="1">
      <formula>AR47=CléPersonnelle</formula>
    </cfRule>
    <cfRule type="expression" dxfId="2405" priority="962" stopIfTrue="1">
      <formula>AR47=CléCongés</formula>
    </cfRule>
  </conditionalFormatting>
  <conditionalFormatting sqref="AQ47">
    <cfRule type="expression" priority="951" stopIfTrue="1">
      <formula>AQ47=""</formula>
    </cfRule>
    <cfRule type="expression" dxfId="2404" priority="952" stopIfTrue="1">
      <formula>AQ47=CléPersonnalisée2</formula>
    </cfRule>
    <cfRule type="expression" dxfId="2403" priority="953" stopIfTrue="1">
      <formula>AQ47=CléPersonnalisée1</formula>
    </cfRule>
    <cfRule type="expression" dxfId="2402" priority="954" stopIfTrue="1">
      <formula>AQ47=CléMaladie</formula>
    </cfRule>
    <cfRule type="expression" dxfId="2401" priority="955" stopIfTrue="1">
      <formula>AQ47=CléPersonnelle</formula>
    </cfRule>
    <cfRule type="expression" dxfId="2400" priority="956" stopIfTrue="1">
      <formula>AQ47=CléCongés</formula>
    </cfRule>
  </conditionalFormatting>
  <conditionalFormatting sqref="AR51">
    <cfRule type="expression" priority="945" stopIfTrue="1">
      <formula>AR51=""</formula>
    </cfRule>
    <cfRule type="expression" dxfId="2399" priority="946" stopIfTrue="1">
      <formula>AR51=CléPersonnalisée2</formula>
    </cfRule>
    <cfRule type="expression" dxfId="2398" priority="947" stopIfTrue="1">
      <formula>AR51=CléPersonnalisée1</formula>
    </cfRule>
    <cfRule type="expression" dxfId="2397" priority="948" stopIfTrue="1">
      <formula>AR51=CléMaladie</formula>
    </cfRule>
    <cfRule type="expression" dxfId="2396" priority="949" stopIfTrue="1">
      <formula>AR51=CléPersonnelle</formula>
    </cfRule>
    <cfRule type="expression" dxfId="2395" priority="950" stopIfTrue="1">
      <formula>AR51=CléCongés</formula>
    </cfRule>
  </conditionalFormatting>
  <conditionalFormatting sqref="AQ51">
    <cfRule type="expression" priority="939" stopIfTrue="1">
      <formula>AQ51=""</formula>
    </cfRule>
    <cfRule type="expression" dxfId="2394" priority="940" stopIfTrue="1">
      <formula>AQ51=CléPersonnalisée2</formula>
    </cfRule>
    <cfRule type="expression" dxfId="2393" priority="941" stopIfTrue="1">
      <formula>AQ51=CléPersonnalisée1</formula>
    </cfRule>
    <cfRule type="expression" dxfId="2392" priority="942" stopIfTrue="1">
      <formula>AQ51=CléMaladie</formula>
    </cfRule>
    <cfRule type="expression" dxfId="2391" priority="943" stopIfTrue="1">
      <formula>AQ51=CléPersonnelle</formula>
    </cfRule>
    <cfRule type="expression" dxfId="2390" priority="944" stopIfTrue="1">
      <formula>AQ51=CléCongés</formula>
    </cfRule>
  </conditionalFormatting>
  <conditionalFormatting sqref="AR55">
    <cfRule type="expression" priority="933" stopIfTrue="1">
      <formula>AR55=""</formula>
    </cfRule>
    <cfRule type="expression" dxfId="2389" priority="934" stopIfTrue="1">
      <formula>AR55=CléPersonnalisée2</formula>
    </cfRule>
    <cfRule type="expression" dxfId="2388" priority="935" stopIfTrue="1">
      <formula>AR55=CléPersonnalisée1</formula>
    </cfRule>
    <cfRule type="expression" dxfId="2387" priority="936" stopIfTrue="1">
      <formula>AR55=CléMaladie</formula>
    </cfRule>
    <cfRule type="expression" dxfId="2386" priority="937" stopIfTrue="1">
      <formula>AR55=CléPersonnelle</formula>
    </cfRule>
    <cfRule type="expression" dxfId="2385" priority="938" stopIfTrue="1">
      <formula>AR55=CléCongés</formula>
    </cfRule>
  </conditionalFormatting>
  <conditionalFormatting sqref="AQ55">
    <cfRule type="expression" priority="927" stopIfTrue="1">
      <formula>AQ55=""</formula>
    </cfRule>
    <cfRule type="expression" dxfId="2384" priority="928" stopIfTrue="1">
      <formula>AQ55=CléPersonnalisée2</formula>
    </cfRule>
    <cfRule type="expression" dxfId="2383" priority="929" stopIfTrue="1">
      <formula>AQ55=CléPersonnalisée1</formula>
    </cfRule>
    <cfRule type="expression" dxfId="2382" priority="930" stopIfTrue="1">
      <formula>AQ55=CléMaladie</formula>
    </cfRule>
    <cfRule type="expression" dxfId="2381" priority="931" stopIfTrue="1">
      <formula>AQ55=CléPersonnelle</formula>
    </cfRule>
    <cfRule type="expression" dxfId="2380" priority="932" stopIfTrue="1">
      <formula>AQ55=CléCongés</formula>
    </cfRule>
  </conditionalFormatting>
  <conditionalFormatting sqref="AR63">
    <cfRule type="expression" priority="921" stopIfTrue="1">
      <formula>AR63=""</formula>
    </cfRule>
    <cfRule type="expression" dxfId="2379" priority="922" stopIfTrue="1">
      <formula>AR63=CléPersonnalisée2</formula>
    </cfRule>
    <cfRule type="expression" dxfId="2378" priority="923" stopIfTrue="1">
      <formula>AR63=CléPersonnalisée1</formula>
    </cfRule>
    <cfRule type="expression" dxfId="2377" priority="924" stopIfTrue="1">
      <formula>AR63=CléMaladie</formula>
    </cfRule>
    <cfRule type="expression" dxfId="2376" priority="925" stopIfTrue="1">
      <formula>AR63=CléPersonnelle</formula>
    </cfRule>
    <cfRule type="expression" dxfId="2375" priority="926" stopIfTrue="1">
      <formula>AR63=CléCongés</formula>
    </cfRule>
  </conditionalFormatting>
  <conditionalFormatting sqref="AQ63">
    <cfRule type="expression" priority="915" stopIfTrue="1">
      <formula>AQ63=""</formula>
    </cfRule>
    <cfRule type="expression" dxfId="2374" priority="916" stopIfTrue="1">
      <formula>AQ63=CléPersonnalisée2</formula>
    </cfRule>
    <cfRule type="expression" dxfId="2373" priority="917" stopIfTrue="1">
      <formula>AQ63=CléPersonnalisée1</formula>
    </cfRule>
    <cfRule type="expression" dxfId="2372" priority="918" stopIfTrue="1">
      <formula>AQ63=CléMaladie</formula>
    </cfRule>
    <cfRule type="expression" dxfId="2371" priority="919" stopIfTrue="1">
      <formula>AQ63=CléPersonnelle</formula>
    </cfRule>
    <cfRule type="expression" dxfId="2370" priority="920" stopIfTrue="1">
      <formula>AQ63=CléCongés</formula>
    </cfRule>
  </conditionalFormatting>
  <conditionalFormatting sqref="AR67">
    <cfRule type="expression" priority="909" stopIfTrue="1">
      <formula>AR67=""</formula>
    </cfRule>
    <cfRule type="expression" dxfId="2369" priority="910" stopIfTrue="1">
      <formula>AR67=CléPersonnalisée2</formula>
    </cfRule>
    <cfRule type="expression" dxfId="2368" priority="911" stopIfTrue="1">
      <formula>AR67=CléPersonnalisée1</formula>
    </cfRule>
    <cfRule type="expression" dxfId="2367" priority="912" stopIfTrue="1">
      <formula>AR67=CléMaladie</formula>
    </cfRule>
    <cfRule type="expression" dxfId="2366" priority="913" stopIfTrue="1">
      <formula>AR67=CléPersonnelle</formula>
    </cfRule>
    <cfRule type="expression" dxfId="2365" priority="914" stopIfTrue="1">
      <formula>AR67=CléCongés</formula>
    </cfRule>
  </conditionalFormatting>
  <conditionalFormatting sqref="AQ67">
    <cfRule type="expression" priority="903" stopIfTrue="1">
      <formula>AQ67=""</formula>
    </cfRule>
    <cfRule type="expression" dxfId="2364" priority="904" stopIfTrue="1">
      <formula>AQ67=CléPersonnalisée2</formula>
    </cfRule>
    <cfRule type="expression" dxfId="2363" priority="905" stopIfTrue="1">
      <formula>AQ67=CléPersonnalisée1</formula>
    </cfRule>
    <cfRule type="expression" dxfId="2362" priority="906" stopIfTrue="1">
      <formula>AQ67=CléMaladie</formula>
    </cfRule>
    <cfRule type="expression" dxfId="2361" priority="907" stopIfTrue="1">
      <formula>AQ67=CléPersonnelle</formula>
    </cfRule>
    <cfRule type="expression" dxfId="2360" priority="908" stopIfTrue="1">
      <formula>AQ67=CléCongés</formula>
    </cfRule>
  </conditionalFormatting>
  <conditionalFormatting sqref="AR71">
    <cfRule type="expression" priority="897" stopIfTrue="1">
      <formula>AR71=""</formula>
    </cfRule>
    <cfRule type="expression" dxfId="2359" priority="898" stopIfTrue="1">
      <formula>AR71=CléPersonnalisée2</formula>
    </cfRule>
    <cfRule type="expression" dxfId="2358" priority="899" stopIfTrue="1">
      <formula>AR71=CléPersonnalisée1</formula>
    </cfRule>
    <cfRule type="expression" dxfId="2357" priority="900" stopIfTrue="1">
      <formula>AR71=CléMaladie</formula>
    </cfRule>
    <cfRule type="expression" dxfId="2356" priority="901" stopIfTrue="1">
      <formula>AR71=CléPersonnelle</formula>
    </cfRule>
    <cfRule type="expression" dxfId="2355" priority="902" stopIfTrue="1">
      <formula>AR71=CléCongés</formula>
    </cfRule>
  </conditionalFormatting>
  <conditionalFormatting sqref="C73:AG75">
    <cfRule type="expression" priority="884" stopIfTrue="1">
      <formula>C73=""</formula>
    </cfRule>
    <cfRule type="expression" dxfId="2354" priority="885" stopIfTrue="1">
      <formula>C73=CléPersonnalisée2</formula>
    </cfRule>
    <cfRule type="expression" dxfId="2353" priority="886" stopIfTrue="1">
      <formula>C73=CléPersonnalisée1</formula>
    </cfRule>
    <cfRule type="expression" dxfId="2352" priority="887" stopIfTrue="1">
      <formula>C73=CléMaladie</formula>
    </cfRule>
    <cfRule type="expression" dxfId="2351" priority="888" stopIfTrue="1">
      <formula>C73=CléPersonnelle</formula>
    </cfRule>
    <cfRule type="expression" dxfId="2350" priority="889" stopIfTrue="1">
      <formula>C73=CléCongés</formula>
    </cfRule>
  </conditionalFormatting>
  <conditionalFormatting sqref="AH75">
    <cfRule type="dataBar" priority="890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{3DAC44E8-F0EF-4C7A-B93B-A8879E1FE89E}</x14:id>
        </ext>
      </extLst>
    </cfRule>
  </conditionalFormatting>
  <conditionalFormatting sqref="AI75:AL75 AJ73:AL74">
    <cfRule type="expression" priority="878" stopIfTrue="1">
      <formula>AI73=""</formula>
    </cfRule>
    <cfRule type="expression" dxfId="2349" priority="879" stopIfTrue="1">
      <formula>AI73=CléPersonnalisée2</formula>
    </cfRule>
    <cfRule type="expression" dxfId="2348" priority="880" stopIfTrue="1">
      <formula>AI73=CléPersonnalisée1</formula>
    </cfRule>
    <cfRule type="expression" dxfId="2347" priority="881" stopIfTrue="1">
      <formula>AI73=CléMaladie</formula>
    </cfRule>
    <cfRule type="expression" dxfId="2346" priority="882" stopIfTrue="1">
      <formula>AI73=CléPersonnelle</formula>
    </cfRule>
    <cfRule type="expression" dxfId="2345" priority="883" stopIfTrue="1">
      <formula>AI73=CléCongés</formula>
    </cfRule>
  </conditionalFormatting>
  <conditionalFormatting sqref="AM73:AP74">
    <cfRule type="expression" priority="872" stopIfTrue="1">
      <formula>AM73=""</formula>
    </cfRule>
    <cfRule type="expression" dxfId="2344" priority="873" stopIfTrue="1">
      <formula>AM73=CléPersonnalisée2</formula>
    </cfRule>
    <cfRule type="expression" dxfId="2343" priority="874" stopIfTrue="1">
      <formula>AM73=CléPersonnalisée1</formula>
    </cfRule>
    <cfRule type="expression" dxfId="2342" priority="875" stopIfTrue="1">
      <formula>AM73=CléMaladie</formula>
    </cfRule>
    <cfRule type="expression" dxfId="2341" priority="876" stopIfTrue="1">
      <formula>AM73=CléPersonnelle</formula>
    </cfRule>
    <cfRule type="expression" dxfId="2340" priority="877" stopIfTrue="1">
      <formula>AM73=CléCongés</formula>
    </cfRule>
  </conditionalFormatting>
  <conditionalFormatting sqref="AQ73:AR74">
    <cfRule type="expression" priority="866" stopIfTrue="1">
      <formula>AQ73=""</formula>
    </cfRule>
    <cfRule type="expression" dxfId="2339" priority="867" stopIfTrue="1">
      <formula>AQ73=CléPersonnalisée2</formula>
    </cfRule>
    <cfRule type="expression" dxfId="2338" priority="868" stopIfTrue="1">
      <formula>AQ73=CléPersonnalisée1</formula>
    </cfRule>
    <cfRule type="expression" dxfId="2337" priority="869" stopIfTrue="1">
      <formula>AQ73=CléMaladie</formula>
    </cfRule>
    <cfRule type="expression" dxfId="2336" priority="870" stopIfTrue="1">
      <formula>AQ73=CléPersonnelle</formula>
    </cfRule>
    <cfRule type="expression" dxfId="2335" priority="871" stopIfTrue="1">
      <formula>AQ73=CléCongés</formula>
    </cfRule>
  </conditionalFormatting>
  <conditionalFormatting sqref="AM75 AP75">
    <cfRule type="expression" priority="860" stopIfTrue="1">
      <formula>AM75=""</formula>
    </cfRule>
    <cfRule type="expression" dxfId="2334" priority="861" stopIfTrue="1">
      <formula>AM75=CléPersonnalisée2</formula>
    </cfRule>
    <cfRule type="expression" dxfId="2333" priority="862" stopIfTrue="1">
      <formula>AM75=CléPersonnalisée1</formula>
    </cfRule>
    <cfRule type="expression" dxfId="2332" priority="863" stopIfTrue="1">
      <formula>AM75=CléMaladie</formula>
    </cfRule>
    <cfRule type="expression" dxfId="2331" priority="864" stopIfTrue="1">
      <formula>AM75=CléPersonnelle</formula>
    </cfRule>
    <cfRule type="expression" dxfId="2330" priority="865" stopIfTrue="1">
      <formula>AM75=CléCongés</formula>
    </cfRule>
  </conditionalFormatting>
  <conditionalFormatting sqref="AH73:AH74">
    <cfRule type="dataBar" priority="859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{31A428FA-FC9A-44A7-B375-2B76F5E38D33}</x14:id>
        </ext>
      </extLst>
    </cfRule>
  </conditionalFormatting>
  <conditionalFormatting sqref="AI73:AI74">
    <cfRule type="expression" priority="853" stopIfTrue="1">
      <formula>AI73=""</formula>
    </cfRule>
    <cfRule type="expression" dxfId="2329" priority="854" stopIfTrue="1">
      <formula>AI73=CléPersonnalisée2</formula>
    </cfRule>
    <cfRule type="expression" dxfId="2328" priority="855" stopIfTrue="1">
      <formula>AI73=CléPersonnalisée1</formula>
    </cfRule>
    <cfRule type="expression" dxfId="2327" priority="856" stopIfTrue="1">
      <formula>AI73=CléMaladie</formula>
    </cfRule>
    <cfRule type="expression" dxfId="2326" priority="857" stopIfTrue="1">
      <formula>AI73=CléPersonnelle</formula>
    </cfRule>
    <cfRule type="expression" dxfId="2325" priority="858" stopIfTrue="1">
      <formula>AI73=CléCongés</formula>
    </cfRule>
  </conditionalFormatting>
  <conditionalFormatting sqref="AR75">
    <cfRule type="expression" priority="847" stopIfTrue="1">
      <formula>AR75=""</formula>
    </cfRule>
    <cfRule type="expression" dxfId="2324" priority="848" stopIfTrue="1">
      <formula>AR75=CléPersonnalisée2</formula>
    </cfRule>
    <cfRule type="expression" dxfId="2323" priority="849" stopIfTrue="1">
      <formula>AR75=CléPersonnalisée1</formula>
    </cfRule>
    <cfRule type="expression" dxfId="2322" priority="850" stopIfTrue="1">
      <formula>AR75=CléMaladie</formula>
    </cfRule>
    <cfRule type="expression" dxfId="2321" priority="851" stopIfTrue="1">
      <formula>AR75=CléPersonnelle</formula>
    </cfRule>
    <cfRule type="expression" dxfId="2320" priority="852" stopIfTrue="1">
      <formula>AR75=CléCongés</formula>
    </cfRule>
  </conditionalFormatting>
  <conditionalFormatting sqref="C81:AG83">
    <cfRule type="expression" priority="834" stopIfTrue="1">
      <formula>C81=""</formula>
    </cfRule>
    <cfRule type="expression" dxfId="2319" priority="835" stopIfTrue="1">
      <formula>C81=CléPersonnalisée2</formula>
    </cfRule>
    <cfRule type="expression" dxfId="2318" priority="836" stopIfTrue="1">
      <formula>C81=CléPersonnalisée1</formula>
    </cfRule>
    <cfRule type="expression" dxfId="2317" priority="837" stopIfTrue="1">
      <formula>C81=CléMaladie</formula>
    </cfRule>
    <cfRule type="expression" dxfId="2316" priority="838" stopIfTrue="1">
      <formula>C81=CléPersonnelle</formula>
    </cfRule>
    <cfRule type="expression" dxfId="2315" priority="839" stopIfTrue="1">
      <formula>C81=CléCongés</formula>
    </cfRule>
  </conditionalFormatting>
  <conditionalFormatting sqref="AH83">
    <cfRule type="dataBar" priority="840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{1A1819ED-408B-4AA0-82F0-2E51999D653B}</x14:id>
        </ext>
      </extLst>
    </cfRule>
  </conditionalFormatting>
  <conditionalFormatting sqref="AI83:AL83 AJ81:AL82">
    <cfRule type="expression" priority="828" stopIfTrue="1">
      <formula>AI81=""</formula>
    </cfRule>
    <cfRule type="expression" dxfId="2314" priority="829" stopIfTrue="1">
      <formula>AI81=CléPersonnalisée2</formula>
    </cfRule>
    <cfRule type="expression" dxfId="2313" priority="830" stopIfTrue="1">
      <formula>AI81=CléPersonnalisée1</formula>
    </cfRule>
    <cfRule type="expression" dxfId="2312" priority="831" stopIfTrue="1">
      <formula>AI81=CléMaladie</formula>
    </cfRule>
    <cfRule type="expression" dxfId="2311" priority="832" stopIfTrue="1">
      <formula>AI81=CléPersonnelle</formula>
    </cfRule>
    <cfRule type="expression" dxfId="2310" priority="833" stopIfTrue="1">
      <formula>AI81=CléCongés</formula>
    </cfRule>
  </conditionalFormatting>
  <conditionalFormatting sqref="AM81:AP82">
    <cfRule type="expression" priority="822" stopIfTrue="1">
      <formula>AM81=""</formula>
    </cfRule>
    <cfRule type="expression" dxfId="2309" priority="823" stopIfTrue="1">
      <formula>AM81=CléPersonnalisée2</formula>
    </cfRule>
    <cfRule type="expression" dxfId="2308" priority="824" stopIfTrue="1">
      <formula>AM81=CléPersonnalisée1</formula>
    </cfRule>
    <cfRule type="expression" dxfId="2307" priority="825" stopIfTrue="1">
      <formula>AM81=CléMaladie</formula>
    </cfRule>
    <cfRule type="expression" dxfId="2306" priority="826" stopIfTrue="1">
      <formula>AM81=CléPersonnelle</formula>
    </cfRule>
    <cfRule type="expression" dxfId="2305" priority="827" stopIfTrue="1">
      <formula>AM81=CléCongés</formula>
    </cfRule>
  </conditionalFormatting>
  <conditionalFormatting sqref="AQ81:AR82">
    <cfRule type="expression" priority="816" stopIfTrue="1">
      <formula>AQ81=""</formula>
    </cfRule>
    <cfRule type="expression" dxfId="2304" priority="817" stopIfTrue="1">
      <formula>AQ81=CléPersonnalisée2</formula>
    </cfRule>
    <cfRule type="expression" dxfId="2303" priority="818" stopIfTrue="1">
      <formula>AQ81=CléPersonnalisée1</formula>
    </cfRule>
    <cfRule type="expression" dxfId="2302" priority="819" stopIfTrue="1">
      <formula>AQ81=CléMaladie</formula>
    </cfRule>
    <cfRule type="expression" dxfId="2301" priority="820" stopIfTrue="1">
      <formula>AQ81=CléPersonnelle</formula>
    </cfRule>
    <cfRule type="expression" dxfId="2300" priority="821" stopIfTrue="1">
      <formula>AQ81=CléCongés</formula>
    </cfRule>
  </conditionalFormatting>
  <conditionalFormatting sqref="AM83 AP83">
    <cfRule type="expression" priority="810" stopIfTrue="1">
      <formula>AM83=""</formula>
    </cfRule>
    <cfRule type="expression" dxfId="2299" priority="811" stopIfTrue="1">
      <formula>AM83=CléPersonnalisée2</formula>
    </cfRule>
    <cfRule type="expression" dxfId="2298" priority="812" stopIfTrue="1">
      <formula>AM83=CléPersonnalisée1</formula>
    </cfRule>
    <cfRule type="expression" dxfId="2297" priority="813" stopIfTrue="1">
      <formula>AM83=CléMaladie</formula>
    </cfRule>
    <cfRule type="expression" dxfId="2296" priority="814" stopIfTrue="1">
      <formula>AM83=CléPersonnelle</formula>
    </cfRule>
    <cfRule type="expression" dxfId="2295" priority="815" stopIfTrue="1">
      <formula>AM83=CléCongés</formula>
    </cfRule>
  </conditionalFormatting>
  <conditionalFormatting sqref="AH81:AH82">
    <cfRule type="dataBar" priority="809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{D8E96841-D76C-47A7-AD95-D80305E11189}</x14:id>
        </ext>
      </extLst>
    </cfRule>
  </conditionalFormatting>
  <conditionalFormatting sqref="AO83">
    <cfRule type="expression" priority="803" stopIfTrue="1">
      <formula>AO83=""</formula>
    </cfRule>
    <cfRule type="expression" dxfId="2294" priority="804" stopIfTrue="1">
      <formula>AO83=CléPersonnalisée2</formula>
    </cfRule>
    <cfRule type="expression" dxfId="2293" priority="805" stopIfTrue="1">
      <formula>AO83=CléPersonnalisée1</formula>
    </cfRule>
    <cfRule type="expression" dxfId="2292" priority="806" stopIfTrue="1">
      <formula>AO83=CléMaladie</formula>
    </cfRule>
    <cfRule type="expression" dxfId="2291" priority="807" stopIfTrue="1">
      <formula>AO83=CléPersonnelle</formula>
    </cfRule>
    <cfRule type="expression" dxfId="2290" priority="808" stopIfTrue="1">
      <formula>AO83=CléCongés</formula>
    </cfRule>
  </conditionalFormatting>
  <conditionalFormatting sqref="AI81:AI82">
    <cfRule type="expression" priority="797" stopIfTrue="1">
      <formula>AI81=""</formula>
    </cfRule>
    <cfRule type="expression" dxfId="2289" priority="798" stopIfTrue="1">
      <formula>AI81=CléPersonnalisée2</formula>
    </cfRule>
    <cfRule type="expression" dxfId="2288" priority="799" stopIfTrue="1">
      <formula>AI81=CléPersonnalisée1</formula>
    </cfRule>
    <cfRule type="expression" dxfId="2287" priority="800" stopIfTrue="1">
      <formula>AI81=CléMaladie</formula>
    </cfRule>
    <cfRule type="expression" dxfId="2286" priority="801" stopIfTrue="1">
      <formula>AI81=CléPersonnelle</formula>
    </cfRule>
    <cfRule type="expression" dxfId="2285" priority="802" stopIfTrue="1">
      <formula>AI81=CléCongés</formula>
    </cfRule>
  </conditionalFormatting>
  <conditionalFormatting sqref="AN83">
    <cfRule type="expression" priority="791" stopIfTrue="1">
      <formula>AN83=""</formula>
    </cfRule>
    <cfRule type="expression" dxfId="2284" priority="792" stopIfTrue="1">
      <formula>AN83=CléPersonnalisée2</formula>
    </cfRule>
    <cfRule type="expression" dxfId="2283" priority="793" stopIfTrue="1">
      <formula>AN83=CléPersonnalisée1</formula>
    </cfRule>
    <cfRule type="expression" dxfId="2282" priority="794" stopIfTrue="1">
      <formula>AN83=CléMaladie</formula>
    </cfRule>
    <cfRule type="expression" dxfId="2281" priority="795" stopIfTrue="1">
      <formula>AN83=CléPersonnelle</formula>
    </cfRule>
    <cfRule type="expression" dxfId="2280" priority="796" stopIfTrue="1">
      <formula>AN83=CléCongés</formula>
    </cfRule>
  </conditionalFormatting>
  <conditionalFormatting sqref="AR83">
    <cfRule type="expression" priority="785" stopIfTrue="1">
      <formula>AR83=""</formula>
    </cfRule>
    <cfRule type="expression" dxfId="2279" priority="786" stopIfTrue="1">
      <formula>AR83=CléPersonnalisée2</formula>
    </cfRule>
    <cfRule type="expression" dxfId="2278" priority="787" stopIfTrue="1">
      <formula>AR83=CléPersonnalisée1</formula>
    </cfRule>
    <cfRule type="expression" dxfId="2277" priority="788" stopIfTrue="1">
      <formula>AR83=CléMaladie</formula>
    </cfRule>
    <cfRule type="expression" dxfId="2276" priority="789" stopIfTrue="1">
      <formula>AR83=CléPersonnelle</formula>
    </cfRule>
    <cfRule type="expression" dxfId="2275" priority="790" stopIfTrue="1">
      <formula>AR83=CléCongés</formula>
    </cfRule>
  </conditionalFormatting>
  <conditionalFormatting sqref="AQ87">
    <cfRule type="expression" priority="717" stopIfTrue="1">
      <formula>AQ87=""</formula>
    </cfRule>
    <cfRule type="expression" dxfId="2274" priority="718" stopIfTrue="1">
      <formula>AQ87=CléPersonnalisée2</formula>
    </cfRule>
    <cfRule type="expression" dxfId="2273" priority="719" stopIfTrue="1">
      <formula>AQ87=CléPersonnalisée1</formula>
    </cfRule>
    <cfRule type="expression" dxfId="2272" priority="720" stopIfTrue="1">
      <formula>AQ87=CléMaladie</formula>
    </cfRule>
    <cfRule type="expression" dxfId="2271" priority="721" stopIfTrue="1">
      <formula>AQ87=CléPersonnelle</formula>
    </cfRule>
    <cfRule type="expression" dxfId="2270" priority="722" stopIfTrue="1">
      <formula>AQ87=CléCongés</formula>
    </cfRule>
  </conditionalFormatting>
  <conditionalFormatting sqref="C85:AG87">
    <cfRule type="expression" priority="772" stopIfTrue="1">
      <formula>C85=""</formula>
    </cfRule>
    <cfRule type="expression" dxfId="2269" priority="773" stopIfTrue="1">
      <formula>C85=CléPersonnalisée2</formula>
    </cfRule>
    <cfRule type="expression" dxfId="2268" priority="774" stopIfTrue="1">
      <formula>C85=CléPersonnalisée1</formula>
    </cfRule>
    <cfRule type="expression" dxfId="2267" priority="775" stopIfTrue="1">
      <formula>C85=CléMaladie</formula>
    </cfRule>
    <cfRule type="expression" dxfId="2266" priority="776" stopIfTrue="1">
      <formula>C85=CléPersonnelle</formula>
    </cfRule>
    <cfRule type="expression" dxfId="2265" priority="777" stopIfTrue="1">
      <formula>C85=CléCongés</formula>
    </cfRule>
  </conditionalFormatting>
  <conditionalFormatting sqref="AH87">
    <cfRule type="dataBar" priority="778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{EB849FB2-22FC-4B50-9650-7C9DB74A4EB1}</x14:id>
        </ext>
      </extLst>
    </cfRule>
  </conditionalFormatting>
  <conditionalFormatting sqref="AI87:AL87 AJ85:AL86">
    <cfRule type="expression" priority="766" stopIfTrue="1">
      <formula>AI85=""</formula>
    </cfRule>
    <cfRule type="expression" dxfId="2264" priority="767" stopIfTrue="1">
      <formula>AI85=CléPersonnalisée2</formula>
    </cfRule>
    <cfRule type="expression" dxfId="2263" priority="768" stopIfTrue="1">
      <formula>AI85=CléPersonnalisée1</formula>
    </cfRule>
    <cfRule type="expression" dxfId="2262" priority="769" stopIfTrue="1">
      <formula>AI85=CléMaladie</formula>
    </cfRule>
    <cfRule type="expression" dxfId="2261" priority="770" stopIfTrue="1">
      <formula>AI85=CléPersonnelle</formula>
    </cfRule>
    <cfRule type="expression" dxfId="2260" priority="771" stopIfTrue="1">
      <formula>AI85=CléCongés</formula>
    </cfRule>
  </conditionalFormatting>
  <conditionalFormatting sqref="AM85:AP86">
    <cfRule type="expression" priority="760" stopIfTrue="1">
      <formula>AM85=""</formula>
    </cfRule>
    <cfRule type="expression" dxfId="2259" priority="761" stopIfTrue="1">
      <formula>AM85=CléPersonnalisée2</formula>
    </cfRule>
    <cfRule type="expression" dxfId="2258" priority="762" stopIfTrue="1">
      <formula>AM85=CléPersonnalisée1</formula>
    </cfRule>
    <cfRule type="expression" dxfId="2257" priority="763" stopIfTrue="1">
      <formula>AM85=CléMaladie</formula>
    </cfRule>
    <cfRule type="expression" dxfId="2256" priority="764" stopIfTrue="1">
      <formula>AM85=CléPersonnelle</formula>
    </cfRule>
    <cfRule type="expression" dxfId="2255" priority="765" stopIfTrue="1">
      <formula>AM85=CléCongés</formula>
    </cfRule>
  </conditionalFormatting>
  <conditionalFormatting sqref="AQ85:AR86">
    <cfRule type="expression" priority="754" stopIfTrue="1">
      <formula>AQ85=""</formula>
    </cfRule>
    <cfRule type="expression" dxfId="2254" priority="755" stopIfTrue="1">
      <formula>AQ85=CléPersonnalisée2</formula>
    </cfRule>
    <cfRule type="expression" dxfId="2253" priority="756" stopIfTrue="1">
      <formula>AQ85=CléPersonnalisée1</formula>
    </cfRule>
    <cfRule type="expression" dxfId="2252" priority="757" stopIfTrue="1">
      <formula>AQ85=CléMaladie</formula>
    </cfRule>
    <cfRule type="expression" dxfId="2251" priority="758" stopIfTrue="1">
      <formula>AQ85=CléPersonnelle</formula>
    </cfRule>
    <cfRule type="expression" dxfId="2250" priority="759" stopIfTrue="1">
      <formula>AQ85=CléCongés</formula>
    </cfRule>
  </conditionalFormatting>
  <conditionalFormatting sqref="AM87 AP87">
    <cfRule type="expression" priority="748" stopIfTrue="1">
      <formula>AM87=""</formula>
    </cfRule>
    <cfRule type="expression" dxfId="2249" priority="749" stopIfTrue="1">
      <formula>AM87=CléPersonnalisée2</formula>
    </cfRule>
    <cfRule type="expression" dxfId="2248" priority="750" stopIfTrue="1">
      <formula>AM87=CléPersonnalisée1</formula>
    </cfRule>
    <cfRule type="expression" dxfId="2247" priority="751" stopIfTrue="1">
      <formula>AM87=CléMaladie</formula>
    </cfRule>
    <cfRule type="expression" dxfId="2246" priority="752" stopIfTrue="1">
      <formula>AM87=CléPersonnelle</formula>
    </cfRule>
    <cfRule type="expression" dxfId="2245" priority="753" stopIfTrue="1">
      <formula>AM87=CléCongés</formula>
    </cfRule>
  </conditionalFormatting>
  <conditionalFormatting sqref="AH85:AH86">
    <cfRule type="dataBar" priority="747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{2BD30DDD-DE7D-49E3-9C98-ECC1B9B86ADD}</x14:id>
        </ext>
      </extLst>
    </cfRule>
  </conditionalFormatting>
  <conditionalFormatting sqref="AO87">
    <cfRule type="expression" priority="741" stopIfTrue="1">
      <formula>AO87=""</formula>
    </cfRule>
    <cfRule type="expression" dxfId="2244" priority="742" stopIfTrue="1">
      <formula>AO87=CléPersonnalisée2</formula>
    </cfRule>
    <cfRule type="expression" dxfId="2243" priority="743" stopIfTrue="1">
      <formula>AO87=CléPersonnalisée1</formula>
    </cfRule>
    <cfRule type="expression" dxfId="2242" priority="744" stopIfTrue="1">
      <formula>AO87=CléMaladie</formula>
    </cfRule>
    <cfRule type="expression" dxfId="2241" priority="745" stopIfTrue="1">
      <formula>AO87=CléPersonnelle</formula>
    </cfRule>
    <cfRule type="expression" dxfId="2240" priority="746" stopIfTrue="1">
      <formula>AO87=CléCongés</formula>
    </cfRule>
  </conditionalFormatting>
  <conditionalFormatting sqref="AI85:AI86">
    <cfRule type="expression" priority="735" stopIfTrue="1">
      <formula>AI85=""</formula>
    </cfRule>
    <cfRule type="expression" dxfId="2239" priority="736" stopIfTrue="1">
      <formula>AI85=CléPersonnalisée2</formula>
    </cfRule>
    <cfRule type="expression" dxfId="2238" priority="737" stopIfTrue="1">
      <formula>AI85=CléPersonnalisée1</formula>
    </cfRule>
    <cfRule type="expression" dxfId="2237" priority="738" stopIfTrue="1">
      <formula>AI85=CléMaladie</formula>
    </cfRule>
    <cfRule type="expression" dxfId="2236" priority="739" stopIfTrue="1">
      <formula>AI85=CléPersonnelle</formula>
    </cfRule>
    <cfRule type="expression" dxfId="2235" priority="740" stopIfTrue="1">
      <formula>AI85=CléCongés</formula>
    </cfRule>
  </conditionalFormatting>
  <conditionalFormatting sqref="AN87">
    <cfRule type="expression" priority="729" stopIfTrue="1">
      <formula>AN87=""</formula>
    </cfRule>
    <cfRule type="expression" dxfId="2234" priority="730" stopIfTrue="1">
      <formula>AN87=CléPersonnalisée2</formula>
    </cfRule>
    <cfRule type="expression" dxfId="2233" priority="731" stopIfTrue="1">
      <formula>AN87=CléPersonnalisée1</formula>
    </cfRule>
    <cfRule type="expression" dxfId="2232" priority="732" stopIfTrue="1">
      <formula>AN87=CléMaladie</formula>
    </cfRule>
    <cfRule type="expression" dxfId="2231" priority="733" stopIfTrue="1">
      <formula>AN87=CléPersonnelle</formula>
    </cfRule>
    <cfRule type="expression" dxfId="2230" priority="734" stopIfTrue="1">
      <formula>AN87=CléCongés</formula>
    </cfRule>
  </conditionalFormatting>
  <conditionalFormatting sqref="AR87">
    <cfRule type="expression" priority="723" stopIfTrue="1">
      <formula>AR87=""</formula>
    </cfRule>
    <cfRule type="expression" dxfId="2229" priority="724" stopIfTrue="1">
      <formula>AR87=CléPersonnalisée2</formula>
    </cfRule>
    <cfRule type="expression" dxfId="2228" priority="725" stopIfTrue="1">
      <formula>AR87=CléPersonnalisée1</formula>
    </cfRule>
    <cfRule type="expression" dxfId="2227" priority="726" stopIfTrue="1">
      <formula>AR87=CléMaladie</formula>
    </cfRule>
    <cfRule type="expression" dxfId="2226" priority="727" stopIfTrue="1">
      <formula>AR87=CléPersonnelle</formula>
    </cfRule>
    <cfRule type="expression" dxfId="2225" priority="728" stopIfTrue="1">
      <formula>AR87=CléCongés</formula>
    </cfRule>
  </conditionalFormatting>
  <conditionalFormatting sqref="C89:AG91">
    <cfRule type="expression" priority="710" stopIfTrue="1">
      <formula>C89=""</formula>
    </cfRule>
    <cfRule type="expression" dxfId="2224" priority="711" stopIfTrue="1">
      <formula>C89=CléPersonnalisée2</formula>
    </cfRule>
    <cfRule type="expression" dxfId="2223" priority="712" stopIfTrue="1">
      <formula>C89=CléPersonnalisée1</formula>
    </cfRule>
    <cfRule type="expression" dxfId="2222" priority="713" stopIfTrue="1">
      <formula>C89=CléMaladie</formula>
    </cfRule>
    <cfRule type="expression" dxfId="2221" priority="714" stopIfTrue="1">
      <formula>C89=CléPersonnelle</formula>
    </cfRule>
    <cfRule type="expression" dxfId="2220" priority="715" stopIfTrue="1">
      <formula>C89=CléCongés</formula>
    </cfRule>
  </conditionalFormatting>
  <conditionalFormatting sqref="AH91">
    <cfRule type="dataBar" priority="716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{3FA38A88-3BE2-4911-A618-608E80D02A7A}</x14:id>
        </ext>
      </extLst>
    </cfRule>
  </conditionalFormatting>
  <conditionalFormatting sqref="AI91:AL91 AJ89:AL90">
    <cfRule type="expression" priority="704" stopIfTrue="1">
      <formula>AI89=""</formula>
    </cfRule>
    <cfRule type="expression" dxfId="2219" priority="705" stopIfTrue="1">
      <formula>AI89=CléPersonnalisée2</formula>
    </cfRule>
    <cfRule type="expression" dxfId="2218" priority="706" stopIfTrue="1">
      <formula>AI89=CléPersonnalisée1</formula>
    </cfRule>
    <cfRule type="expression" dxfId="2217" priority="707" stopIfTrue="1">
      <formula>AI89=CléMaladie</formula>
    </cfRule>
    <cfRule type="expression" dxfId="2216" priority="708" stopIfTrue="1">
      <formula>AI89=CléPersonnelle</formula>
    </cfRule>
    <cfRule type="expression" dxfId="2215" priority="709" stopIfTrue="1">
      <formula>AI89=CléCongés</formula>
    </cfRule>
  </conditionalFormatting>
  <conditionalFormatting sqref="AM89:AP90">
    <cfRule type="expression" priority="698" stopIfTrue="1">
      <formula>AM89=""</formula>
    </cfRule>
    <cfRule type="expression" dxfId="2214" priority="699" stopIfTrue="1">
      <formula>AM89=CléPersonnalisée2</formula>
    </cfRule>
    <cfRule type="expression" dxfId="2213" priority="700" stopIfTrue="1">
      <formula>AM89=CléPersonnalisée1</formula>
    </cfRule>
    <cfRule type="expression" dxfId="2212" priority="701" stopIfTrue="1">
      <formula>AM89=CléMaladie</formula>
    </cfRule>
    <cfRule type="expression" dxfId="2211" priority="702" stopIfTrue="1">
      <formula>AM89=CléPersonnelle</formula>
    </cfRule>
    <cfRule type="expression" dxfId="2210" priority="703" stopIfTrue="1">
      <formula>AM89=CléCongés</formula>
    </cfRule>
  </conditionalFormatting>
  <conditionalFormatting sqref="AQ89:AR90">
    <cfRule type="expression" priority="692" stopIfTrue="1">
      <formula>AQ89=""</formula>
    </cfRule>
    <cfRule type="expression" dxfId="2209" priority="693" stopIfTrue="1">
      <formula>AQ89=CléPersonnalisée2</formula>
    </cfRule>
    <cfRule type="expression" dxfId="2208" priority="694" stopIfTrue="1">
      <formula>AQ89=CléPersonnalisée1</formula>
    </cfRule>
    <cfRule type="expression" dxfId="2207" priority="695" stopIfTrue="1">
      <formula>AQ89=CléMaladie</formula>
    </cfRule>
    <cfRule type="expression" dxfId="2206" priority="696" stopIfTrue="1">
      <formula>AQ89=CléPersonnelle</formula>
    </cfRule>
    <cfRule type="expression" dxfId="2205" priority="697" stopIfTrue="1">
      <formula>AQ89=CléCongés</formula>
    </cfRule>
  </conditionalFormatting>
  <conditionalFormatting sqref="AM91 AP91">
    <cfRule type="expression" priority="686" stopIfTrue="1">
      <formula>AM91=""</formula>
    </cfRule>
    <cfRule type="expression" dxfId="2204" priority="687" stopIfTrue="1">
      <formula>AM91=CléPersonnalisée2</formula>
    </cfRule>
    <cfRule type="expression" dxfId="2203" priority="688" stopIfTrue="1">
      <formula>AM91=CléPersonnalisée1</formula>
    </cfRule>
    <cfRule type="expression" dxfId="2202" priority="689" stopIfTrue="1">
      <formula>AM91=CléMaladie</formula>
    </cfRule>
    <cfRule type="expression" dxfId="2201" priority="690" stopIfTrue="1">
      <formula>AM91=CléPersonnelle</formula>
    </cfRule>
    <cfRule type="expression" dxfId="2200" priority="691" stopIfTrue="1">
      <formula>AM91=CléCongés</formula>
    </cfRule>
  </conditionalFormatting>
  <conditionalFormatting sqref="AH89:AH90">
    <cfRule type="dataBar" priority="685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{AE6C6511-9D6F-4B29-9FDB-4FAD8ABEA224}</x14:id>
        </ext>
      </extLst>
    </cfRule>
  </conditionalFormatting>
  <conditionalFormatting sqref="AO91">
    <cfRule type="expression" priority="679" stopIfTrue="1">
      <formula>AO91=""</formula>
    </cfRule>
    <cfRule type="expression" dxfId="2199" priority="680" stopIfTrue="1">
      <formula>AO91=CléPersonnalisée2</formula>
    </cfRule>
    <cfRule type="expression" dxfId="2198" priority="681" stopIfTrue="1">
      <formula>AO91=CléPersonnalisée1</formula>
    </cfRule>
    <cfRule type="expression" dxfId="2197" priority="682" stopIfTrue="1">
      <formula>AO91=CléMaladie</formula>
    </cfRule>
    <cfRule type="expression" dxfId="2196" priority="683" stopIfTrue="1">
      <formula>AO91=CléPersonnelle</formula>
    </cfRule>
    <cfRule type="expression" dxfId="2195" priority="684" stopIfTrue="1">
      <formula>AO91=CléCongés</formula>
    </cfRule>
  </conditionalFormatting>
  <conditionalFormatting sqref="AI89:AI90">
    <cfRule type="expression" priority="673" stopIfTrue="1">
      <formula>AI89=""</formula>
    </cfRule>
    <cfRule type="expression" dxfId="2194" priority="674" stopIfTrue="1">
      <formula>AI89=CléPersonnalisée2</formula>
    </cfRule>
    <cfRule type="expression" dxfId="2193" priority="675" stopIfTrue="1">
      <formula>AI89=CléPersonnalisée1</formula>
    </cfRule>
    <cfRule type="expression" dxfId="2192" priority="676" stopIfTrue="1">
      <formula>AI89=CléMaladie</formula>
    </cfRule>
    <cfRule type="expression" dxfId="2191" priority="677" stopIfTrue="1">
      <formula>AI89=CléPersonnelle</formula>
    </cfRule>
    <cfRule type="expression" dxfId="2190" priority="678" stopIfTrue="1">
      <formula>AI89=CléCongés</formula>
    </cfRule>
  </conditionalFormatting>
  <conditionalFormatting sqref="AN91">
    <cfRule type="expression" priority="667" stopIfTrue="1">
      <formula>AN91=""</formula>
    </cfRule>
    <cfRule type="expression" dxfId="2189" priority="668" stopIfTrue="1">
      <formula>AN91=CléPersonnalisée2</formula>
    </cfRule>
    <cfRule type="expression" dxfId="2188" priority="669" stopIfTrue="1">
      <formula>AN91=CléPersonnalisée1</formula>
    </cfRule>
    <cfRule type="expression" dxfId="2187" priority="670" stopIfTrue="1">
      <formula>AN91=CléMaladie</formula>
    </cfRule>
    <cfRule type="expression" dxfId="2186" priority="671" stopIfTrue="1">
      <formula>AN91=CléPersonnelle</formula>
    </cfRule>
    <cfRule type="expression" dxfId="2185" priority="672" stopIfTrue="1">
      <formula>AN91=CléCongés</formula>
    </cfRule>
  </conditionalFormatting>
  <conditionalFormatting sqref="AR91">
    <cfRule type="expression" priority="661" stopIfTrue="1">
      <formula>AR91=""</formula>
    </cfRule>
    <cfRule type="expression" dxfId="2184" priority="662" stopIfTrue="1">
      <formula>AR91=CléPersonnalisée2</formula>
    </cfRule>
    <cfRule type="expression" dxfId="2183" priority="663" stopIfTrue="1">
      <formula>AR91=CléPersonnalisée1</formula>
    </cfRule>
    <cfRule type="expression" dxfId="2182" priority="664" stopIfTrue="1">
      <formula>AR91=CléMaladie</formula>
    </cfRule>
    <cfRule type="expression" dxfId="2181" priority="665" stopIfTrue="1">
      <formula>AR91=CléPersonnelle</formula>
    </cfRule>
    <cfRule type="expression" dxfId="2180" priority="666" stopIfTrue="1">
      <formula>AR91=CléCongés</formula>
    </cfRule>
  </conditionalFormatting>
  <conditionalFormatting sqref="AO75">
    <cfRule type="expression" priority="649" stopIfTrue="1">
      <formula>AO75=""</formula>
    </cfRule>
    <cfRule type="expression" dxfId="2179" priority="650" stopIfTrue="1">
      <formula>AO75=CléPersonnalisée2</formula>
    </cfRule>
    <cfRule type="expression" dxfId="2178" priority="651" stopIfTrue="1">
      <formula>AO75=CléPersonnalisée1</formula>
    </cfRule>
    <cfRule type="expression" dxfId="2177" priority="652" stopIfTrue="1">
      <formula>AO75=CléMaladie</formula>
    </cfRule>
    <cfRule type="expression" dxfId="2176" priority="653" stopIfTrue="1">
      <formula>AO75=CléPersonnelle</formula>
    </cfRule>
    <cfRule type="expression" dxfId="2175" priority="654" stopIfTrue="1">
      <formula>AO75=CléCongés</formula>
    </cfRule>
  </conditionalFormatting>
  <conditionalFormatting sqref="AN75">
    <cfRule type="expression" priority="643" stopIfTrue="1">
      <formula>AN75=""</formula>
    </cfRule>
    <cfRule type="expression" dxfId="2174" priority="644" stopIfTrue="1">
      <formula>AN75=CléPersonnalisée2</formula>
    </cfRule>
    <cfRule type="expression" dxfId="2173" priority="645" stopIfTrue="1">
      <formula>AN75=CléPersonnalisée1</formula>
    </cfRule>
    <cfRule type="expression" dxfId="2172" priority="646" stopIfTrue="1">
      <formula>AN75=CléMaladie</formula>
    </cfRule>
    <cfRule type="expression" dxfId="2171" priority="647" stopIfTrue="1">
      <formula>AN75=CléPersonnelle</formula>
    </cfRule>
    <cfRule type="expression" dxfId="2170" priority="648" stopIfTrue="1">
      <formula>AN75=CléCongés</formula>
    </cfRule>
  </conditionalFormatting>
  <conditionalFormatting sqref="AQ124:AR124">
    <cfRule type="expression" priority="637" stopIfTrue="1">
      <formula>AQ124=""</formula>
    </cfRule>
    <cfRule type="expression" dxfId="2169" priority="638" stopIfTrue="1">
      <formula>AQ124=CléPersonnalisée2</formula>
    </cfRule>
    <cfRule type="expression" dxfId="2168" priority="639" stopIfTrue="1">
      <formula>AQ124=CléPersonnalisée1</formula>
    </cfRule>
    <cfRule type="expression" dxfId="2167" priority="640" stopIfTrue="1">
      <formula>AQ124=CléMaladie</formula>
    </cfRule>
    <cfRule type="expression" dxfId="2166" priority="641" stopIfTrue="1">
      <formula>AQ124=CléPersonnelle</formula>
    </cfRule>
    <cfRule type="expression" dxfId="2165" priority="642" stopIfTrue="1">
      <formula>AQ124=CléCongés</formula>
    </cfRule>
  </conditionalFormatting>
  <conditionalFormatting sqref="AQ123">
    <cfRule type="expression" priority="451" stopIfTrue="1">
      <formula>AQ123=""</formula>
    </cfRule>
    <cfRule type="expression" dxfId="2164" priority="452" stopIfTrue="1">
      <formula>AQ123=CléPersonnalisée2</formula>
    </cfRule>
    <cfRule type="expression" dxfId="2163" priority="453" stopIfTrue="1">
      <formula>AQ123=CléPersonnalisée1</formula>
    </cfRule>
    <cfRule type="expression" dxfId="2162" priority="454" stopIfTrue="1">
      <formula>AQ123=CléMaladie</formula>
    </cfRule>
    <cfRule type="expression" dxfId="2161" priority="455" stopIfTrue="1">
      <formula>AQ123=CléPersonnelle</formula>
    </cfRule>
    <cfRule type="expression" dxfId="2160" priority="456" stopIfTrue="1">
      <formula>AQ123=CléCongés</formula>
    </cfRule>
  </conditionalFormatting>
  <conditionalFormatting sqref="AQ104:AR104 AQ112:AR112 AQ116:AR116">
    <cfRule type="expression" priority="631" stopIfTrue="1">
      <formula>AQ104=""</formula>
    </cfRule>
    <cfRule type="expression" dxfId="2159" priority="632" stopIfTrue="1">
      <formula>AQ104=CléPersonnalisée2</formula>
    </cfRule>
    <cfRule type="expression" dxfId="2158" priority="633" stopIfTrue="1">
      <formula>AQ104=CléPersonnalisée1</formula>
    </cfRule>
    <cfRule type="expression" dxfId="2157" priority="634" stopIfTrue="1">
      <formula>AQ104=CléMaladie</formula>
    </cfRule>
    <cfRule type="expression" dxfId="2156" priority="635" stopIfTrue="1">
      <formula>AQ104=CléPersonnelle</formula>
    </cfRule>
    <cfRule type="expression" dxfId="2155" priority="636" stopIfTrue="1">
      <formula>AQ104=CléCongés</formula>
    </cfRule>
  </conditionalFormatting>
  <conditionalFormatting sqref="AQ95 AQ103 AQ99">
    <cfRule type="expression" priority="569" stopIfTrue="1">
      <formula>AQ95=""</formula>
    </cfRule>
    <cfRule type="expression" dxfId="2154" priority="570" stopIfTrue="1">
      <formula>AQ95=CléPersonnalisée2</formula>
    </cfRule>
    <cfRule type="expression" dxfId="2153" priority="571" stopIfTrue="1">
      <formula>AQ95=CléPersonnalisée1</formula>
    </cfRule>
    <cfRule type="expression" dxfId="2152" priority="572" stopIfTrue="1">
      <formula>AQ95=CléMaladie</formula>
    </cfRule>
    <cfRule type="expression" dxfId="2151" priority="573" stopIfTrue="1">
      <formula>AQ95=CléPersonnelle</formula>
    </cfRule>
    <cfRule type="expression" dxfId="2150" priority="574" stopIfTrue="1">
      <formula>AQ95=CléCongés</formula>
    </cfRule>
  </conditionalFormatting>
  <conditionalFormatting sqref="C93:AG95 C101:AG103 C97:AG99">
    <cfRule type="expression" priority="624" stopIfTrue="1">
      <formula>C93=""</formula>
    </cfRule>
    <cfRule type="expression" dxfId="2149" priority="625" stopIfTrue="1">
      <formula>C93=CléPersonnalisée2</formula>
    </cfRule>
    <cfRule type="expression" dxfId="2148" priority="626" stopIfTrue="1">
      <formula>C93=CléPersonnalisée1</formula>
    </cfRule>
    <cfRule type="expression" dxfId="2147" priority="627" stopIfTrue="1">
      <formula>C93=CléMaladie</formula>
    </cfRule>
    <cfRule type="expression" dxfId="2146" priority="628" stopIfTrue="1">
      <formula>C93=CléPersonnelle</formula>
    </cfRule>
    <cfRule type="expression" dxfId="2145" priority="629" stopIfTrue="1">
      <formula>C93=CléCongés</formula>
    </cfRule>
  </conditionalFormatting>
  <conditionalFormatting sqref="AH101:AH103 AH95 AH97:AH99">
    <cfRule type="dataBar" priority="630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{497CC8FB-A9F5-4DB6-BC35-C0CE0044FD4F}</x14:id>
        </ext>
      </extLst>
    </cfRule>
  </conditionalFormatting>
  <conditionalFormatting sqref="AI95:AL95 AJ93:AL94 AI101:AL103 AI97:AL99">
    <cfRule type="expression" priority="618" stopIfTrue="1">
      <formula>AI93=""</formula>
    </cfRule>
    <cfRule type="expression" dxfId="2144" priority="619" stopIfTrue="1">
      <formula>AI93=CléPersonnalisée2</formula>
    </cfRule>
    <cfRule type="expression" dxfId="2143" priority="620" stopIfTrue="1">
      <formula>AI93=CléPersonnalisée1</formula>
    </cfRule>
    <cfRule type="expression" dxfId="2142" priority="621" stopIfTrue="1">
      <formula>AI93=CléMaladie</formula>
    </cfRule>
    <cfRule type="expression" dxfId="2141" priority="622" stopIfTrue="1">
      <formula>AI93=CléPersonnelle</formula>
    </cfRule>
    <cfRule type="expression" dxfId="2140" priority="623" stopIfTrue="1">
      <formula>AI93=CléCongés</formula>
    </cfRule>
  </conditionalFormatting>
  <conditionalFormatting sqref="AM93:AP94">
    <cfRule type="expression" priority="612" stopIfTrue="1">
      <formula>AM93=""</formula>
    </cfRule>
    <cfRule type="expression" dxfId="2139" priority="613" stopIfTrue="1">
      <formula>AM93=CléPersonnalisée2</formula>
    </cfRule>
    <cfRule type="expression" dxfId="2138" priority="614" stopIfTrue="1">
      <formula>AM93=CléPersonnalisée1</formula>
    </cfRule>
    <cfRule type="expression" dxfId="2137" priority="615" stopIfTrue="1">
      <formula>AM93=CléMaladie</formula>
    </cfRule>
    <cfRule type="expression" dxfId="2136" priority="616" stopIfTrue="1">
      <formula>AM93=CléPersonnelle</formula>
    </cfRule>
    <cfRule type="expression" dxfId="2135" priority="617" stopIfTrue="1">
      <formula>AM93=CléCongés</formula>
    </cfRule>
  </conditionalFormatting>
  <conditionalFormatting sqref="AQ93:AR94">
    <cfRule type="expression" priority="606" stopIfTrue="1">
      <formula>AQ93=""</formula>
    </cfRule>
    <cfRule type="expression" dxfId="2134" priority="607" stopIfTrue="1">
      <formula>AQ93=CléPersonnalisée2</formula>
    </cfRule>
    <cfRule type="expression" dxfId="2133" priority="608" stopIfTrue="1">
      <formula>AQ93=CléPersonnalisée1</formula>
    </cfRule>
    <cfRule type="expression" dxfId="2132" priority="609" stopIfTrue="1">
      <formula>AQ93=CléMaladie</formula>
    </cfRule>
    <cfRule type="expression" dxfId="2131" priority="610" stopIfTrue="1">
      <formula>AQ93=CléPersonnelle</formula>
    </cfRule>
    <cfRule type="expression" dxfId="2130" priority="611" stopIfTrue="1">
      <formula>AQ93=CléCongés</formula>
    </cfRule>
  </conditionalFormatting>
  <conditionalFormatting sqref="AP95 AP103 AM103 AP99 AM99">
    <cfRule type="expression" priority="600" stopIfTrue="1">
      <formula>AM95=""</formula>
    </cfRule>
    <cfRule type="expression" dxfId="2129" priority="601" stopIfTrue="1">
      <formula>AM95=CléPersonnalisée2</formula>
    </cfRule>
    <cfRule type="expression" dxfId="2128" priority="602" stopIfTrue="1">
      <formula>AM95=CléPersonnalisée1</formula>
    </cfRule>
    <cfRule type="expression" dxfId="2127" priority="603" stopIfTrue="1">
      <formula>AM95=CléMaladie</formula>
    </cfRule>
    <cfRule type="expression" dxfId="2126" priority="604" stopIfTrue="1">
      <formula>AM95=CléPersonnelle</formula>
    </cfRule>
    <cfRule type="expression" dxfId="2125" priority="605" stopIfTrue="1">
      <formula>AM95=CléCongés</formula>
    </cfRule>
  </conditionalFormatting>
  <conditionalFormatting sqref="AH93:AH94">
    <cfRule type="dataBar" priority="599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{6E3B798B-8CF6-4FF1-9E38-F991C6595671}</x14:id>
        </ext>
      </extLst>
    </cfRule>
  </conditionalFormatting>
  <conditionalFormatting sqref="AO95 AO103 AO99">
    <cfRule type="expression" priority="593" stopIfTrue="1">
      <formula>AO95=""</formula>
    </cfRule>
    <cfRule type="expression" dxfId="2124" priority="594" stopIfTrue="1">
      <formula>AO95=CléPersonnalisée2</formula>
    </cfRule>
    <cfRule type="expression" dxfId="2123" priority="595" stopIfTrue="1">
      <formula>AO95=CléPersonnalisée1</formula>
    </cfRule>
    <cfRule type="expression" dxfId="2122" priority="596" stopIfTrue="1">
      <formula>AO95=CléMaladie</formula>
    </cfRule>
    <cfRule type="expression" dxfId="2121" priority="597" stopIfTrue="1">
      <formula>AO95=CléPersonnelle</formula>
    </cfRule>
    <cfRule type="expression" dxfId="2120" priority="598" stopIfTrue="1">
      <formula>AO95=CléCongés</formula>
    </cfRule>
  </conditionalFormatting>
  <conditionalFormatting sqref="AI93:AI94">
    <cfRule type="expression" priority="587" stopIfTrue="1">
      <formula>AI93=""</formula>
    </cfRule>
    <cfRule type="expression" dxfId="2119" priority="588" stopIfTrue="1">
      <formula>AI93=CléPersonnalisée2</formula>
    </cfRule>
    <cfRule type="expression" dxfId="2118" priority="589" stopIfTrue="1">
      <formula>AI93=CléPersonnalisée1</formula>
    </cfRule>
    <cfRule type="expression" dxfId="2117" priority="590" stopIfTrue="1">
      <formula>AI93=CléMaladie</formula>
    </cfRule>
    <cfRule type="expression" dxfId="2116" priority="591" stopIfTrue="1">
      <formula>AI93=CléPersonnelle</formula>
    </cfRule>
    <cfRule type="expression" dxfId="2115" priority="592" stopIfTrue="1">
      <formula>AI93=CléCongés</formula>
    </cfRule>
  </conditionalFormatting>
  <conditionalFormatting sqref="AN95 AN103 AN99">
    <cfRule type="expression" priority="581" stopIfTrue="1">
      <formula>AN95=""</formula>
    </cfRule>
    <cfRule type="expression" dxfId="2114" priority="582" stopIfTrue="1">
      <formula>AN95=CléPersonnalisée2</formula>
    </cfRule>
    <cfRule type="expression" dxfId="2113" priority="583" stopIfTrue="1">
      <formula>AN95=CléPersonnalisée1</formula>
    </cfRule>
    <cfRule type="expression" dxfId="2112" priority="584" stopIfTrue="1">
      <formula>AN95=CléMaladie</formula>
    </cfRule>
    <cfRule type="expression" dxfId="2111" priority="585" stopIfTrue="1">
      <formula>AN95=CléPersonnelle</formula>
    </cfRule>
    <cfRule type="expression" dxfId="2110" priority="586" stopIfTrue="1">
      <formula>AN95=CléCongés</formula>
    </cfRule>
  </conditionalFormatting>
  <conditionalFormatting sqref="AR95 AR103 AR99">
    <cfRule type="expression" priority="575" stopIfTrue="1">
      <formula>AR95=""</formula>
    </cfRule>
    <cfRule type="expression" dxfId="2109" priority="576" stopIfTrue="1">
      <formula>AR95=CléPersonnalisée2</formula>
    </cfRule>
    <cfRule type="expression" dxfId="2108" priority="577" stopIfTrue="1">
      <formula>AR95=CléPersonnalisée1</formula>
    </cfRule>
    <cfRule type="expression" dxfId="2107" priority="578" stopIfTrue="1">
      <formula>AR95=CléMaladie</formula>
    </cfRule>
    <cfRule type="expression" dxfId="2106" priority="579" stopIfTrue="1">
      <formula>AR95=CléPersonnelle</formula>
    </cfRule>
    <cfRule type="expression" dxfId="2105" priority="580" stopIfTrue="1">
      <formula>AR95=CléCongés</formula>
    </cfRule>
  </conditionalFormatting>
  <conditionalFormatting sqref="AQ111">
    <cfRule type="expression" priority="513" stopIfTrue="1">
      <formula>AQ111=""</formula>
    </cfRule>
    <cfRule type="expression" dxfId="2104" priority="514" stopIfTrue="1">
      <formula>AQ111=CléPersonnalisée2</formula>
    </cfRule>
    <cfRule type="expression" dxfId="2103" priority="515" stopIfTrue="1">
      <formula>AQ111=CléPersonnalisée1</formula>
    </cfRule>
    <cfRule type="expression" dxfId="2102" priority="516" stopIfTrue="1">
      <formula>AQ111=CléMaladie</formula>
    </cfRule>
    <cfRule type="expression" dxfId="2101" priority="517" stopIfTrue="1">
      <formula>AQ111=CléPersonnelle</formula>
    </cfRule>
    <cfRule type="expression" dxfId="2100" priority="518" stopIfTrue="1">
      <formula>AQ111=CléCongés</formula>
    </cfRule>
  </conditionalFormatting>
  <conditionalFormatting sqref="C109:AG111">
    <cfRule type="expression" priority="562" stopIfTrue="1">
      <formula>C109=""</formula>
    </cfRule>
    <cfRule type="expression" dxfId="2099" priority="563" stopIfTrue="1">
      <formula>C109=CléPersonnalisée2</formula>
    </cfRule>
    <cfRule type="expression" dxfId="2098" priority="564" stopIfTrue="1">
      <formula>C109=CléPersonnalisée1</formula>
    </cfRule>
    <cfRule type="expression" dxfId="2097" priority="565" stopIfTrue="1">
      <formula>C109=CléMaladie</formula>
    </cfRule>
    <cfRule type="expression" dxfId="2096" priority="566" stopIfTrue="1">
      <formula>C109=CléPersonnelle</formula>
    </cfRule>
    <cfRule type="expression" dxfId="2095" priority="567" stopIfTrue="1">
      <formula>C109=CléCongés</formula>
    </cfRule>
  </conditionalFormatting>
  <conditionalFormatting sqref="AH111">
    <cfRule type="dataBar" priority="568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{B0B08A8B-3ED4-4DA8-85C0-E4C7F8B40362}</x14:id>
        </ext>
      </extLst>
    </cfRule>
  </conditionalFormatting>
  <conditionalFormatting sqref="AI111:AL111 AJ109:AL110">
    <cfRule type="expression" priority="556" stopIfTrue="1">
      <formula>AI109=""</formula>
    </cfRule>
    <cfRule type="expression" dxfId="2094" priority="557" stopIfTrue="1">
      <formula>AI109=CléPersonnalisée2</formula>
    </cfRule>
    <cfRule type="expression" dxfId="2093" priority="558" stopIfTrue="1">
      <formula>AI109=CléPersonnalisée1</formula>
    </cfRule>
    <cfRule type="expression" dxfId="2092" priority="559" stopIfTrue="1">
      <formula>AI109=CléMaladie</formula>
    </cfRule>
    <cfRule type="expression" dxfId="2091" priority="560" stopIfTrue="1">
      <formula>AI109=CléPersonnelle</formula>
    </cfRule>
    <cfRule type="expression" dxfId="2090" priority="561" stopIfTrue="1">
      <formula>AI109=CléCongés</formula>
    </cfRule>
  </conditionalFormatting>
  <conditionalFormatting sqref="AM109:AP110">
    <cfRule type="expression" priority="550" stopIfTrue="1">
      <formula>AM109=""</formula>
    </cfRule>
    <cfRule type="expression" dxfId="2089" priority="551" stopIfTrue="1">
      <formula>AM109=CléPersonnalisée2</formula>
    </cfRule>
    <cfRule type="expression" dxfId="2088" priority="552" stopIfTrue="1">
      <formula>AM109=CléPersonnalisée1</formula>
    </cfRule>
    <cfRule type="expression" dxfId="2087" priority="553" stopIfTrue="1">
      <formula>AM109=CléMaladie</formula>
    </cfRule>
    <cfRule type="expression" dxfId="2086" priority="554" stopIfTrue="1">
      <formula>AM109=CléPersonnelle</formula>
    </cfRule>
    <cfRule type="expression" dxfId="2085" priority="555" stopIfTrue="1">
      <formula>AM109=CléCongés</formula>
    </cfRule>
  </conditionalFormatting>
  <conditionalFormatting sqref="AQ109:AR110">
    <cfRule type="expression" priority="544" stopIfTrue="1">
      <formula>AQ109=""</formula>
    </cfRule>
    <cfRule type="expression" dxfId="2084" priority="545" stopIfTrue="1">
      <formula>AQ109=CléPersonnalisée2</formula>
    </cfRule>
    <cfRule type="expression" dxfId="2083" priority="546" stopIfTrue="1">
      <formula>AQ109=CléPersonnalisée1</formula>
    </cfRule>
    <cfRule type="expression" dxfId="2082" priority="547" stopIfTrue="1">
      <formula>AQ109=CléMaladie</formula>
    </cfRule>
    <cfRule type="expression" dxfId="2081" priority="548" stopIfTrue="1">
      <formula>AQ109=CléPersonnelle</formula>
    </cfRule>
    <cfRule type="expression" dxfId="2080" priority="549" stopIfTrue="1">
      <formula>AQ109=CléCongés</formula>
    </cfRule>
  </conditionalFormatting>
  <conditionalFormatting sqref="AM111 AP111">
    <cfRule type="expression" priority="538" stopIfTrue="1">
      <formula>AM111=""</formula>
    </cfRule>
    <cfRule type="expression" dxfId="2079" priority="539" stopIfTrue="1">
      <formula>AM111=CléPersonnalisée2</formula>
    </cfRule>
    <cfRule type="expression" dxfId="2078" priority="540" stopIfTrue="1">
      <formula>AM111=CléPersonnalisée1</formula>
    </cfRule>
    <cfRule type="expression" dxfId="2077" priority="541" stopIfTrue="1">
      <formula>AM111=CléMaladie</formula>
    </cfRule>
    <cfRule type="expression" dxfId="2076" priority="542" stopIfTrue="1">
      <formula>AM111=CléPersonnelle</formula>
    </cfRule>
    <cfRule type="expression" dxfId="2075" priority="543" stopIfTrue="1">
      <formula>AM111=CléCongés</formula>
    </cfRule>
  </conditionalFormatting>
  <conditionalFormatting sqref="AH109:AH110">
    <cfRule type="dataBar" priority="537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{59235CCF-4F61-4E65-9681-B76C4A23BBB1}</x14:id>
        </ext>
      </extLst>
    </cfRule>
  </conditionalFormatting>
  <conditionalFormatting sqref="AI109:AI110">
    <cfRule type="expression" priority="531" stopIfTrue="1">
      <formula>AI109=""</formula>
    </cfRule>
    <cfRule type="expression" dxfId="2074" priority="532" stopIfTrue="1">
      <formula>AI109=CléPersonnalisée2</formula>
    </cfRule>
    <cfRule type="expression" dxfId="2073" priority="533" stopIfTrue="1">
      <formula>AI109=CléPersonnalisée1</formula>
    </cfRule>
    <cfRule type="expression" dxfId="2072" priority="534" stopIfTrue="1">
      <formula>AI109=CléMaladie</formula>
    </cfRule>
    <cfRule type="expression" dxfId="2071" priority="535" stopIfTrue="1">
      <formula>AI109=CléPersonnelle</formula>
    </cfRule>
    <cfRule type="expression" dxfId="2070" priority="536" stopIfTrue="1">
      <formula>AI109=CléCongés</formula>
    </cfRule>
  </conditionalFormatting>
  <conditionalFormatting sqref="AN111">
    <cfRule type="expression" priority="525" stopIfTrue="1">
      <formula>AN111=""</formula>
    </cfRule>
    <cfRule type="expression" dxfId="2069" priority="526" stopIfTrue="1">
      <formula>AN111=CléPersonnalisée2</formula>
    </cfRule>
    <cfRule type="expression" dxfId="2068" priority="527" stopIfTrue="1">
      <formula>AN111=CléPersonnalisée1</formula>
    </cfRule>
    <cfRule type="expression" dxfId="2067" priority="528" stopIfTrue="1">
      <formula>AN111=CléMaladie</formula>
    </cfRule>
    <cfRule type="expression" dxfId="2066" priority="529" stopIfTrue="1">
      <formula>AN111=CléPersonnelle</formula>
    </cfRule>
    <cfRule type="expression" dxfId="2065" priority="530" stopIfTrue="1">
      <formula>AN111=CléCongés</formula>
    </cfRule>
  </conditionalFormatting>
  <conditionalFormatting sqref="AR111">
    <cfRule type="expression" priority="519" stopIfTrue="1">
      <formula>AR111=""</formula>
    </cfRule>
    <cfRule type="expression" dxfId="2064" priority="520" stopIfTrue="1">
      <formula>AR111=CléPersonnalisée2</formula>
    </cfRule>
    <cfRule type="expression" dxfId="2063" priority="521" stopIfTrue="1">
      <formula>AR111=CléPersonnalisée1</formula>
    </cfRule>
    <cfRule type="expression" dxfId="2062" priority="522" stopIfTrue="1">
      <formula>AR111=CléMaladie</formula>
    </cfRule>
    <cfRule type="expression" dxfId="2061" priority="523" stopIfTrue="1">
      <formula>AR111=CléPersonnelle</formula>
    </cfRule>
    <cfRule type="expression" dxfId="2060" priority="524" stopIfTrue="1">
      <formula>AR111=CléCongés</formula>
    </cfRule>
  </conditionalFormatting>
  <conditionalFormatting sqref="C121:AG123">
    <cfRule type="expression" priority="506" stopIfTrue="1">
      <formula>C121=""</formula>
    </cfRule>
    <cfRule type="expression" dxfId="2059" priority="507" stopIfTrue="1">
      <formula>C121=CléPersonnalisée2</formula>
    </cfRule>
    <cfRule type="expression" dxfId="2058" priority="508" stopIfTrue="1">
      <formula>C121=CléPersonnalisée1</formula>
    </cfRule>
    <cfRule type="expression" dxfId="2057" priority="509" stopIfTrue="1">
      <formula>C121=CléMaladie</formula>
    </cfRule>
    <cfRule type="expression" dxfId="2056" priority="510" stopIfTrue="1">
      <formula>C121=CléPersonnelle</formula>
    </cfRule>
    <cfRule type="expression" dxfId="2055" priority="511" stopIfTrue="1">
      <formula>C121=CléCongés</formula>
    </cfRule>
  </conditionalFormatting>
  <conditionalFormatting sqref="AH123">
    <cfRule type="dataBar" priority="512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{75F58B3B-4747-493D-9913-63E7DDB6DF0C}</x14:id>
        </ext>
      </extLst>
    </cfRule>
  </conditionalFormatting>
  <conditionalFormatting sqref="AI123:AL123 AJ121:AL122">
    <cfRule type="expression" priority="500" stopIfTrue="1">
      <formula>AI121=""</formula>
    </cfRule>
    <cfRule type="expression" dxfId="2054" priority="501" stopIfTrue="1">
      <formula>AI121=CléPersonnalisée2</formula>
    </cfRule>
    <cfRule type="expression" dxfId="2053" priority="502" stopIfTrue="1">
      <formula>AI121=CléPersonnalisée1</formula>
    </cfRule>
    <cfRule type="expression" dxfId="2052" priority="503" stopIfTrue="1">
      <formula>AI121=CléMaladie</formula>
    </cfRule>
    <cfRule type="expression" dxfId="2051" priority="504" stopIfTrue="1">
      <formula>AI121=CléPersonnelle</formula>
    </cfRule>
    <cfRule type="expression" dxfId="2050" priority="505" stopIfTrue="1">
      <formula>AI121=CléCongés</formula>
    </cfRule>
  </conditionalFormatting>
  <conditionalFormatting sqref="AM121:AP122">
    <cfRule type="expression" priority="494" stopIfTrue="1">
      <formula>AM121=""</formula>
    </cfRule>
    <cfRule type="expression" dxfId="2049" priority="495" stopIfTrue="1">
      <formula>AM121=CléPersonnalisée2</formula>
    </cfRule>
    <cfRule type="expression" dxfId="2048" priority="496" stopIfTrue="1">
      <formula>AM121=CléPersonnalisée1</formula>
    </cfRule>
    <cfRule type="expression" dxfId="2047" priority="497" stopIfTrue="1">
      <formula>AM121=CléMaladie</formula>
    </cfRule>
    <cfRule type="expression" dxfId="2046" priority="498" stopIfTrue="1">
      <formula>AM121=CléPersonnelle</formula>
    </cfRule>
    <cfRule type="expression" dxfId="2045" priority="499" stopIfTrue="1">
      <formula>AM121=CléCongés</formula>
    </cfRule>
  </conditionalFormatting>
  <conditionalFormatting sqref="AQ121:AR122">
    <cfRule type="expression" priority="488" stopIfTrue="1">
      <formula>AQ121=""</formula>
    </cfRule>
    <cfRule type="expression" dxfId="2044" priority="489" stopIfTrue="1">
      <formula>AQ121=CléPersonnalisée2</formula>
    </cfRule>
    <cfRule type="expression" dxfId="2043" priority="490" stopIfTrue="1">
      <formula>AQ121=CléPersonnalisée1</formula>
    </cfRule>
    <cfRule type="expression" dxfId="2042" priority="491" stopIfTrue="1">
      <formula>AQ121=CléMaladie</formula>
    </cfRule>
    <cfRule type="expression" dxfId="2041" priority="492" stopIfTrue="1">
      <formula>AQ121=CléPersonnelle</formula>
    </cfRule>
    <cfRule type="expression" dxfId="2040" priority="493" stopIfTrue="1">
      <formula>AQ121=CléCongés</formula>
    </cfRule>
  </conditionalFormatting>
  <conditionalFormatting sqref="AM123 AP123">
    <cfRule type="expression" priority="482" stopIfTrue="1">
      <formula>AM123=""</formula>
    </cfRule>
    <cfRule type="expression" dxfId="2039" priority="483" stopIfTrue="1">
      <formula>AM123=CléPersonnalisée2</formula>
    </cfRule>
    <cfRule type="expression" dxfId="2038" priority="484" stopIfTrue="1">
      <formula>AM123=CléPersonnalisée1</formula>
    </cfRule>
    <cfRule type="expression" dxfId="2037" priority="485" stopIfTrue="1">
      <formula>AM123=CléMaladie</formula>
    </cfRule>
    <cfRule type="expression" dxfId="2036" priority="486" stopIfTrue="1">
      <formula>AM123=CléPersonnelle</formula>
    </cfRule>
    <cfRule type="expression" dxfId="2035" priority="487" stopIfTrue="1">
      <formula>AM123=CléCongés</formula>
    </cfRule>
  </conditionalFormatting>
  <conditionalFormatting sqref="AH121:AH122">
    <cfRule type="dataBar" priority="481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{A10815CD-B8E2-4884-A5C4-8C6DA93556E5}</x14:id>
        </ext>
      </extLst>
    </cfRule>
  </conditionalFormatting>
  <conditionalFormatting sqref="AO123">
    <cfRule type="expression" priority="475" stopIfTrue="1">
      <formula>AO123=""</formula>
    </cfRule>
    <cfRule type="expression" dxfId="2034" priority="476" stopIfTrue="1">
      <formula>AO123=CléPersonnalisée2</formula>
    </cfRule>
    <cfRule type="expression" dxfId="2033" priority="477" stopIfTrue="1">
      <formula>AO123=CléPersonnalisée1</formula>
    </cfRule>
    <cfRule type="expression" dxfId="2032" priority="478" stopIfTrue="1">
      <formula>AO123=CléMaladie</formula>
    </cfRule>
    <cfRule type="expression" dxfId="2031" priority="479" stopIfTrue="1">
      <formula>AO123=CléPersonnelle</formula>
    </cfRule>
    <cfRule type="expression" dxfId="2030" priority="480" stopIfTrue="1">
      <formula>AO123=CléCongés</formula>
    </cfRule>
  </conditionalFormatting>
  <conditionalFormatting sqref="AI121:AI122">
    <cfRule type="expression" priority="469" stopIfTrue="1">
      <formula>AI121=""</formula>
    </cfRule>
    <cfRule type="expression" dxfId="2029" priority="470" stopIfTrue="1">
      <formula>AI121=CléPersonnalisée2</formula>
    </cfRule>
    <cfRule type="expression" dxfId="2028" priority="471" stopIfTrue="1">
      <formula>AI121=CléPersonnalisée1</formula>
    </cfRule>
    <cfRule type="expression" dxfId="2027" priority="472" stopIfTrue="1">
      <formula>AI121=CléMaladie</formula>
    </cfRule>
    <cfRule type="expression" dxfId="2026" priority="473" stopIfTrue="1">
      <formula>AI121=CléPersonnelle</formula>
    </cfRule>
    <cfRule type="expression" dxfId="2025" priority="474" stopIfTrue="1">
      <formula>AI121=CléCongés</formula>
    </cfRule>
  </conditionalFormatting>
  <conditionalFormatting sqref="AN123">
    <cfRule type="expression" priority="463" stopIfTrue="1">
      <formula>AN123=""</formula>
    </cfRule>
    <cfRule type="expression" dxfId="2024" priority="464" stopIfTrue="1">
      <formula>AN123=CléPersonnalisée2</formula>
    </cfRule>
    <cfRule type="expression" dxfId="2023" priority="465" stopIfTrue="1">
      <formula>AN123=CléPersonnalisée1</formula>
    </cfRule>
    <cfRule type="expression" dxfId="2022" priority="466" stopIfTrue="1">
      <formula>AN123=CléMaladie</formula>
    </cfRule>
    <cfRule type="expression" dxfId="2021" priority="467" stopIfTrue="1">
      <formula>AN123=CléPersonnelle</formula>
    </cfRule>
    <cfRule type="expression" dxfId="2020" priority="468" stopIfTrue="1">
      <formula>AN123=CléCongés</formula>
    </cfRule>
  </conditionalFormatting>
  <conditionalFormatting sqref="AR123">
    <cfRule type="expression" priority="457" stopIfTrue="1">
      <formula>AR123=""</formula>
    </cfRule>
    <cfRule type="expression" dxfId="2019" priority="458" stopIfTrue="1">
      <formula>AR123=CléPersonnalisée2</formula>
    </cfRule>
    <cfRule type="expression" dxfId="2018" priority="459" stopIfTrue="1">
      <formula>AR123=CléPersonnalisée1</formula>
    </cfRule>
    <cfRule type="expression" dxfId="2017" priority="460" stopIfTrue="1">
      <formula>AR123=CléMaladie</formula>
    </cfRule>
    <cfRule type="expression" dxfId="2016" priority="461" stopIfTrue="1">
      <formula>AR123=CléPersonnelle</formula>
    </cfRule>
    <cfRule type="expression" dxfId="2015" priority="462" stopIfTrue="1">
      <formula>AR123=CléCongés</formula>
    </cfRule>
  </conditionalFormatting>
  <conditionalFormatting sqref="AQ115">
    <cfRule type="expression" priority="389" stopIfTrue="1">
      <formula>AQ115=""</formula>
    </cfRule>
    <cfRule type="expression" dxfId="2014" priority="390" stopIfTrue="1">
      <formula>AQ115=CléPersonnalisée2</formula>
    </cfRule>
    <cfRule type="expression" dxfId="2013" priority="391" stopIfTrue="1">
      <formula>AQ115=CléPersonnalisée1</formula>
    </cfRule>
    <cfRule type="expression" dxfId="2012" priority="392" stopIfTrue="1">
      <formula>AQ115=CléMaladie</formula>
    </cfRule>
    <cfRule type="expression" dxfId="2011" priority="393" stopIfTrue="1">
      <formula>AQ115=CléPersonnelle</formula>
    </cfRule>
    <cfRule type="expression" dxfId="2010" priority="394" stopIfTrue="1">
      <formula>AQ115=CléCongés</formula>
    </cfRule>
  </conditionalFormatting>
  <conditionalFormatting sqref="C113:AG115">
    <cfRule type="expression" priority="444" stopIfTrue="1">
      <formula>C113=""</formula>
    </cfRule>
    <cfRule type="expression" dxfId="2009" priority="445" stopIfTrue="1">
      <formula>C113=CléPersonnalisée2</formula>
    </cfRule>
    <cfRule type="expression" dxfId="2008" priority="446" stopIfTrue="1">
      <formula>C113=CléPersonnalisée1</formula>
    </cfRule>
    <cfRule type="expression" dxfId="2007" priority="447" stopIfTrue="1">
      <formula>C113=CléMaladie</formula>
    </cfRule>
    <cfRule type="expression" dxfId="2006" priority="448" stopIfTrue="1">
      <formula>C113=CléPersonnelle</formula>
    </cfRule>
    <cfRule type="expression" dxfId="2005" priority="449" stopIfTrue="1">
      <formula>C113=CléCongés</formula>
    </cfRule>
  </conditionalFormatting>
  <conditionalFormatting sqref="AH115">
    <cfRule type="dataBar" priority="450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{370E7E3B-A7B2-4729-A803-D8587BB58A6B}</x14:id>
        </ext>
      </extLst>
    </cfRule>
  </conditionalFormatting>
  <conditionalFormatting sqref="AI115:AL115 AJ113:AL114">
    <cfRule type="expression" priority="438" stopIfTrue="1">
      <formula>AI113=""</formula>
    </cfRule>
    <cfRule type="expression" dxfId="2004" priority="439" stopIfTrue="1">
      <formula>AI113=CléPersonnalisée2</formula>
    </cfRule>
    <cfRule type="expression" dxfId="2003" priority="440" stopIfTrue="1">
      <formula>AI113=CléPersonnalisée1</formula>
    </cfRule>
    <cfRule type="expression" dxfId="2002" priority="441" stopIfTrue="1">
      <formula>AI113=CléMaladie</formula>
    </cfRule>
    <cfRule type="expression" dxfId="2001" priority="442" stopIfTrue="1">
      <formula>AI113=CléPersonnelle</formula>
    </cfRule>
    <cfRule type="expression" dxfId="2000" priority="443" stopIfTrue="1">
      <formula>AI113=CléCongés</formula>
    </cfRule>
  </conditionalFormatting>
  <conditionalFormatting sqref="AM113:AP114">
    <cfRule type="expression" priority="432" stopIfTrue="1">
      <formula>AM113=""</formula>
    </cfRule>
    <cfRule type="expression" dxfId="1999" priority="433" stopIfTrue="1">
      <formula>AM113=CléPersonnalisée2</formula>
    </cfRule>
    <cfRule type="expression" dxfId="1998" priority="434" stopIfTrue="1">
      <formula>AM113=CléPersonnalisée1</formula>
    </cfRule>
    <cfRule type="expression" dxfId="1997" priority="435" stopIfTrue="1">
      <formula>AM113=CléMaladie</formula>
    </cfRule>
    <cfRule type="expression" dxfId="1996" priority="436" stopIfTrue="1">
      <formula>AM113=CléPersonnelle</formula>
    </cfRule>
    <cfRule type="expression" dxfId="1995" priority="437" stopIfTrue="1">
      <formula>AM113=CléCongés</formula>
    </cfRule>
  </conditionalFormatting>
  <conditionalFormatting sqref="AQ113:AR114">
    <cfRule type="expression" priority="426" stopIfTrue="1">
      <formula>AQ113=""</formula>
    </cfRule>
    <cfRule type="expression" dxfId="1994" priority="427" stopIfTrue="1">
      <formula>AQ113=CléPersonnalisée2</formula>
    </cfRule>
    <cfRule type="expression" dxfId="1993" priority="428" stopIfTrue="1">
      <formula>AQ113=CléPersonnalisée1</formula>
    </cfRule>
    <cfRule type="expression" dxfId="1992" priority="429" stopIfTrue="1">
      <formula>AQ113=CléMaladie</formula>
    </cfRule>
    <cfRule type="expression" dxfId="1991" priority="430" stopIfTrue="1">
      <formula>AQ113=CléPersonnelle</formula>
    </cfRule>
    <cfRule type="expression" dxfId="1990" priority="431" stopIfTrue="1">
      <formula>AQ113=CléCongés</formula>
    </cfRule>
  </conditionalFormatting>
  <conditionalFormatting sqref="AM115 AP115">
    <cfRule type="expression" priority="420" stopIfTrue="1">
      <formula>AM115=""</formula>
    </cfRule>
    <cfRule type="expression" dxfId="1989" priority="421" stopIfTrue="1">
      <formula>AM115=CléPersonnalisée2</formula>
    </cfRule>
    <cfRule type="expression" dxfId="1988" priority="422" stopIfTrue="1">
      <formula>AM115=CléPersonnalisée1</formula>
    </cfRule>
    <cfRule type="expression" dxfId="1987" priority="423" stopIfTrue="1">
      <formula>AM115=CléMaladie</formula>
    </cfRule>
    <cfRule type="expression" dxfId="1986" priority="424" stopIfTrue="1">
      <formula>AM115=CléPersonnelle</formula>
    </cfRule>
    <cfRule type="expression" dxfId="1985" priority="425" stopIfTrue="1">
      <formula>AM115=CléCongés</formula>
    </cfRule>
  </conditionalFormatting>
  <conditionalFormatting sqref="AH113:AH114">
    <cfRule type="dataBar" priority="419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{D09953A4-7C0D-4FE2-80DD-020F706C632C}</x14:id>
        </ext>
      </extLst>
    </cfRule>
  </conditionalFormatting>
  <conditionalFormatting sqref="AO115">
    <cfRule type="expression" priority="413" stopIfTrue="1">
      <formula>AO115=""</formula>
    </cfRule>
    <cfRule type="expression" dxfId="1984" priority="414" stopIfTrue="1">
      <formula>AO115=CléPersonnalisée2</formula>
    </cfRule>
    <cfRule type="expression" dxfId="1983" priority="415" stopIfTrue="1">
      <formula>AO115=CléPersonnalisée1</formula>
    </cfRule>
    <cfRule type="expression" dxfId="1982" priority="416" stopIfTrue="1">
      <formula>AO115=CléMaladie</formula>
    </cfRule>
    <cfRule type="expression" dxfId="1981" priority="417" stopIfTrue="1">
      <formula>AO115=CléPersonnelle</formula>
    </cfRule>
    <cfRule type="expression" dxfId="1980" priority="418" stopIfTrue="1">
      <formula>AO115=CléCongés</formula>
    </cfRule>
  </conditionalFormatting>
  <conditionalFormatting sqref="AI113:AI114">
    <cfRule type="expression" priority="407" stopIfTrue="1">
      <formula>AI113=""</formula>
    </cfRule>
    <cfRule type="expression" dxfId="1979" priority="408" stopIfTrue="1">
      <formula>AI113=CléPersonnalisée2</formula>
    </cfRule>
    <cfRule type="expression" dxfId="1978" priority="409" stopIfTrue="1">
      <formula>AI113=CléPersonnalisée1</formula>
    </cfRule>
    <cfRule type="expression" dxfId="1977" priority="410" stopIfTrue="1">
      <formula>AI113=CléMaladie</formula>
    </cfRule>
    <cfRule type="expression" dxfId="1976" priority="411" stopIfTrue="1">
      <formula>AI113=CléPersonnelle</formula>
    </cfRule>
    <cfRule type="expression" dxfId="1975" priority="412" stopIfTrue="1">
      <formula>AI113=CléCongés</formula>
    </cfRule>
  </conditionalFormatting>
  <conditionalFormatting sqref="AN115">
    <cfRule type="expression" priority="401" stopIfTrue="1">
      <formula>AN115=""</formula>
    </cfRule>
    <cfRule type="expression" dxfId="1974" priority="402" stopIfTrue="1">
      <formula>AN115=CléPersonnalisée2</formula>
    </cfRule>
    <cfRule type="expression" dxfId="1973" priority="403" stopIfTrue="1">
      <formula>AN115=CléPersonnalisée1</formula>
    </cfRule>
    <cfRule type="expression" dxfId="1972" priority="404" stopIfTrue="1">
      <formula>AN115=CléMaladie</formula>
    </cfRule>
    <cfRule type="expression" dxfId="1971" priority="405" stopIfTrue="1">
      <formula>AN115=CléPersonnelle</formula>
    </cfRule>
    <cfRule type="expression" dxfId="1970" priority="406" stopIfTrue="1">
      <formula>AN115=CléCongés</formula>
    </cfRule>
  </conditionalFormatting>
  <conditionalFormatting sqref="AR115">
    <cfRule type="expression" priority="395" stopIfTrue="1">
      <formula>AR115=""</formula>
    </cfRule>
    <cfRule type="expression" dxfId="1969" priority="396" stopIfTrue="1">
      <formula>AR115=CléPersonnalisée2</formula>
    </cfRule>
    <cfRule type="expression" dxfId="1968" priority="397" stopIfTrue="1">
      <formula>AR115=CléPersonnalisée1</formula>
    </cfRule>
    <cfRule type="expression" dxfId="1967" priority="398" stopIfTrue="1">
      <formula>AR115=CléMaladie</formula>
    </cfRule>
    <cfRule type="expression" dxfId="1966" priority="399" stopIfTrue="1">
      <formula>AR115=CléPersonnelle</formula>
    </cfRule>
    <cfRule type="expression" dxfId="1965" priority="400" stopIfTrue="1">
      <formula>AR115=CléCongés</formula>
    </cfRule>
  </conditionalFormatting>
  <conditionalFormatting sqref="AQ15">
    <cfRule type="expression" priority="327" stopIfTrue="1">
      <formula>AQ15=""</formula>
    </cfRule>
    <cfRule type="expression" dxfId="1964" priority="328" stopIfTrue="1">
      <formula>AQ15=CléPersonnalisée2</formula>
    </cfRule>
    <cfRule type="expression" dxfId="1963" priority="329" stopIfTrue="1">
      <formula>AQ15=CléPersonnalisée1</formula>
    </cfRule>
    <cfRule type="expression" dxfId="1962" priority="330" stopIfTrue="1">
      <formula>AQ15=CléMaladie</formula>
    </cfRule>
    <cfRule type="expression" dxfId="1961" priority="331" stopIfTrue="1">
      <formula>AQ15=CléPersonnelle</formula>
    </cfRule>
    <cfRule type="expression" dxfId="1960" priority="332" stopIfTrue="1">
      <formula>AQ15=CléCongés</formula>
    </cfRule>
  </conditionalFormatting>
  <conditionalFormatting sqref="C13:AG15">
    <cfRule type="expression" priority="382" stopIfTrue="1">
      <formula>C13=""</formula>
    </cfRule>
    <cfRule type="expression" dxfId="1959" priority="383" stopIfTrue="1">
      <formula>C13=CléPersonnalisée2</formula>
    </cfRule>
    <cfRule type="expression" dxfId="1958" priority="384" stopIfTrue="1">
      <formula>C13=CléPersonnalisée1</formula>
    </cfRule>
    <cfRule type="expression" dxfId="1957" priority="385" stopIfTrue="1">
      <formula>C13=CléMaladie</formula>
    </cfRule>
    <cfRule type="expression" dxfId="1956" priority="386" stopIfTrue="1">
      <formula>C13=CléPersonnelle</formula>
    </cfRule>
    <cfRule type="expression" dxfId="1955" priority="387" stopIfTrue="1">
      <formula>C13=CléCongés</formula>
    </cfRule>
  </conditionalFormatting>
  <conditionalFormatting sqref="AH15">
    <cfRule type="dataBar" priority="388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{33B9B7B2-9E2B-4DD0-89B6-50057F3F656D}</x14:id>
        </ext>
      </extLst>
    </cfRule>
  </conditionalFormatting>
  <conditionalFormatting sqref="AI15:AL15 AJ13:AL14">
    <cfRule type="expression" priority="376" stopIfTrue="1">
      <formula>AI13=""</formula>
    </cfRule>
    <cfRule type="expression" dxfId="1954" priority="377" stopIfTrue="1">
      <formula>AI13=CléPersonnalisée2</formula>
    </cfRule>
    <cfRule type="expression" dxfId="1953" priority="378" stopIfTrue="1">
      <formula>AI13=CléPersonnalisée1</formula>
    </cfRule>
    <cfRule type="expression" dxfId="1952" priority="379" stopIfTrue="1">
      <formula>AI13=CléMaladie</formula>
    </cfRule>
    <cfRule type="expression" dxfId="1951" priority="380" stopIfTrue="1">
      <formula>AI13=CléPersonnelle</formula>
    </cfRule>
    <cfRule type="expression" dxfId="1950" priority="381" stopIfTrue="1">
      <formula>AI13=CléCongés</formula>
    </cfRule>
  </conditionalFormatting>
  <conditionalFormatting sqref="AM13:AP14">
    <cfRule type="expression" priority="370" stopIfTrue="1">
      <formula>AM13=""</formula>
    </cfRule>
    <cfRule type="expression" dxfId="1949" priority="371" stopIfTrue="1">
      <formula>AM13=CléPersonnalisée2</formula>
    </cfRule>
    <cfRule type="expression" dxfId="1948" priority="372" stopIfTrue="1">
      <formula>AM13=CléPersonnalisée1</formula>
    </cfRule>
    <cfRule type="expression" dxfId="1947" priority="373" stopIfTrue="1">
      <formula>AM13=CléMaladie</formula>
    </cfRule>
    <cfRule type="expression" dxfId="1946" priority="374" stopIfTrue="1">
      <formula>AM13=CléPersonnelle</formula>
    </cfRule>
    <cfRule type="expression" dxfId="1945" priority="375" stopIfTrue="1">
      <formula>AM13=CléCongés</formula>
    </cfRule>
  </conditionalFormatting>
  <conditionalFormatting sqref="AQ13:AR14">
    <cfRule type="expression" priority="364" stopIfTrue="1">
      <formula>AQ13=""</formula>
    </cfRule>
    <cfRule type="expression" dxfId="1944" priority="365" stopIfTrue="1">
      <formula>AQ13=CléPersonnalisée2</formula>
    </cfRule>
    <cfRule type="expression" dxfId="1943" priority="366" stopIfTrue="1">
      <formula>AQ13=CléPersonnalisée1</formula>
    </cfRule>
    <cfRule type="expression" dxfId="1942" priority="367" stopIfTrue="1">
      <formula>AQ13=CléMaladie</formula>
    </cfRule>
    <cfRule type="expression" dxfId="1941" priority="368" stopIfTrue="1">
      <formula>AQ13=CléPersonnelle</formula>
    </cfRule>
    <cfRule type="expression" dxfId="1940" priority="369" stopIfTrue="1">
      <formula>AQ13=CléCongés</formula>
    </cfRule>
  </conditionalFormatting>
  <conditionalFormatting sqref="AM15 AP15">
    <cfRule type="expression" priority="358" stopIfTrue="1">
      <formula>AM15=""</formula>
    </cfRule>
    <cfRule type="expression" dxfId="1939" priority="359" stopIfTrue="1">
      <formula>AM15=CléPersonnalisée2</formula>
    </cfRule>
    <cfRule type="expression" dxfId="1938" priority="360" stopIfTrue="1">
      <formula>AM15=CléPersonnalisée1</formula>
    </cfRule>
    <cfRule type="expression" dxfId="1937" priority="361" stopIfTrue="1">
      <formula>AM15=CléMaladie</formula>
    </cfRule>
    <cfRule type="expression" dxfId="1936" priority="362" stopIfTrue="1">
      <formula>AM15=CléPersonnelle</formula>
    </cfRule>
    <cfRule type="expression" dxfId="1935" priority="363" stopIfTrue="1">
      <formula>AM15=CléCongés</formula>
    </cfRule>
  </conditionalFormatting>
  <conditionalFormatting sqref="AH13:AH14">
    <cfRule type="dataBar" priority="357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{BF523D2A-DE14-4F2F-BB79-4C84E9339EF4}</x14:id>
        </ext>
      </extLst>
    </cfRule>
  </conditionalFormatting>
  <conditionalFormatting sqref="AO15">
    <cfRule type="expression" priority="351" stopIfTrue="1">
      <formula>AO15=""</formula>
    </cfRule>
    <cfRule type="expression" dxfId="1934" priority="352" stopIfTrue="1">
      <formula>AO15=CléPersonnalisée2</formula>
    </cfRule>
    <cfRule type="expression" dxfId="1933" priority="353" stopIfTrue="1">
      <formula>AO15=CléPersonnalisée1</formula>
    </cfRule>
    <cfRule type="expression" dxfId="1932" priority="354" stopIfTrue="1">
      <formula>AO15=CléMaladie</formula>
    </cfRule>
    <cfRule type="expression" dxfId="1931" priority="355" stopIfTrue="1">
      <formula>AO15=CléPersonnelle</formula>
    </cfRule>
    <cfRule type="expression" dxfId="1930" priority="356" stopIfTrue="1">
      <formula>AO15=CléCongés</formula>
    </cfRule>
  </conditionalFormatting>
  <conditionalFormatting sqref="AI13:AI14">
    <cfRule type="expression" priority="345" stopIfTrue="1">
      <formula>AI13=""</formula>
    </cfRule>
    <cfRule type="expression" dxfId="1929" priority="346" stopIfTrue="1">
      <formula>AI13=CléPersonnalisée2</formula>
    </cfRule>
    <cfRule type="expression" dxfId="1928" priority="347" stopIfTrue="1">
      <formula>AI13=CléPersonnalisée1</formula>
    </cfRule>
    <cfRule type="expression" dxfId="1927" priority="348" stopIfTrue="1">
      <formula>AI13=CléMaladie</formula>
    </cfRule>
    <cfRule type="expression" dxfId="1926" priority="349" stopIfTrue="1">
      <formula>AI13=CléPersonnelle</formula>
    </cfRule>
    <cfRule type="expression" dxfId="1925" priority="350" stopIfTrue="1">
      <formula>AI13=CléCongés</formula>
    </cfRule>
  </conditionalFormatting>
  <conditionalFormatting sqref="AN15">
    <cfRule type="expression" priority="339" stopIfTrue="1">
      <formula>AN15=""</formula>
    </cfRule>
    <cfRule type="expression" dxfId="1924" priority="340" stopIfTrue="1">
      <formula>AN15=CléPersonnalisée2</formula>
    </cfRule>
    <cfRule type="expression" dxfId="1923" priority="341" stopIfTrue="1">
      <formula>AN15=CléPersonnalisée1</formula>
    </cfRule>
    <cfRule type="expression" dxfId="1922" priority="342" stopIfTrue="1">
      <formula>AN15=CléMaladie</formula>
    </cfRule>
    <cfRule type="expression" dxfId="1921" priority="343" stopIfTrue="1">
      <formula>AN15=CléPersonnelle</formula>
    </cfRule>
    <cfRule type="expression" dxfId="1920" priority="344" stopIfTrue="1">
      <formula>AN15=CléCongés</formula>
    </cfRule>
  </conditionalFormatting>
  <conditionalFormatting sqref="AR15">
    <cfRule type="expression" priority="333" stopIfTrue="1">
      <formula>AR15=""</formula>
    </cfRule>
    <cfRule type="expression" dxfId="1919" priority="334" stopIfTrue="1">
      <formula>AR15=CléPersonnalisée2</formula>
    </cfRule>
    <cfRule type="expression" dxfId="1918" priority="335" stopIfTrue="1">
      <formula>AR15=CléPersonnalisée1</formula>
    </cfRule>
    <cfRule type="expression" dxfId="1917" priority="336" stopIfTrue="1">
      <formula>AR15=CléMaladie</formula>
    </cfRule>
    <cfRule type="expression" dxfId="1916" priority="337" stopIfTrue="1">
      <formula>AR15=CléPersonnelle</formula>
    </cfRule>
    <cfRule type="expression" dxfId="1915" priority="338" stopIfTrue="1">
      <formula>AR15=CléCongés</formula>
    </cfRule>
  </conditionalFormatting>
  <conditionalFormatting sqref="AO111">
    <cfRule type="expression" priority="321" stopIfTrue="1">
      <formula>AO111=""</formula>
    </cfRule>
    <cfRule type="expression" dxfId="1914" priority="322" stopIfTrue="1">
      <formula>AO111=CléPersonnalisée2</formula>
    </cfRule>
    <cfRule type="expression" dxfId="1913" priority="323" stopIfTrue="1">
      <formula>AO111=CléPersonnalisée1</formula>
    </cfRule>
    <cfRule type="expression" dxfId="1912" priority="324" stopIfTrue="1">
      <formula>AO111=CléMaladie</formula>
    </cfRule>
    <cfRule type="expression" dxfId="1911" priority="325" stopIfTrue="1">
      <formula>AO111=CléPersonnelle</formula>
    </cfRule>
    <cfRule type="expression" dxfId="1910" priority="326" stopIfTrue="1">
      <formula>AO111=CléCongés</formula>
    </cfRule>
  </conditionalFormatting>
  <conditionalFormatting sqref="AQ100:AR100">
    <cfRule type="expression" priority="315" stopIfTrue="1">
      <formula>AQ100=""</formula>
    </cfRule>
    <cfRule type="expression" dxfId="1909" priority="316" stopIfTrue="1">
      <formula>AQ100=CléPersonnalisée2</formula>
    </cfRule>
    <cfRule type="expression" dxfId="1908" priority="317" stopIfTrue="1">
      <formula>AQ100=CléPersonnalisée1</formula>
    </cfRule>
    <cfRule type="expression" dxfId="1907" priority="318" stopIfTrue="1">
      <formula>AQ100=CléMaladie</formula>
    </cfRule>
    <cfRule type="expression" dxfId="1906" priority="319" stopIfTrue="1">
      <formula>AQ100=CléPersonnelle</formula>
    </cfRule>
    <cfRule type="expression" dxfId="1905" priority="320" stopIfTrue="1">
      <formula>AQ100=CléCongés</formula>
    </cfRule>
  </conditionalFormatting>
  <conditionalFormatting sqref="AQ96:AR96">
    <cfRule type="expression" priority="309" stopIfTrue="1">
      <formula>AQ96=""</formula>
    </cfRule>
    <cfRule type="expression" dxfId="1904" priority="310" stopIfTrue="1">
      <formula>AQ96=CléPersonnalisée2</formula>
    </cfRule>
    <cfRule type="expression" dxfId="1903" priority="311" stopIfTrue="1">
      <formula>AQ96=CléPersonnalisée1</formula>
    </cfRule>
    <cfRule type="expression" dxfId="1902" priority="312" stopIfTrue="1">
      <formula>AQ96=CléMaladie</formula>
    </cfRule>
    <cfRule type="expression" dxfId="1901" priority="313" stopIfTrue="1">
      <formula>AQ96=CléPersonnelle</formula>
    </cfRule>
    <cfRule type="expression" dxfId="1900" priority="314" stopIfTrue="1">
      <formula>AQ96=CléCongés</formula>
    </cfRule>
  </conditionalFormatting>
  <conditionalFormatting sqref="AQ120:AR120">
    <cfRule type="expression" priority="303" stopIfTrue="1">
      <formula>AQ120=""</formula>
    </cfRule>
    <cfRule type="expression" dxfId="1899" priority="304" stopIfTrue="1">
      <formula>AQ120=CléPersonnalisée2</formula>
    </cfRule>
    <cfRule type="expression" dxfId="1898" priority="305" stopIfTrue="1">
      <formula>AQ120=CléPersonnalisée1</formula>
    </cfRule>
    <cfRule type="expression" dxfId="1897" priority="306" stopIfTrue="1">
      <formula>AQ120=CléMaladie</formula>
    </cfRule>
    <cfRule type="expression" dxfId="1896" priority="307" stopIfTrue="1">
      <formula>AQ120=CléPersonnelle</formula>
    </cfRule>
    <cfRule type="expression" dxfId="1895" priority="308" stopIfTrue="1">
      <formula>AQ120=CléCongés</formula>
    </cfRule>
  </conditionalFormatting>
  <conditionalFormatting sqref="AQ119">
    <cfRule type="expression" priority="241" stopIfTrue="1">
      <formula>AQ119=""</formula>
    </cfRule>
    <cfRule type="expression" dxfId="1894" priority="242" stopIfTrue="1">
      <formula>AQ119=CléPersonnalisée2</formula>
    </cfRule>
    <cfRule type="expression" dxfId="1893" priority="243" stopIfTrue="1">
      <formula>AQ119=CléPersonnalisée1</formula>
    </cfRule>
    <cfRule type="expression" dxfId="1892" priority="244" stopIfTrue="1">
      <formula>AQ119=CléMaladie</formula>
    </cfRule>
    <cfRule type="expression" dxfId="1891" priority="245" stopIfTrue="1">
      <formula>AQ119=CléPersonnelle</formula>
    </cfRule>
    <cfRule type="expression" dxfId="1890" priority="246" stopIfTrue="1">
      <formula>AQ119=CléCongés</formula>
    </cfRule>
  </conditionalFormatting>
  <conditionalFormatting sqref="C117:AG119">
    <cfRule type="expression" priority="296" stopIfTrue="1">
      <formula>C117=""</formula>
    </cfRule>
    <cfRule type="expression" dxfId="1889" priority="297" stopIfTrue="1">
      <formula>C117=CléPersonnalisée2</formula>
    </cfRule>
    <cfRule type="expression" dxfId="1888" priority="298" stopIfTrue="1">
      <formula>C117=CléPersonnalisée1</formula>
    </cfRule>
    <cfRule type="expression" dxfId="1887" priority="299" stopIfTrue="1">
      <formula>C117=CléMaladie</formula>
    </cfRule>
    <cfRule type="expression" dxfId="1886" priority="300" stopIfTrue="1">
      <formula>C117=CléPersonnelle</formula>
    </cfRule>
    <cfRule type="expression" dxfId="1885" priority="301" stopIfTrue="1">
      <formula>C117=CléCongés</formula>
    </cfRule>
  </conditionalFormatting>
  <conditionalFormatting sqref="AH119">
    <cfRule type="dataBar" priority="302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{D9C06C11-21E5-4951-8696-EB0B2594D3E8}</x14:id>
        </ext>
      </extLst>
    </cfRule>
  </conditionalFormatting>
  <conditionalFormatting sqref="AI119:AL119 AJ117:AL118">
    <cfRule type="expression" priority="290" stopIfTrue="1">
      <formula>AI117=""</formula>
    </cfRule>
    <cfRule type="expression" dxfId="1884" priority="291" stopIfTrue="1">
      <formula>AI117=CléPersonnalisée2</formula>
    </cfRule>
    <cfRule type="expression" dxfId="1883" priority="292" stopIfTrue="1">
      <formula>AI117=CléPersonnalisée1</formula>
    </cfRule>
    <cfRule type="expression" dxfId="1882" priority="293" stopIfTrue="1">
      <formula>AI117=CléMaladie</formula>
    </cfRule>
    <cfRule type="expression" dxfId="1881" priority="294" stopIfTrue="1">
      <formula>AI117=CléPersonnelle</formula>
    </cfRule>
    <cfRule type="expression" dxfId="1880" priority="295" stopIfTrue="1">
      <formula>AI117=CléCongés</formula>
    </cfRule>
  </conditionalFormatting>
  <conditionalFormatting sqref="AM117:AP118">
    <cfRule type="expression" priority="284" stopIfTrue="1">
      <formula>AM117=""</formula>
    </cfRule>
    <cfRule type="expression" dxfId="1879" priority="285" stopIfTrue="1">
      <formula>AM117=CléPersonnalisée2</formula>
    </cfRule>
    <cfRule type="expression" dxfId="1878" priority="286" stopIfTrue="1">
      <formula>AM117=CléPersonnalisée1</formula>
    </cfRule>
    <cfRule type="expression" dxfId="1877" priority="287" stopIfTrue="1">
      <formula>AM117=CléMaladie</formula>
    </cfRule>
    <cfRule type="expression" dxfId="1876" priority="288" stopIfTrue="1">
      <formula>AM117=CléPersonnelle</formula>
    </cfRule>
    <cfRule type="expression" dxfId="1875" priority="289" stopIfTrue="1">
      <formula>AM117=CléCongés</formula>
    </cfRule>
  </conditionalFormatting>
  <conditionalFormatting sqref="AQ117:AR118">
    <cfRule type="expression" priority="278" stopIfTrue="1">
      <formula>AQ117=""</formula>
    </cfRule>
    <cfRule type="expression" dxfId="1874" priority="279" stopIfTrue="1">
      <formula>AQ117=CléPersonnalisée2</formula>
    </cfRule>
    <cfRule type="expression" dxfId="1873" priority="280" stopIfTrue="1">
      <formula>AQ117=CléPersonnalisée1</formula>
    </cfRule>
    <cfRule type="expression" dxfId="1872" priority="281" stopIfTrue="1">
      <formula>AQ117=CléMaladie</formula>
    </cfRule>
    <cfRule type="expression" dxfId="1871" priority="282" stopIfTrue="1">
      <formula>AQ117=CléPersonnelle</formula>
    </cfRule>
    <cfRule type="expression" dxfId="1870" priority="283" stopIfTrue="1">
      <formula>AQ117=CléCongés</formula>
    </cfRule>
  </conditionalFormatting>
  <conditionalFormatting sqref="AM119 AP119">
    <cfRule type="expression" priority="272" stopIfTrue="1">
      <formula>AM119=""</formula>
    </cfRule>
    <cfRule type="expression" dxfId="1869" priority="273" stopIfTrue="1">
      <formula>AM119=CléPersonnalisée2</formula>
    </cfRule>
    <cfRule type="expression" dxfId="1868" priority="274" stopIfTrue="1">
      <formula>AM119=CléPersonnalisée1</formula>
    </cfRule>
    <cfRule type="expression" dxfId="1867" priority="275" stopIfTrue="1">
      <formula>AM119=CléMaladie</formula>
    </cfRule>
    <cfRule type="expression" dxfId="1866" priority="276" stopIfTrue="1">
      <formula>AM119=CléPersonnelle</formula>
    </cfRule>
    <cfRule type="expression" dxfId="1865" priority="277" stopIfTrue="1">
      <formula>AM119=CléCongés</formula>
    </cfRule>
  </conditionalFormatting>
  <conditionalFormatting sqref="AH117:AH118">
    <cfRule type="dataBar" priority="271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{A48C1D30-FE1F-461A-92D2-D97996D26459}</x14:id>
        </ext>
      </extLst>
    </cfRule>
  </conditionalFormatting>
  <conditionalFormatting sqref="AO119">
    <cfRule type="expression" priority="265" stopIfTrue="1">
      <formula>AO119=""</formula>
    </cfRule>
    <cfRule type="expression" dxfId="1864" priority="266" stopIfTrue="1">
      <formula>AO119=CléPersonnalisée2</formula>
    </cfRule>
    <cfRule type="expression" dxfId="1863" priority="267" stopIfTrue="1">
      <formula>AO119=CléPersonnalisée1</formula>
    </cfRule>
    <cfRule type="expression" dxfId="1862" priority="268" stopIfTrue="1">
      <formula>AO119=CléMaladie</formula>
    </cfRule>
    <cfRule type="expression" dxfId="1861" priority="269" stopIfTrue="1">
      <formula>AO119=CléPersonnelle</formula>
    </cfRule>
    <cfRule type="expression" dxfId="1860" priority="270" stopIfTrue="1">
      <formula>AO119=CléCongés</formula>
    </cfRule>
  </conditionalFormatting>
  <conditionalFormatting sqref="AI117:AI118">
    <cfRule type="expression" priority="259" stopIfTrue="1">
      <formula>AI117=""</formula>
    </cfRule>
    <cfRule type="expression" dxfId="1859" priority="260" stopIfTrue="1">
      <formula>AI117=CléPersonnalisée2</formula>
    </cfRule>
    <cfRule type="expression" dxfId="1858" priority="261" stopIfTrue="1">
      <formula>AI117=CléPersonnalisée1</formula>
    </cfRule>
    <cfRule type="expression" dxfId="1857" priority="262" stopIfTrue="1">
      <formula>AI117=CléMaladie</formula>
    </cfRule>
    <cfRule type="expression" dxfId="1856" priority="263" stopIfTrue="1">
      <formula>AI117=CléPersonnelle</formula>
    </cfRule>
    <cfRule type="expression" dxfId="1855" priority="264" stopIfTrue="1">
      <formula>AI117=CléCongés</formula>
    </cfRule>
  </conditionalFormatting>
  <conditionalFormatting sqref="AN119">
    <cfRule type="expression" priority="253" stopIfTrue="1">
      <formula>AN119=""</formula>
    </cfRule>
    <cfRule type="expression" dxfId="1854" priority="254" stopIfTrue="1">
      <formula>AN119=CléPersonnalisée2</formula>
    </cfRule>
    <cfRule type="expression" dxfId="1853" priority="255" stopIfTrue="1">
      <formula>AN119=CléPersonnalisée1</formula>
    </cfRule>
    <cfRule type="expression" dxfId="1852" priority="256" stopIfTrue="1">
      <formula>AN119=CléMaladie</formula>
    </cfRule>
    <cfRule type="expression" dxfId="1851" priority="257" stopIfTrue="1">
      <formula>AN119=CléPersonnelle</formula>
    </cfRule>
    <cfRule type="expression" dxfId="1850" priority="258" stopIfTrue="1">
      <formula>AN119=CléCongés</formula>
    </cfRule>
  </conditionalFormatting>
  <conditionalFormatting sqref="AR119">
    <cfRule type="expression" priority="247" stopIfTrue="1">
      <formula>AR119=""</formula>
    </cfRule>
    <cfRule type="expression" dxfId="1849" priority="248" stopIfTrue="1">
      <formula>AR119=CléPersonnalisée2</formula>
    </cfRule>
    <cfRule type="expression" dxfId="1848" priority="249" stopIfTrue="1">
      <formula>AR119=CléPersonnalisée1</formula>
    </cfRule>
    <cfRule type="expression" dxfId="1847" priority="250" stopIfTrue="1">
      <formula>AR119=CléMaladie</formula>
    </cfRule>
    <cfRule type="expression" dxfId="1846" priority="251" stopIfTrue="1">
      <formula>AR119=CléPersonnelle</formula>
    </cfRule>
    <cfRule type="expression" dxfId="1845" priority="252" stopIfTrue="1">
      <formula>AR119=CléCongés</formula>
    </cfRule>
  </conditionalFormatting>
  <conditionalFormatting sqref="AQ108:AR108">
    <cfRule type="expression" priority="235" stopIfTrue="1">
      <formula>AQ108=""</formula>
    </cfRule>
    <cfRule type="expression" dxfId="1844" priority="236" stopIfTrue="1">
      <formula>AQ108=CléPersonnalisée2</formula>
    </cfRule>
    <cfRule type="expression" dxfId="1843" priority="237" stopIfTrue="1">
      <formula>AQ108=CléPersonnalisée1</formula>
    </cfRule>
    <cfRule type="expression" dxfId="1842" priority="238" stopIfTrue="1">
      <formula>AQ108=CléMaladie</formula>
    </cfRule>
    <cfRule type="expression" dxfId="1841" priority="239" stopIfTrue="1">
      <formula>AQ108=CléPersonnelle</formula>
    </cfRule>
    <cfRule type="expression" dxfId="1840" priority="240" stopIfTrue="1">
      <formula>AQ108=CléCongés</formula>
    </cfRule>
  </conditionalFormatting>
  <conditionalFormatting sqref="AQ107">
    <cfRule type="expression" priority="179" stopIfTrue="1">
      <formula>AQ107=""</formula>
    </cfRule>
    <cfRule type="expression" dxfId="1839" priority="180" stopIfTrue="1">
      <formula>AQ107=CléPersonnalisée2</formula>
    </cfRule>
    <cfRule type="expression" dxfId="1838" priority="181" stopIfTrue="1">
      <formula>AQ107=CléPersonnalisée1</formula>
    </cfRule>
    <cfRule type="expression" dxfId="1837" priority="182" stopIfTrue="1">
      <formula>AQ107=CléMaladie</formula>
    </cfRule>
    <cfRule type="expression" dxfId="1836" priority="183" stopIfTrue="1">
      <formula>AQ107=CléPersonnelle</formula>
    </cfRule>
    <cfRule type="expression" dxfId="1835" priority="184" stopIfTrue="1">
      <formula>AQ107=CléCongés</formula>
    </cfRule>
  </conditionalFormatting>
  <conditionalFormatting sqref="C105:AG107">
    <cfRule type="expression" priority="228" stopIfTrue="1">
      <formula>C105=""</formula>
    </cfRule>
    <cfRule type="expression" dxfId="1834" priority="229" stopIfTrue="1">
      <formula>C105=CléPersonnalisée2</formula>
    </cfRule>
    <cfRule type="expression" dxfId="1833" priority="230" stopIfTrue="1">
      <formula>C105=CléPersonnalisée1</formula>
    </cfRule>
    <cfRule type="expression" dxfId="1832" priority="231" stopIfTrue="1">
      <formula>C105=CléMaladie</formula>
    </cfRule>
    <cfRule type="expression" dxfId="1831" priority="232" stopIfTrue="1">
      <formula>C105=CléPersonnelle</formula>
    </cfRule>
    <cfRule type="expression" dxfId="1830" priority="233" stopIfTrue="1">
      <formula>C105=CléCongés</formula>
    </cfRule>
  </conditionalFormatting>
  <conditionalFormatting sqref="AH107">
    <cfRule type="dataBar" priority="234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{7041CDEB-9E8A-4602-B2DE-8B08BC2075C9}</x14:id>
        </ext>
      </extLst>
    </cfRule>
  </conditionalFormatting>
  <conditionalFormatting sqref="AI107:AL107 AJ105:AL106">
    <cfRule type="expression" priority="222" stopIfTrue="1">
      <formula>AI105=""</formula>
    </cfRule>
    <cfRule type="expression" dxfId="1829" priority="223" stopIfTrue="1">
      <formula>AI105=CléPersonnalisée2</formula>
    </cfRule>
    <cfRule type="expression" dxfId="1828" priority="224" stopIfTrue="1">
      <formula>AI105=CléPersonnalisée1</formula>
    </cfRule>
    <cfRule type="expression" dxfId="1827" priority="225" stopIfTrue="1">
      <formula>AI105=CléMaladie</formula>
    </cfRule>
    <cfRule type="expression" dxfId="1826" priority="226" stopIfTrue="1">
      <formula>AI105=CléPersonnelle</formula>
    </cfRule>
    <cfRule type="expression" dxfId="1825" priority="227" stopIfTrue="1">
      <formula>AI105=CléCongés</formula>
    </cfRule>
  </conditionalFormatting>
  <conditionalFormatting sqref="AM105:AP106">
    <cfRule type="expression" priority="216" stopIfTrue="1">
      <formula>AM105=""</formula>
    </cfRule>
    <cfRule type="expression" dxfId="1824" priority="217" stopIfTrue="1">
      <formula>AM105=CléPersonnalisée2</formula>
    </cfRule>
    <cfRule type="expression" dxfId="1823" priority="218" stopIfTrue="1">
      <formula>AM105=CléPersonnalisée1</formula>
    </cfRule>
    <cfRule type="expression" dxfId="1822" priority="219" stopIfTrue="1">
      <formula>AM105=CléMaladie</formula>
    </cfRule>
    <cfRule type="expression" dxfId="1821" priority="220" stopIfTrue="1">
      <formula>AM105=CléPersonnelle</formula>
    </cfRule>
    <cfRule type="expression" dxfId="1820" priority="221" stopIfTrue="1">
      <formula>AM105=CléCongés</formula>
    </cfRule>
  </conditionalFormatting>
  <conditionalFormatting sqref="AQ105:AR106">
    <cfRule type="expression" priority="210" stopIfTrue="1">
      <formula>AQ105=""</formula>
    </cfRule>
    <cfRule type="expression" dxfId="1819" priority="211" stopIfTrue="1">
      <formula>AQ105=CléPersonnalisée2</formula>
    </cfRule>
    <cfRule type="expression" dxfId="1818" priority="212" stopIfTrue="1">
      <formula>AQ105=CléPersonnalisée1</formula>
    </cfRule>
    <cfRule type="expression" dxfId="1817" priority="213" stopIfTrue="1">
      <formula>AQ105=CléMaladie</formula>
    </cfRule>
    <cfRule type="expression" dxfId="1816" priority="214" stopIfTrue="1">
      <formula>AQ105=CléPersonnelle</formula>
    </cfRule>
    <cfRule type="expression" dxfId="1815" priority="215" stopIfTrue="1">
      <formula>AQ105=CléCongés</formula>
    </cfRule>
  </conditionalFormatting>
  <conditionalFormatting sqref="AM107 AP107">
    <cfRule type="expression" priority="204" stopIfTrue="1">
      <formula>AM107=""</formula>
    </cfRule>
    <cfRule type="expression" dxfId="1814" priority="205" stopIfTrue="1">
      <formula>AM107=CléPersonnalisée2</formula>
    </cfRule>
    <cfRule type="expression" dxfId="1813" priority="206" stopIfTrue="1">
      <formula>AM107=CléPersonnalisée1</formula>
    </cfRule>
    <cfRule type="expression" dxfId="1812" priority="207" stopIfTrue="1">
      <formula>AM107=CléMaladie</formula>
    </cfRule>
    <cfRule type="expression" dxfId="1811" priority="208" stopIfTrue="1">
      <formula>AM107=CléPersonnelle</formula>
    </cfRule>
    <cfRule type="expression" dxfId="1810" priority="209" stopIfTrue="1">
      <formula>AM107=CléCongés</formula>
    </cfRule>
  </conditionalFormatting>
  <conditionalFormatting sqref="AH105:AH106">
    <cfRule type="dataBar" priority="203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{EC556C6E-A675-4BFD-B238-E237E664B2D7}</x14:id>
        </ext>
      </extLst>
    </cfRule>
  </conditionalFormatting>
  <conditionalFormatting sqref="AI105:AI106">
    <cfRule type="expression" priority="197" stopIfTrue="1">
      <formula>AI105=""</formula>
    </cfRule>
    <cfRule type="expression" dxfId="1809" priority="198" stopIfTrue="1">
      <formula>AI105=CléPersonnalisée2</formula>
    </cfRule>
    <cfRule type="expression" dxfId="1808" priority="199" stopIfTrue="1">
      <formula>AI105=CléPersonnalisée1</formula>
    </cfRule>
    <cfRule type="expression" dxfId="1807" priority="200" stopIfTrue="1">
      <formula>AI105=CléMaladie</formula>
    </cfRule>
    <cfRule type="expression" dxfId="1806" priority="201" stopIfTrue="1">
      <formula>AI105=CléPersonnelle</formula>
    </cfRule>
    <cfRule type="expression" dxfId="1805" priority="202" stopIfTrue="1">
      <formula>AI105=CléCongés</formula>
    </cfRule>
  </conditionalFormatting>
  <conditionalFormatting sqref="AN107">
    <cfRule type="expression" priority="191" stopIfTrue="1">
      <formula>AN107=""</formula>
    </cfRule>
    <cfRule type="expression" dxfId="1804" priority="192" stopIfTrue="1">
      <formula>AN107=CléPersonnalisée2</formula>
    </cfRule>
    <cfRule type="expression" dxfId="1803" priority="193" stopIfTrue="1">
      <formula>AN107=CléPersonnalisée1</formula>
    </cfRule>
    <cfRule type="expression" dxfId="1802" priority="194" stopIfTrue="1">
      <formula>AN107=CléMaladie</formula>
    </cfRule>
    <cfRule type="expression" dxfId="1801" priority="195" stopIfTrue="1">
      <formula>AN107=CléPersonnelle</formula>
    </cfRule>
    <cfRule type="expression" dxfId="1800" priority="196" stopIfTrue="1">
      <formula>AN107=CléCongés</formula>
    </cfRule>
  </conditionalFormatting>
  <conditionalFormatting sqref="AR107">
    <cfRule type="expression" priority="185" stopIfTrue="1">
      <formula>AR107=""</formula>
    </cfRule>
    <cfRule type="expression" dxfId="1799" priority="186" stopIfTrue="1">
      <formula>AR107=CléPersonnalisée2</formula>
    </cfRule>
    <cfRule type="expression" dxfId="1798" priority="187" stopIfTrue="1">
      <formula>AR107=CléPersonnalisée1</formula>
    </cfRule>
    <cfRule type="expression" dxfId="1797" priority="188" stopIfTrue="1">
      <formula>AR107=CléMaladie</formula>
    </cfRule>
    <cfRule type="expression" dxfId="1796" priority="189" stopIfTrue="1">
      <formula>AR107=CléPersonnelle</formula>
    </cfRule>
    <cfRule type="expression" dxfId="1795" priority="190" stopIfTrue="1">
      <formula>AR107=CléCongés</formula>
    </cfRule>
  </conditionalFormatting>
  <conditionalFormatting sqref="AO107">
    <cfRule type="expression" priority="173" stopIfTrue="1">
      <formula>AO107=""</formula>
    </cfRule>
    <cfRule type="expression" dxfId="1794" priority="174" stopIfTrue="1">
      <formula>AO107=CléPersonnalisée2</formula>
    </cfRule>
    <cfRule type="expression" dxfId="1793" priority="175" stopIfTrue="1">
      <formula>AO107=CléPersonnalisée1</formula>
    </cfRule>
    <cfRule type="expression" dxfId="1792" priority="176" stopIfTrue="1">
      <formula>AO107=CléMaladie</formula>
    </cfRule>
    <cfRule type="expression" dxfId="1791" priority="177" stopIfTrue="1">
      <formula>AO107=CléPersonnelle</formula>
    </cfRule>
    <cfRule type="expression" dxfId="1790" priority="178" stopIfTrue="1">
      <formula>AO107=CléCongés</formula>
    </cfRule>
  </conditionalFormatting>
  <conditionalFormatting sqref="C57:AG59">
    <cfRule type="expression" priority="166" stopIfTrue="1">
      <formula>C57=""</formula>
    </cfRule>
    <cfRule type="expression" dxfId="1789" priority="167" stopIfTrue="1">
      <formula>C57=CléPersonnalisée2</formula>
    </cfRule>
    <cfRule type="expression" dxfId="1788" priority="168" stopIfTrue="1">
      <formula>C57=CléPersonnalisée1</formula>
    </cfRule>
    <cfRule type="expression" dxfId="1787" priority="169" stopIfTrue="1">
      <formula>C57=CléMaladie</formula>
    </cfRule>
    <cfRule type="expression" dxfId="1786" priority="170" stopIfTrue="1">
      <formula>C57=CléPersonnelle</formula>
    </cfRule>
    <cfRule type="expression" dxfId="1785" priority="171" stopIfTrue="1">
      <formula>C57=CléCongés</formula>
    </cfRule>
  </conditionalFormatting>
  <conditionalFormatting sqref="AH59">
    <cfRule type="dataBar" priority="172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{0DFCF138-EB4D-4405-ABB3-559ABBF9A2CA}</x14:id>
        </ext>
      </extLst>
    </cfRule>
  </conditionalFormatting>
  <conditionalFormatting sqref="AI59:AL59 AJ57:AL58">
    <cfRule type="expression" priority="160" stopIfTrue="1">
      <formula>AI57=""</formula>
    </cfRule>
    <cfRule type="expression" dxfId="1784" priority="161" stopIfTrue="1">
      <formula>AI57=CléPersonnalisée2</formula>
    </cfRule>
    <cfRule type="expression" dxfId="1783" priority="162" stopIfTrue="1">
      <formula>AI57=CléPersonnalisée1</formula>
    </cfRule>
    <cfRule type="expression" dxfId="1782" priority="163" stopIfTrue="1">
      <formula>AI57=CléMaladie</formula>
    </cfRule>
    <cfRule type="expression" dxfId="1781" priority="164" stopIfTrue="1">
      <formula>AI57=CléPersonnelle</formula>
    </cfRule>
    <cfRule type="expression" dxfId="1780" priority="165" stopIfTrue="1">
      <formula>AI57=CléCongés</formula>
    </cfRule>
  </conditionalFormatting>
  <conditionalFormatting sqref="AM57:AP58">
    <cfRule type="expression" priority="154" stopIfTrue="1">
      <formula>AM57=""</formula>
    </cfRule>
    <cfRule type="expression" dxfId="1779" priority="155" stopIfTrue="1">
      <formula>AM57=CléPersonnalisée2</formula>
    </cfRule>
    <cfRule type="expression" dxfId="1778" priority="156" stopIfTrue="1">
      <formula>AM57=CléPersonnalisée1</formula>
    </cfRule>
    <cfRule type="expression" dxfId="1777" priority="157" stopIfTrue="1">
      <formula>AM57=CléMaladie</formula>
    </cfRule>
    <cfRule type="expression" dxfId="1776" priority="158" stopIfTrue="1">
      <formula>AM57=CléPersonnelle</formula>
    </cfRule>
    <cfRule type="expression" dxfId="1775" priority="159" stopIfTrue="1">
      <formula>AM57=CléCongés</formula>
    </cfRule>
  </conditionalFormatting>
  <conditionalFormatting sqref="AQ57:AR58">
    <cfRule type="expression" priority="148" stopIfTrue="1">
      <formula>AQ57=""</formula>
    </cfRule>
    <cfRule type="expression" dxfId="1774" priority="149" stopIfTrue="1">
      <formula>AQ57=CléPersonnalisée2</formula>
    </cfRule>
    <cfRule type="expression" dxfId="1773" priority="150" stopIfTrue="1">
      <formula>AQ57=CléPersonnalisée1</formula>
    </cfRule>
    <cfRule type="expression" dxfId="1772" priority="151" stopIfTrue="1">
      <formula>AQ57=CléMaladie</formula>
    </cfRule>
    <cfRule type="expression" dxfId="1771" priority="152" stopIfTrue="1">
      <formula>AQ57=CléPersonnelle</formula>
    </cfRule>
    <cfRule type="expression" dxfId="1770" priority="153" stopIfTrue="1">
      <formula>AQ57=CléCongés</formula>
    </cfRule>
  </conditionalFormatting>
  <conditionalFormatting sqref="AM59 AP59">
    <cfRule type="expression" priority="142" stopIfTrue="1">
      <formula>AM59=""</formula>
    </cfRule>
    <cfRule type="expression" dxfId="1769" priority="143" stopIfTrue="1">
      <formula>AM59=CléPersonnalisée2</formula>
    </cfRule>
    <cfRule type="expression" dxfId="1768" priority="144" stopIfTrue="1">
      <formula>AM59=CléPersonnalisée1</formula>
    </cfRule>
    <cfRule type="expression" dxfId="1767" priority="145" stopIfTrue="1">
      <formula>AM59=CléMaladie</formula>
    </cfRule>
    <cfRule type="expression" dxfId="1766" priority="146" stopIfTrue="1">
      <formula>AM59=CléPersonnelle</formula>
    </cfRule>
    <cfRule type="expression" dxfId="1765" priority="147" stopIfTrue="1">
      <formula>AM59=CléCongés</formula>
    </cfRule>
  </conditionalFormatting>
  <conditionalFormatting sqref="AH57:AH58">
    <cfRule type="dataBar" priority="141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{326142E4-B44B-4031-9AC9-5EDDB0EEF891}</x14:id>
        </ext>
      </extLst>
    </cfRule>
  </conditionalFormatting>
  <conditionalFormatting sqref="AO59">
    <cfRule type="expression" priority="135" stopIfTrue="1">
      <formula>AO59=""</formula>
    </cfRule>
    <cfRule type="expression" dxfId="1764" priority="136" stopIfTrue="1">
      <formula>AO59=CléPersonnalisée2</formula>
    </cfRule>
    <cfRule type="expression" dxfId="1763" priority="137" stopIfTrue="1">
      <formula>AO59=CléPersonnalisée1</formula>
    </cfRule>
    <cfRule type="expression" dxfId="1762" priority="138" stopIfTrue="1">
      <formula>AO59=CléMaladie</formula>
    </cfRule>
    <cfRule type="expression" dxfId="1761" priority="139" stopIfTrue="1">
      <formula>AO59=CléPersonnelle</formula>
    </cfRule>
    <cfRule type="expression" dxfId="1760" priority="140" stopIfTrue="1">
      <formula>AO59=CléCongés</formula>
    </cfRule>
  </conditionalFormatting>
  <conditionalFormatting sqref="AI57:AI58">
    <cfRule type="expression" priority="129" stopIfTrue="1">
      <formula>AI57=""</formula>
    </cfRule>
    <cfRule type="expression" dxfId="1759" priority="130" stopIfTrue="1">
      <formula>AI57=CléPersonnalisée2</formula>
    </cfRule>
    <cfRule type="expression" dxfId="1758" priority="131" stopIfTrue="1">
      <formula>AI57=CléPersonnalisée1</formula>
    </cfRule>
    <cfRule type="expression" dxfId="1757" priority="132" stopIfTrue="1">
      <formula>AI57=CléMaladie</formula>
    </cfRule>
    <cfRule type="expression" dxfId="1756" priority="133" stopIfTrue="1">
      <formula>AI57=CléPersonnelle</formula>
    </cfRule>
    <cfRule type="expression" dxfId="1755" priority="134" stopIfTrue="1">
      <formula>AI57=CléCongés</formula>
    </cfRule>
  </conditionalFormatting>
  <conditionalFormatting sqref="AN59">
    <cfRule type="expression" priority="123" stopIfTrue="1">
      <formula>AN59=""</formula>
    </cfRule>
    <cfRule type="expression" dxfId="1754" priority="124" stopIfTrue="1">
      <formula>AN59=CléPersonnalisée2</formula>
    </cfRule>
    <cfRule type="expression" dxfId="1753" priority="125" stopIfTrue="1">
      <formula>AN59=CléPersonnalisée1</formula>
    </cfRule>
    <cfRule type="expression" dxfId="1752" priority="126" stopIfTrue="1">
      <formula>AN59=CléMaladie</formula>
    </cfRule>
    <cfRule type="expression" dxfId="1751" priority="127" stopIfTrue="1">
      <formula>AN59=CléPersonnelle</formula>
    </cfRule>
    <cfRule type="expression" dxfId="1750" priority="128" stopIfTrue="1">
      <formula>AN59=CléCongés</formula>
    </cfRule>
  </conditionalFormatting>
  <conditionalFormatting sqref="AR59">
    <cfRule type="expression" priority="117" stopIfTrue="1">
      <formula>AR59=""</formula>
    </cfRule>
    <cfRule type="expression" dxfId="1749" priority="118" stopIfTrue="1">
      <formula>AR59=CléPersonnalisée2</formula>
    </cfRule>
    <cfRule type="expression" dxfId="1748" priority="119" stopIfTrue="1">
      <formula>AR59=CléPersonnalisée1</formula>
    </cfRule>
    <cfRule type="expression" dxfId="1747" priority="120" stopIfTrue="1">
      <formula>AR59=CléMaladie</formula>
    </cfRule>
    <cfRule type="expression" dxfId="1746" priority="121" stopIfTrue="1">
      <formula>AR59=CléPersonnelle</formula>
    </cfRule>
    <cfRule type="expression" dxfId="1745" priority="122" stopIfTrue="1">
      <formula>AR59=CléCongés</formula>
    </cfRule>
  </conditionalFormatting>
  <conditionalFormatting sqref="AQ59">
    <cfRule type="expression" priority="111" stopIfTrue="1">
      <formula>AQ59=""</formula>
    </cfRule>
    <cfRule type="expression" dxfId="1744" priority="112" stopIfTrue="1">
      <formula>AQ59=CléPersonnalisée2</formula>
    </cfRule>
    <cfRule type="expression" dxfId="1743" priority="113" stopIfTrue="1">
      <formula>AQ59=CléPersonnalisée1</formula>
    </cfRule>
    <cfRule type="expression" dxfId="1742" priority="114" stopIfTrue="1">
      <formula>AQ59=CléMaladie</formula>
    </cfRule>
    <cfRule type="expression" dxfId="1741" priority="115" stopIfTrue="1">
      <formula>AQ59=CléPersonnelle</formula>
    </cfRule>
    <cfRule type="expression" dxfId="1740" priority="116" stopIfTrue="1">
      <formula>AQ59=CléCongés</formula>
    </cfRule>
  </conditionalFormatting>
  <conditionalFormatting sqref="AQ79">
    <cfRule type="expression" priority="61" stopIfTrue="1">
      <formula>AQ79=""</formula>
    </cfRule>
    <cfRule type="expression" dxfId="1739" priority="62" stopIfTrue="1">
      <formula>AQ79=CléPersonnalisée2</formula>
    </cfRule>
    <cfRule type="expression" dxfId="1738" priority="63" stopIfTrue="1">
      <formula>AQ79=CléPersonnalisée1</formula>
    </cfRule>
    <cfRule type="expression" dxfId="1737" priority="64" stopIfTrue="1">
      <formula>AQ79=CléMaladie</formula>
    </cfRule>
    <cfRule type="expression" dxfId="1736" priority="65" stopIfTrue="1">
      <formula>AQ79=CléPersonnelle</formula>
    </cfRule>
    <cfRule type="expression" dxfId="1735" priority="66" stopIfTrue="1">
      <formula>AQ79=CléCongés</formula>
    </cfRule>
  </conditionalFormatting>
  <conditionalFormatting sqref="C77:AG79">
    <cfRule type="expression" priority="104" stopIfTrue="1">
      <formula>C77=""</formula>
    </cfRule>
    <cfRule type="expression" dxfId="1734" priority="105" stopIfTrue="1">
      <formula>C77=CléPersonnalisée2</formula>
    </cfRule>
    <cfRule type="expression" dxfId="1733" priority="106" stopIfTrue="1">
      <formula>C77=CléPersonnalisée1</formula>
    </cfRule>
    <cfRule type="expression" dxfId="1732" priority="107" stopIfTrue="1">
      <formula>C77=CléMaladie</formula>
    </cfRule>
    <cfRule type="expression" dxfId="1731" priority="108" stopIfTrue="1">
      <formula>C77=CléPersonnelle</formula>
    </cfRule>
    <cfRule type="expression" dxfId="1730" priority="109" stopIfTrue="1">
      <formula>C77=CléCongés</formula>
    </cfRule>
  </conditionalFormatting>
  <conditionalFormatting sqref="AH79">
    <cfRule type="dataBar" priority="110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{83412D9A-8DD6-4D02-B85B-2D0F62D7665B}</x14:id>
        </ext>
      </extLst>
    </cfRule>
  </conditionalFormatting>
  <conditionalFormatting sqref="AI79:AL79 AJ77:AL78">
    <cfRule type="expression" priority="98" stopIfTrue="1">
      <formula>AI77=""</formula>
    </cfRule>
    <cfRule type="expression" dxfId="1729" priority="99" stopIfTrue="1">
      <formula>AI77=CléPersonnalisée2</formula>
    </cfRule>
    <cfRule type="expression" dxfId="1728" priority="100" stopIfTrue="1">
      <formula>AI77=CléPersonnalisée1</formula>
    </cfRule>
    <cfRule type="expression" dxfId="1727" priority="101" stopIfTrue="1">
      <formula>AI77=CléMaladie</formula>
    </cfRule>
    <cfRule type="expression" dxfId="1726" priority="102" stopIfTrue="1">
      <formula>AI77=CléPersonnelle</formula>
    </cfRule>
    <cfRule type="expression" dxfId="1725" priority="103" stopIfTrue="1">
      <formula>AI77=CléCongés</formula>
    </cfRule>
  </conditionalFormatting>
  <conditionalFormatting sqref="AM77:AP78">
    <cfRule type="expression" priority="92" stopIfTrue="1">
      <formula>AM77=""</formula>
    </cfRule>
    <cfRule type="expression" dxfId="1724" priority="93" stopIfTrue="1">
      <formula>AM77=CléPersonnalisée2</formula>
    </cfRule>
    <cfRule type="expression" dxfId="1723" priority="94" stopIfTrue="1">
      <formula>AM77=CléPersonnalisée1</formula>
    </cfRule>
    <cfRule type="expression" dxfId="1722" priority="95" stopIfTrue="1">
      <formula>AM77=CléMaladie</formula>
    </cfRule>
    <cfRule type="expression" dxfId="1721" priority="96" stopIfTrue="1">
      <formula>AM77=CléPersonnelle</formula>
    </cfRule>
    <cfRule type="expression" dxfId="1720" priority="97" stopIfTrue="1">
      <formula>AM77=CléCongés</formula>
    </cfRule>
  </conditionalFormatting>
  <conditionalFormatting sqref="AQ77:AR78">
    <cfRule type="expression" priority="86" stopIfTrue="1">
      <formula>AQ77=""</formula>
    </cfRule>
    <cfRule type="expression" dxfId="1719" priority="87" stopIfTrue="1">
      <formula>AQ77=CléPersonnalisée2</formula>
    </cfRule>
    <cfRule type="expression" dxfId="1718" priority="88" stopIfTrue="1">
      <formula>AQ77=CléPersonnalisée1</formula>
    </cfRule>
    <cfRule type="expression" dxfId="1717" priority="89" stopIfTrue="1">
      <formula>AQ77=CléMaladie</formula>
    </cfRule>
    <cfRule type="expression" dxfId="1716" priority="90" stopIfTrue="1">
      <formula>AQ77=CléPersonnelle</formula>
    </cfRule>
    <cfRule type="expression" dxfId="1715" priority="91" stopIfTrue="1">
      <formula>AQ77=CléCongés</formula>
    </cfRule>
  </conditionalFormatting>
  <conditionalFormatting sqref="AM79 AP79">
    <cfRule type="expression" priority="80" stopIfTrue="1">
      <formula>AM79=""</formula>
    </cfRule>
    <cfRule type="expression" dxfId="1714" priority="81" stopIfTrue="1">
      <formula>AM79=CléPersonnalisée2</formula>
    </cfRule>
    <cfRule type="expression" dxfId="1713" priority="82" stopIfTrue="1">
      <formula>AM79=CléPersonnalisée1</formula>
    </cfRule>
    <cfRule type="expression" dxfId="1712" priority="83" stopIfTrue="1">
      <formula>AM79=CléMaladie</formula>
    </cfRule>
    <cfRule type="expression" dxfId="1711" priority="84" stopIfTrue="1">
      <formula>AM79=CléPersonnelle</formula>
    </cfRule>
    <cfRule type="expression" dxfId="1710" priority="85" stopIfTrue="1">
      <formula>AM79=CléCongés</formula>
    </cfRule>
  </conditionalFormatting>
  <conditionalFormatting sqref="AH77:AH78">
    <cfRule type="dataBar" priority="79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{4BDDBD04-FD3C-4723-A910-31AE1946C1B3}</x14:id>
        </ext>
      </extLst>
    </cfRule>
  </conditionalFormatting>
  <conditionalFormatting sqref="AI77:AI78">
    <cfRule type="expression" priority="73" stopIfTrue="1">
      <formula>AI77=""</formula>
    </cfRule>
    <cfRule type="expression" dxfId="1709" priority="74" stopIfTrue="1">
      <formula>AI77=CléPersonnalisée2</formula>
    </cfRule>
    <cfRule type="expression" dxfId="1708" priority="75" stopIfTrue="1">
      <formula>AI77=CléPersonnalisée1</formula>
    </cfRule>
    <cfRule type="expression" dxfId="1707" priority="76" stopIfTrue="1">
      <formula>AI77=CléMaladie</formula>
    </cfRule>
    <cfRule type="expression" dxfId="1706" priority="77" stopIfTrue="1">
      <formula>AI77=CléPersonnelle</formula>
    </cfRule>
    <cfRule type="expression" dxfId="1705" priority="78" stopIfTrue="1">
      <formula>AI77=CléCongés</formula>
    </cfRule>
  </conditionalFormatting>
  <conditionalFormatting sqref="AR79">
    <cfRule type="expression" priority="67" stopIfTrue="1">
      <formula>AR79=""</formula>
    </cfRule>
    <cfRule type="expression" dxfId="1704" priority="68" stopIfTrue="1">
      <formula>AR79=CléPersonnalisée2</formula>
    </cfRule>
    <cfRule type="expression" dxfId="1703" priority="69" stopIfTrue="1">
      <formula>AR79=CléPersonnalisée1</formula>
    </cfRule>
    <cfRule type="expression" dxfId="1702" priority="70" stopIfTrue="1">
      <formula>AR79=CléMaladie</formula>
    </cfRule>
    <cfRule type="expression" dxfId="1701" priority="71" stopIfTrue="1">
      <formula>AR79=CléPersonnelle</formula>
    </cfRule>
    <cfRule type="expression" dxfId="1700" priority="72" stopIfTrue="1">
      <formula>AR79=CléCongés</formula>
    </cfRule>
  </conditionalFormatting>
  <conditionalFormatting sqref="AO79">
    <cfRule type="expression" priority="55" stopIfTrue="1">
      <formula>AO79=""</formula>
    </cfRule>
    <cfRule type="expression" dxfId="1699" priority="56" stopIfTrue="1">
      <formula>AO79=CléPersonnalisée2</formula>
    </cfRule>
    <cfRule type="expression" dxfId="1698" priority="57" stopIfTrue="1">
      <formula>AO79=CléPersonnalisée1</formula>
    </cfRule>
    <cfRule type="expression" dxfId="1697" priority="58" stopIfTrue="1">
      <formula>AO79=CléMaladie</formula>
    </cfRule>
    <cfRule type="expression" dxfId="1696" priority="59" stopIfTrue="1">
      <formula>AO79=CléPersonnelle</formula>
    </cfRule>
    <cfRule type="expression" dxfId="1695" priority="60" stopIfTrue="1">
      <formula>AO79=CléCongés</formula>
    </cfRule>
  </conditionalFormatting>
  <conditionalFormatting sqref="AN79">
    <cfRule type="expression" priority="49" stopIfTrue="1">
      <formula>AN79=""</formula>
    </cfRule>
    <cfRule type="expression" dxfId="1694" priority="50" stopIfTrue="1">
      <formula>AN79=CléPersonnalisée2</formula>
    </cfRule>
    <cfRule type="expression" dxfId="1693" priority="51" stopIfTrue="1">
      <formula>AN79=CléPersonnalisée1</formula>
    </cfRule>
    <cfRule type="expression" dxfId="1692" priority="52" stopIfTrue="1">
      <formula>AN79=CléMaladie</formula>
    </cfRule>
    <cfRule type="expression" dxfId="1691" priority="53" stopIfTrue="1">
      <formula>AN79=CléPersonnelle</formula>
    </cfRule>
    <cfRule type="expression" dxfId="1690" priority="54" stopIfTrue="1">
      <formula>AN79=CléCongés</formula>
    </cfRule>
  </conditionalFormatting>
  <conditionalFormatting sqref="AM95">
    <cfRule type="expression" priority="43" stopIfTrue="1">
      <formula>AM95=""</formula>
    </cfRule>
    <cfRule type="expression" dxfId="1689" priority="44" stopIfTrue="1">
      <formula>AM95=CléPersonnalisée2</formula>
    </cfRule>
    <cfRule type="expression" dxfId="1688" priority="45" stopIfTrue="1">
      <formula>AM95=CléPersonnalisée1</formula>
    </cfRule>
    <cfRule type="expression" dxfId="1687" priority="46" stopIfTrue="1">
      <formula>AM95=CléMaladie</formula>
    </cfRule>
    <cfRule type="expression" dxfId="1686" priority="47" stopIfTrue="1">
      <formula>AM95=CléPersonnelle</formula>
    </cfRule>
    <cfRule type="expression" dxfId="1685" priority="48" stopIfTrue="1">
      <formula>AM95=CléCongés</formula>
    </cfRule>
  </conditionalFormatting>
  <conditionalFormatting sqref="AM97:AP98">
    <cfRule type="expression" priority="37" stopIfTrue="1">
      <formula>AM97=""</formula>
    </cfRule>
    <cfRule type="expression" dxfId="1684" priority="38" stopIfTrue="1">
      <formula>AM97=CléPersonnalisée2</formula>
    </cfRule>
    <cfRule type="expression" dxfId="1683" priority="39" stopIfTrue="1">
      <formula>AM97=CléPersonnalisée1</formula>
    </cfRule>
    <cfRule type="expression" dxfId="1682" priority="40" stopIfTrue="1">
      <formula>AM97=CléMaladie</formula>
    </cfRule>
    <cfRule type="expression" dxfId="1681" priority="41" stopIfTrue="1">
      <formula>AM97=CléPersonnelle</formula>
    </cfRule>
    <cfRule type="expression" dxfId="1680" priority="42" stopIfTrue="1">
      <formula>AM97=CléCongés</formula>
    </cfRule>
  </conditionalFormatting>
  <conditionalFormatting sqref="AQ97:AR98">
    <cfRule type="expression" priority="31" stopIfTrue="1">
      <formula>AQ97=""</formula>
    </cfRule>
    <cfRule type="expression" dxfId="1679" priority="32" stopIfTrue="1">
      <formula>AQ97=CléPersonnalisée2</formula>
    </cfRule>
    <cfRule type="expression" dxfId="1678" priority="33" stopIfTrue="1">
      <formula>AQ97=CléPersonnalisée1</formula>
    </cfRule>
    <cfRule type="expression" dxfId="1677" priority="34" stopIfTrue="1">
      <formula>AQ97=CléMaladie</formula>
    </cfRule>
    <cfRule type="expression" dxfId="1676" priority="35" stopIfTrue="1">
      <formula>AQ97=CléPersonnelle</formula>
    </cfRule>
    <cfRule type="expression" dxfId="1675" priority="36" stopIfTrue="1">
      <formula>AQ97=CléCongés</formula>
    </cfRule>
  </conditionalFormatting>
  <conditionalFormatting sqref="AM101:AP102">
    <cfRule type="expression" priority="25" stopIfTrue="1">
      <formula>AM101=""</formula>
    </cfRule>
    <cfRule type="expression" dxfId="1674" priority="26" stopIfTrue="1">
      <formula>AM101=CléPersonnalisée2</formula>
    </cfRule>
    <cfRule type="expression" dxfId="1673" priority="27" stopIfTrue="1">
      <formula>AM101=CléPersonnalisée1</formula>
    </cfRule>
    <cfRule type="expression" dxfId="1672" priority="28" stopIfTrue="1">
      <formula>AM101=CléMaladie</formula>
    </cfRule>
    <cfRule type="expression" dxfId="1671" priority="29" stopIfTrue="1">
      <formula>AM101=CléPersonnelle</formula>
    </cfRule>
    <cfRule type="expression" dxfId="1670" priority="30" stopIfTrue="1">
      <formula>AM101=CléCongés</formula>
    </cfRule>
  </conditionalFormatting>
  <conditionalFormatting sqref="AQ101:AR102">
    <cfRule type="expression" priority="19" stopIfTrue="1">
      <formula>AQ101=""</formula>
    </cfRule>
    <cfRule type="expression" dxfId="1669" priority="20" stopIfTrue="1">
      <formula>AQ101=CléPersonnalisée2</formula>
    </cfRule>
    <cfRule type="expression" dxfId="1668" priority="21" stopIfTrue="1">
      <formula>AQ101=CléPersonnalisée1</formula>
    </cfRule>
    <cfRule type="expression" dxfId="1667" priority="22" stopIfTrue="1">
      <formula>AQ101=CléMaladie</formula>
    </cfRule>
    <cfRule type="expression" dxfId="1666" priority="23" stopIfTrue="1">
      <formula>AQ101=CléPersonnelle</formula>
    </cfRule>
    <cfRule type="expression" dxfId="1665" priority="24" stopIfTrue="1">
      <formula>AQ101=CléCongés</formula>
    </cfRule>
  </conditionalFormatting>
  <conditionalFormatting sqref="AS13 AS17 AS21 AS25 AS29 AS33 AS37 AS41 AS45 AS49 AS53 AS57 AS61 AS65 AS69 AS73 AS77 AS81 AS85 AS89 AS93 AS97 AS101 AS105 AS109 AS113 AS117 AS121">
    <cfRule type="expression" priority="13" stopIfTrue="1">
      <formula>AS13=""</formula>
    </cfRule>
    <cfRule type="expression" dxfId="129" priority="14" stopIfTrue="1">
      <formula>AS13=CléPersonnalisée2</formula>
    </cfRule>
    <cfRule type="expression" dxfId="128" priority="15" stopIfTrue="1">
      <formula>AS13=CléPersonnalisée1</formula>
    </cfRule>
    <cfRule type="expression" dxfId="127" priority="16" stopIfTrue="1">
      <formula>AS13=CléMaladie</formula>
    </cfRule>
    <cfRule type="expression" dxfId="126" priority="17" stopIfTrue="1">
      <formula>AS13=CléPersonnelle</formula>
    </cfRule>
    <cfRule type="expression" dxfId="125" priority="18" stopIfTrue="1">
      <formula>AS13=CléCongés</formula>
    </cfRule>
  </conditionalFormatting>
  <conditionalFormatting sqref="AS9">
    <cfRule type="expression" priority="7" stopIfTrue="1">
      <formula>AS9=""</formula>
    </cfRule>
    <cfRule type="expression" dxfId="124" priority="8" stopIfTrue="1">
      <formula>AS9=CléPersonnalisée2</formula>
    </cfRule>
    <cfRule type="expression" dxfId="123" priority="9" stopIfTrue="1">
      <formula>AS9=CléPersonnalisée1</formula>
    </cfRule>
    <cfRule type="expression" dxfId="122" priority="10" stopIfTrue="1">
      <formula>AS9=CléMaladie</formula>
    </cfRule>
    <cfRule type="expression" dxfId="121" priority="11" stopIfTrue="1">
      <formula>AS9=CléPersonnelle</formula>
    </cfRule>
    <cfRule type="expression" dxfId="120" priority="12" stopIfTrue="1">
      <formula>AS9=CléCongés</formula>
    </cfRule>
  </conditionalFormatting>
  <conditionalFormatting sqref="AS5">
    <cfRule type="expression" priority="1" stopIfTrue="1">
      <formula>AS5=""</formula>
    </cfRule>
    <cfRule type="expression" dxfId="119" priority="2" stopIfTrue="1">
      <formula>AS5=CléPersonnalisée2</formula>
    </cfRule>
    <cfRule type="expression" dxfId="118" priority="3" stopIfTrue="1">
      <formula>AS5=CléPersonnalisée1</formula>
    </cfRule>
    <cfRule type="expression" dxfId="117" priority="4" stopIfTrue="1">
      <formula>AS5=CléMaladie</formula>
    </cfRule>
    <cfRule type="expression" dxfId="116" priority="5" stopIfTrue="1">
      <formula>AS5=CléPersonnelle</formula>
    </cfRule>
    <cfRule type="expression" dxfId="115" priority="6" stopIfTrue="1">
      <formula>AS5=CléCongés</formula>
    </cfRule>
  </conditionalFormatting>
  <printOptions horizontalCentered="1"/>
  <pageMargins left="0.25" right="0.25" top="0.75" bottom="0.75" header="0.3" footer="0.3"/>
  <pageSetup scale="67" fitToHeight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FCA3EF0-62CB-474E-9500-BBB736F6723F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AH5:AH6 AH9:AH11</xm:sqref>
        </x14:conditionalFormatting>
        <x14:conditionalFormatting xmlns:xm="http://schemas.microsoft.com/office/excel/2006/main">
          <x14:cfRule type="dataBar" id="{0A25DE35-51CC-4699-9549-CAFA403EDAD4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AH27</xm:sqref>
        </x14:conditionalFormatting>
        <x14:conditionalFormatting xmlns:xm="http://schemas.microsoft.com/office/excel/2006/main">
          <x14:cfRule type="dataBar" id="{EF7B77B8-A678-479A-B72F-BC0C6038F10E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AH31</xm:sqref>
        </x14:conditionalFormatting>
        <x14:conditionalFormatting xmlns:xm="http://schemas.microsoft.com/office/excel/2006/main">
          <x14:cfRule type="dataBar" id="{4DFE3428-87C5-4526-B2D8-F386E9C2E536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AH35</xm:sqref>
        </x14:conditionalFormatting>
        <x14:conditionalFormatting xmlns:xm="http://schemas.microsoft.com/office/excel/2006/main">
          <x14:cfRule type="dataBar" id="{67C4A938-CC4D-4350-A4EB-46C6B8E7BDA8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AH39</xm:sqref>
        </x14:conditionalFormatting>
        <x14:conditionalFormatting xmlns:xm="http://schemas.microsoft.com/office/excel/2006/main">
          <x14:cfRule type="dataBar" id="{5F56DD75-FDA9-4F9B-A2F4-C3B092FB2839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AH43</xm:sqref>
        </x14:conditionalFormatting>
        <x14:conditionalFormatting xmlns:xm="http://schemas.microsoft.com/office/excel/2006/main">
          <x14:cfRule type="dataBar" id="{B058B288-F669-4386-9620-8CFC97903F40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AH47</xm:sqref>
        </x14:conditionalFormatting>
        <x14:conditionalFormatting xmlns:xm="http://schemas.microsoft.com/office/excel/2006/main">
          <x14:cfRule type="dataBar" id="{F8EFBA2B-AE10-44C1-AD90-34894CE2F975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AH51</xm:sqref>
        </x14:conditionalFormatting>
        <x14:conditionalFormatting xmlns:xm="http://schemas.microsoft.com/office/excel/2006/main">
          <x14:cfRule type="dataBar" id="{81754B7A-8FD4-4272-A470-19138DE0D9E7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AH55</xm:sqref>
        </x14:conditionalFormatting>
        <x14:conditionalFormatting xmlns:xm="http://schemas.microsoft.com/office/excel/2006/main">
          <x14:cfRule type="dataBar" id="{B4679261-88F0-4CDD-B8B9-FBAE9A459426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AH63</xm:sqref>
        </x14:conditionalFormatting>
        <x14:conditionalFormatting xmlns:xm="http://schemas.microsoft.com/office/excel/2006/main">
          <x14:cfRule type="dataBar" id="{0F073A68-B69C-43B2-B31E-44EC804A30D5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AH71</xm:sqref>
        </x14:conditionalFormatting>
        <x14:conditionalFormatting xmlns:xm="http://schemas.microsoft.com/office/excel/2006/main">
          <x14:cfRule type="dataBar" id="{BD75AE1E-7171-464F-8B2B-042CCBA53409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AH19</xm:sqref>
        </x14:conditionalFormatting>
        <x14:conditionalFormatting xmlns:xm="http://schemas.microsoft.com/office/excel/2006/main">
          <x14:cfRule type="dataBar" id="{2B88C2D9-04CF-44A8-A9FB-CD0132574D6D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AH23</xm:sqref>
        </x14:conditionalFormatting>
        <x14:conditionalFormatting xmlns:xm="http://schemas.microsoft.com/office/excel/2006/main">
          <x14:cfRule type="dataBar" id="{AFAC72E9-2511-47FA-A9A3-67CD94DE1541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AH17:AH18</xm:sqref>
        </x14:conditionalFormatting>
        <x14:conditionalFormatting xmlns:xm="http://schemas.microsoft.com/office/excel/2006/main">
          <x14:cfRule type="dataBar" id="{C9B6BB1B-CDE1-4C0C-8E64-ABE04781B755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AH21:AH22</xm:sqref>
        </x14:conditionalFormatting>
        <x14:conditionalFormatting xmlns:xm="http://schemas.microsoft.com/office/excel/2006/main">
          <x14:cfRule type="dataBar" id="{95708D21-B0CF-4787-A353-03464FBC0B91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AH25:AH26</xm:sqref>
        </x14:conditionalFormatting>
        <x14:conditionalFormatting xmlns:xm="http://schemas.microsoft.com/office/excel/2006/main">
          <x14:cfRule type="dataBar" id="{15AA0188-168C-4D35-BCF8-7D05956E070B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AH29:AH30</xm:sqref>
        </x14:conditionalFormatting>
        <x14:conditionalFormatting xmlns:xm="http://schemas.microsoft.com/office/excel/2006/main">
          <x14:cfRule type="dataBar" id="{D53D973D-05A5-4972-9212-4FEA0F1EA0FF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AH33:AH34</xm:sqref>
        </x14:conditionalFormatting>
        <x14:conditionalFormatting xmlns:xm="http://schemas.microsoft.com/office/excel/2006/main">
          <x14:cfRule type="dataBar" id="{679EFB40-016C-48F2-9F4C-B0FDF5BA7574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AH37:AH38</xm:sqref>
        </x14:conditionalFormatting>
        <x14:conditionalFormatting xmlns:xm="http://schemas.microsoft.com/office/excel/2006/main">
          <x14:cfRule type="dataBar" id="{29C13AD5-9B2A-4C60-B25A-B90D87A1EB25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AH41:AH42</xm:sqref>
        </x14:conditionalFormatting>
        <x14:conditionalFormatting xmlns:xm="http://schemas.microsoft.com/office/excel/2006/main">
          <x14:cfRule type="dataBar" id="{00217153-DF87-430F-A100-63E188077674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AH45:AH46</xm:sqref>
        </x14:conditionalFormatting>
        <x14:conditionalFormatting xmlns:xm="http://schemas.microsoft.com/office/excel/2006/main">
          <x14:cfRule type="dataBar" id="{985C0B3C-E0A5-41DF-82A6-DBAF47234907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AH49:AH50</xm:sqref>
        </x14:conditionalFormatting>
        <x14:conditionalFormatting xmlns:xm="http://schemas.microsoft.com/office/excel/2006/main">
          <x14:cfRule type="dataBar" id="{6113497D-5A85-4846-A2C7-54E2FB9D1A6F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AH53:AH54</xm:sqref>
        </x14:conditionalFormatting>
        <x14:conditionalFormatting xmlns:xm="http://schemas.microsoft.com/office/excel/2006/main">
          <x14:cfRule type="dataBar" id="{D8E39EB3-8394-4D83-A082-91E8FC9BF641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AH61:AH62</xm:sqref>
        </x14:conditionalFormatting>
        <x14:conditionalFormatting xmlns:xm="http://schemas.microsoft.com/office/excel/2006/main">
          <x14:cfRule type="dataBar" id="{0583DB38-5F04-4B1E-A927-2C17F0495DB6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AH69:AH70</xm:sqref>
        </x14:conditionalFormatting>
        <x14:conditionalFormatting xmlns:xm="http://schemas.microsoft.com/office/excel/2006/main">
          <x14:cfRule type="dataBar" id="{B8FEA7B5-F0FD-47A1-B043-F150B3410DA5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AH7</xm:sqref>
        </x14:conditionalFormatting>
        <x14:conditionalFormatting xmlns:xm="http://schemas.microsoft.com/office/excel/2006/main">
          <x14:cfRule type="dataBar" id="{A7F68FE2-04C7-4AA4-93B2-C089B5E2708C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AH67</xm:sqref>
        </x14:conditionalFormatting>
        <x14:conditionalFormatting xmlns:xm="http://schemas.microsoft.com/office/excel/2006/main">
          <x14:cfRule type="dataBar" id="{FBCBFA4D-9263-49D8-A0BE-3A0B24B5A58F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AH65:AH66</xm:sqref>
        </x14:conditionalFormatting>
        <x14:conditionalFormatting xmlns:xm="http://schemas.microsoft.com/office/excel/2006/main">
          <x14:cfRule type="dataBar" id="{3DAC44E8-F0EF-4C7A-B93B-A8879E1FE89E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AH75</xm:sqref>
        </x14:conditionalFormatting>
        <x14:conditionalFormatting xmlns:xm="http://schemas.microsoft.com/office/excel/2006/main">
          <x14:cfRule type="dataBar" id="{31A428FA-FC9A-44A7-B375-2B76F5E38D33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AH73:AH74</xm:sqref>
        </x14:conditionalFormatting>
        <x14:conditionalFormatting xmlns:xm="http://schemas.microsoft.com/office/excel/2006/main">
          <x14:cfRule type="dataBar" id="{1A1819ED-408B-4AA0-82F0-2E51999D653B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AH83</xm:sqref>
        </x14:conditionalFormatting>
        <x14:conditionalFormatting xmlns:xm="http://schemas.microsoft.com/office/excel/2006/main">
          <x14:cfRule type="dataBar" id="{D8E96841-D76C-47A7-AD95-D80305E11189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AH81:AH82</xm:sqref>
        </x14:conditionalFormatting>
        <x14:conditionalFormatting xmlns:xm="http://schemas.microsoft.com/office/excel/2006/main">
          <x14:cfRule type="dataBar" id="{EB849FB2-22FC-4B50-9650-7C9DB74A4EB1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AH87</xm:sqref>
        </x14:conditionalFormatting>
        <x14:conditionalFormatting xmlns:xm="http://schemas.microsoft.com/office/excel/2006/main">
          <x14:cfRule type="dataBar" id="{2BD30DDD-DE7D-49E3-9C98-ECC1B9B86ADD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AH85:AH86</xm:sqref>
        </x14:conditionalFormatting>
        <x14:conditionalFormatting xmlns:xm="http://schemas.microsoft.com/office/excel/2006/main">
          <x14:cfRule type="dataBar" id="{3FA38A88-3BE2-4911-A618-608E80D02A7A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AH91</xm:sqref>
        </x14:conditionalFormatting>
        <x14:conditionalFormatting xmlns:xm="http://schemas.microsoft.com/office/excel/2006/main">
          <x14:cfRule type="dataBar" id="{AE6C6511-9D6F-4B29-9FDB-4FAD8ABEA224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AH89:AH90</xm:sqref>
        </x14:conditionalFormatting>
        <x14:conditionalFormatting xmlns:xm="http://schemas.microsoft.com/office/excel/2006/main">
          <x14:cfRule type="dataBar" id="{497CC8FB-A9F5-4DB6-BC35-C0CE0044FD4F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AH101:AH103 AH95 AH97:AH99</xm:sqref>
        </x14:conditionalFormatting>
        <x14:conditionalFormatting xmlns:xm="http://schemas.microsoft.com/office/excel/2006/main">
          <x14:cfRule type="dataBar" id="{6E3B798B-8CF6-4FF1-9E38-F991C6595671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AH93:AH94</xm:sqref>
        </x14:conditionalFormatting>
        <x14:conditionalFormatting xmlns:xm="http://schemas.microsoft.com/office/excel/2006/main">
          <x14:cfRule type="dataBar" id="{B0B08A8B-3ED4-4DA8-85C0-E4C7F8B40362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AH111</xm:sqref>
        </x14:conditionalFormatting>
        <x14:conditionalFormatting xmlns:xm="http://schemas.microsoft.com/office/excel/2006/main">
          <x14:cfRule type="dataBar" id="{59235CCF-4F61-4E65-9681-B76C4A23BBB1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AH109:AH110</xm:sqref>
        </x14:conditionalFormatting>
        <x14:conditionalFormatting xmlns:xm="http://schemas.microsoft.com/office/excel/2006/main">
          <x14:cfRule type="dataBar" id="{75F58B3B-4747-493D-9913-63E7DDB6DF0C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AH123</xm:sqref>
        </x14:conditionalFormatting>
        <x14:conditionalFormatting xmlns:xm="http://schemas.microsoft.com/office/excel/2006/main">
          <x14:cfRule type="dataBar" id="{A10815CD-B8E2-4884-A5C4-8C6DA93556E5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AH121:AH122</xm:sqref>
        </x14:conditionalFormatting>
        <x14:conditionalFormatting xmlns:xm="http://schemas.microsoft.com/office/excel/2006/main">
          <x14:cfRule type="dataBar" id="{370E7E3B-A7B2-4729-A803-D8587BB58A6B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AH115</xm:sqref>
        </x14:conditionalFormatting>
        <x14:conditionalFormatting xmlns:xm="http://schemas.microsoft.com/office/excel/2006/main">
          <x14:cfRule type="dataBar" id="{D09953A4-7C0D-4FE2-80DD-020F706C632C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AH113:AH114</xm:sqref>
        </x14:conditionalFormatting>
        <x14:conditionalFormatting xmlns:xm="http://schemas.microsoft.com/office/excel/2006/main">
          <x14:cfRule type="dataBar" id="{33B9B7B2-9E2B-4DD0-89B6-50057F3F656D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AH15</xm:sqref>
        </x14:conditionalFormatting>
        <x14:conditionalFormatting xmlns:xm="http://schemas.microsoft.com/office/excel/2006/main">
          <x14:cfRule type="dataBar" id="{BF523D2A-DE14-4F2F-BB79-4C84E9339EF4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AH13:AH14</xm:sqref>
        </x14:conditionalFormatting>
        <x14:conditionalFormatting xmlns:xm="http://schemas.microsoft.com/office/excel/2006/main">
          <x14:cfRule type="dataBar" id="{D9C06C11-21E5-4951-8696-EB0B2594D3E8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AH119</xm:sqref>
        </x14:conditionalFormatting>
        <x14:conditionalFormatting xmlns:xm="http://schemas.microsoft.com/office/excel/2006/main">
          <x14:cfRule type="dataBar" id="{A48C1D30-FE1F-461A-92D2-D97996D26459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AH117:AH118</xm:sqref>
        </x14:conditionalFormatting>
        <x14:conditionalFormatting xmlns:xm="http://schemas.microsoft.com/office/excel/2006/main">
          <x14:cfRule type="dataBar" id="{7041CDEB-9E8A-4602-B2DE-8B08BC2075C9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AH107</xm:sqref>
        </x14:conditionalFormatting>
        <x14:conditionalFormatting xmlns:xm="http://schemas.microsoft.com/office/excel/2006/main">
          <x14:cfRule type="dataBar" id="{EC556C6E-A675-4BFD-B238-E237E664B2D7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AH105:AH106</xm:sqref>
        </x14:conditionalFormatting>
        <x14:conditionalFormatting xmlns:xm="http://schemas.microsoft.com/office/excel/2006/main">
          <x14:cfRule type="dataBar" id="{0DFCF138-EB4D-4405-ABB3-559ABBF9A2CA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AH59</xm:sqref>
        </x14:conditionalFormatting>
        <x14:conditionalFormatting xmlns:xm="http://schemas.microsoft.com/office/excel/2006/main">
          <x14:cfRule type="dataBar" id="{326142E4-B44B-4031-9AC9-5EDDB0EEF891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AH57:AH58</xm:sqref>
        </x14:conditionalFormatting>
        <x14:conditionalFormatting xmlns:xm="http://schemas.microsoft.com/office/excel/2006/main">
          <x14:cfRule type="dataBar" id="{83412D9A-8DD6-4D02-B85B-2D0F62D7665B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AH79</xm:sqref>
        </x14:conditionalFormatting>
        <x14:conditionalFormatting xmlns:xm="http://schemas.microsoft.com/office/excel/2006/main">
          <x14:cfRule type="dataBar" id="{4BDDBD04-FD3C-4723-A910-31AE1946C1B3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AH77:AH78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2" tint="-0.89999084444715716"/>
    <pageSetUpPr fitToPage="1"/>
  </sheetPr>
  <dimension ref="A1:AS1514"/>
  <sheetViews>
    <sheetView showGridLines="0" topLeftCell="R1" zoomScale="98" zoomScaleNormal="98" workbookViewId="0">
      <selection activeCell="AS7" sqref="AS7"/>
    </sheetView>
  </sheetViews>
  <sheetFormatPr baseColWidth="10" defaultColWidth="9.140625" defaultRowHeight="15" customHeight="1" x14ac:dyDescent="0.25"/>
  <cols>
    <col min="1" max="1" width="24.28515625" style="96" customWidth="1"/>
    <col min="2" max="2" width="6" style="96" customWidth="1"/>
    <col min="3" max="22" width="4" style="93" customWidth="1"/>
    <col min="23" max="23" width="4.42578125" style="93" customWidth="1"/>
    <col min="24" max="26" width="4" style="93" customWidth="1"/>
    <col min="27" max="27" width="4.42578125" style="93" customWidth="1"/>
    <col min="28" max="28" width="4.42578125" style="93" bestFit="1" customWidth="1"/>
    <col min="29" max="32" width="4" style="93" customWidth="1"/>
    <col min="33" max="33" width="4.42578125" style="93" bestFit="1" customWidth="1"/>
    <col min="34" max="34" width="10.7109375" style="94" customWidth="1"/>
    <col min="35" max="35" width="5.5703125" style="93" customWidth="1"/>
    <col min="36" max="36" width="5" style="75" customWidth="1"/>
    <col min="37" max="37" width="4.7109375" style="75" customWidth="1"/>
    <col min="38" max="38" width="4.5703125" style="75" customWidth="1"/>
    <col min="39" max="39" width="7" style="75" customWidth="1"/>
    <col min="40" max="40" width="8.85546875" style="75" customWidth="1"/>
    <col min="41" max="41" width="8.140625" style="75" customWidth="1"/>
    <col min="42" max="42" width="4.7109375" style="75" customWidth="1"/>
    <col min="43" max="43" width="7.7109375" style="75" customWidth="1"/>
    <col min="44" max="44" width="7.5703125" style="75" customWidth="1"/>
    <col min="45" max="45" width="13.140625" style="75" customWidth="1"/>
    <col min="46" max="16384" width="9.140625" style="75"/>
  </cols>
  <sheetData>
    <row r="1" spans="1:45" s="8" customFormat="1" ht="50.25" customHeight="1" thickBot="1" x14ac:dyDescent="0.3">
      <c r="A1" s="1" t="s">
        <v>0</v>
      </c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3"/>
      <c r="AE1" s="3"/>
      <c r="AF1" s="4"/>
      <c r="AG1" s="5"/>
      <c r="AH1" s="5"/>
      <c r="AI1" s="6"/>
      <c r="AJ1" s="7"/>
      <c r="AK1" s="7"/>
      <c r="AL1" s="7"/>
      <c r="AM1" s="7"/>
      <c r="AN1" s="7"/>
      <c r="AO1" s="7"/>
      <c r="AP1" s="7"/>
      <c r="AQ1" s="7"/>
      <c r="AR1" s="7"/>
    </row>
    <row r="2" spans="1:45" s="18" customFormat="1" ht="30" customHeight="1" x14ac:dyDescent="0.25">
      <c r="A2" s="97">
        <v>43251</v>
      </c>
      <c r="B2" s="10"/>
      <c r="C2" s="11" t="s">
        <v>1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2">
        <v>2018</v>
      </c>
      <c r="AI2" s="13" t="s">
        <v>2</v>
      </c>
      <c r="AJ2" s="14"/>
      <c r="AK2" s="14"/>
      <c r="AL2" s="15"/>
      <c r="AM2" s="13" t="s">
        <v>3</v>
      </c>
      <c r="AN2" s="14"/>
      <c r="AO2" s="14"/>
      <c r="AP2" s="15"/>
      <c r="AQ2" s="16" t="s">
        <v>4</v>
      </c>
      <c r="AR2" s="17"/>
    </row>
    <row r="3" spans="1:45" s="27" customFormat="1" ht="15.75" customHeight="1" thickBot="1" x14ac:dyDescent="0.35">
      <c r="A3" s="114">
        <v>43251</v>
      </c>
      <c r="B3" s="10"/>
      <c r="C3" s="20" t="str">
        <f>TEXT(WEEKDAY(DATE(CalendrierAnnée,5,1),1),"jjj")</f>
        <v>mar</v>
      </c>
      <c r="D3" s="21" t="str">
        <f>TEXT(WEEKDAY(DATE(CalendrierAnnée,5,2),1),"jjj")</f>
        <v>mer</v>
      </c>
      <c r="E3" s="21" t="str">
        <f>TEXT(WEEKDAY(DATE(CalendrierAnnée,5,3),1),"jjj")</f>
        <v>jeu</v>
      </c>
      <c r="F3" s="21" t="str">
        <f>TEXT(WEEKDAY(DATE(CalendrierAnnée,5,4),1),"jjj")</f>
        <v>ven</v>
      </c>
      <c r="G3" s="21" t="str">
        <f>TEXT(WEEKDAY(DATE(CalendrierAnnée,5,5),1),"jjj")</f>
        <v>sam</v>
      </c>
      <c r="H3" s="21" t="str">
        <f>TEXT(WEEKDAY(DATE(CalendrierAnnée,5,6),1),"jjj")</f>
        <v>dim</v>
      </c>
      <c r="I3" s="21" t="str">
        <f>TEXT(WEEKDAY(DATE(CalendrierAnnée,5,7),1),"jjj")</f>
        <v>lun</v>
      </c>
      <c r="J3" s="21" t="str">
        <f>TEXT(WEEKDAY(DATE(CalendrierAnnée,5,8),1),"jjj")</f>
        <v>mar</v>
      </c>
      <c r="K3" s="21" t="str">
        <f>TEXT(WEEKDAY(DATE(CalendrierAnnée,5,9),1),"jjj")</f>
        <v>mer</v>
      </c>
      <c r="L3" s="21" t="str">
        <f>TEXT(WEEKDAY(DATE(CalendrierAnnée,5,10),1),"jjj")</f>
        <v>jeu</v>
      </c>
      <c r="M3" s="21" t="str">
        <f>TEXT(WEEKDAY(DATE(CalendrierAnnée,5,11),1),"jjj")</f>
        <v>ven</v>
      </c>
      <c r="N3" s="21" t="str">
        <f>TEXT(WEEKDAY(DATE(CalendrierAnnée,5,12),1),"jjj")</f>
        <v>sam</v>
      </c>
      <c r="O3" s="21" t="str">
        <f>TEXT(WEEKDAY(DATE(CalendrierAnnée,5,13),1),"jjj")</f>
        <v>dim</v>
      </c>
      <c r="P3" s="21" t="str">
        <f>TEXT(WEEKDAY(DATE(CalendrierAnnée,5,14),1),"jjj")</f>
        <v>lun</v>
      </c>
      <c r="Q3" s="21" t="str">
        <f>TEXT(WEEKDAY(DATE(CalendrierAnnée,5,15),1),"jjj")</f>
        <v>mar</v>
      </c>
      <c r="R3" s="21" t="str">
        <f>TEXT(WEEKDAY(DATE(CalendrierAnnée,5,16),1),"jjj")</f>
        <v>mer</v>
      </c>
      <c r="S3" s="21" t="str">
        <f>TEXT(WEEKDAY(DATE(CalendrierAnnée,5,17),1),"jjj")</f>
        <v>jeu</v>
      </c>
      <c r="T3" s="21" t="str">
        <f>TEXT(WEEKDAY(DATE(CalendrierAnnée,5,18),1),"jjj")</f>
        <v>ven</v>
      </c>
      <c r="U3" s="21" t="str">
        <f>TEXT(WEEKDAY(DATE(CalendrierAnnée,5,19),1),"jjj")</f>
        <v>sam</v>
      </c>
      <c r="V3" s="21" t="str">
        <f>TEXT(WEEKDAY(DATE(CalendrierAnnée,5,20),1),"jjj")</f>
        <v>dim</v>
      </c>
      <c r="W3" s="21" t="str">
        <f>TEXT(WEEKDAY(DATE(CalendrierAnnée,5,21),1),"jjj")</f>
        <v>lun</v>
      </c>
      <c r="X3" s="21" t="str">
        <f>TEXT(WEEKDAY(DATE(CalendrierAnnée,5,22),1),"jjj")</f>
        <v>mar</v>
      </c>
      <c r="Y3" s="21" t="str">
        <f>TEXT(WEEKDAY(DATE(CalendrierAnnée,5,23),1),"jjj")</f>
        <v>mer</v>
      </c>
      <c r="Z3" s="21" t="str">
        <f>TEXT(WEEKDAY(DATE(CalendrierAnnée,5,24),1),"jjj")</f>
        <v>jeu</v>
      </c>
      <c r="AA3" s="21" t="str">
        <f>TEXT(WEEKDAY(DATE(CalendrierAnnée,5,25),1),"jjj")</f>
        <v>ven</v>
      </c>
      <c r="AB3" s="21" t="str">
        <f>TEXT(WEEKDAY(DATE(CalendrierAnnée,5,26),1),"jjj")</f>
        <v>sam</v>
      </c>
      <c r="AC3" s="21" t="str">
        <f>TEXT(WEEKDAY(DATE(CalendrierAnnée,5,27),1),"jjj")</f>
        <v>dim</v>
      </c>
      <c r="AD3" s="21" t="str">
        <f>TEXT(WEEKDAY(DATE(CalendrierAnnée,5,28),1),"jjj")</f>
        <v>lun</v>
      </c>
      <c r="AE3" s="21" t="str">
        <f>TEXT(WEEKDAY(DATE(CalendrierAnnée,5,29),1),"jjj")</f>
        <v>mar</v>
      </c>
      <c r="AF3" s="21" t="str">
        <f>TEXT(WEEKDAY(DATE(CalendrierAnnée,5,30),1),"jjj")</f>
        <v>mer</v>
      </c>
      <c r="AG3" s="21" t="str">
        <f>TEXT(WEEKDAY(DATE(CalendrierAnnée,5,31),1),"jjj")</f>
        <v>jeu</v>
      </c>
      <c r="AH3" s="12"/>
      <c r="AI3" s="22"/>
      <c r="AJ3" s="23"/>
      <c r="AK3" s="23"/>
      <c r="AL3" s="24"/>
      <c r="AM3" s="22"/>
      <c r="AN3" s="23"/>
      <c r="AO3" s="23"/>
      <c r="AP3" s="24"/>
      <c r="AQ3" s="25"/>
      <c r="AR3" s="26"/>
    </row>
    <row r="4" spans="1:45" s="40" customFormat="1" ht="63.75" customHeight="1" x14ac:dyDescent="0.25">
      <c r="A4" s="28" t="s">
        <v>22</v>
      </c>
      <c r="B4" s="29"/>
      <c r="C4" s="99" t="s">
        <v>25</v>
      </c>
      <c r="D4" s="32" t="s">
        <v>26</v>
      </c>
      <c r="E4" s="32" t="s">
        <v>27</v>
      </c>
      <c r="F4" s="32" t="s">
        <v>28</v>
      </c>
      <c r="G4" s="32" t="s">
        <v>29</v>
      </c>
      <c r="H4" s="32" t="s">
        <v>30</v>
      </c>
      <c r="I4" s="32" t="s">
        <v>31</v>
      </c>
      <c r="J4" s="32" t="s">
        <v>32</v>
      </c>
      <c r="K4" s="32" t="s">
        <v>33</v>
      </c>
      <c r="L4" s="32" t="s">
        <v>34</v>
      </c>
      <c r="M4" s="32" t="s">
        <v>35</v>
      </c>
      <c r="N4" s="32" t="s">
        <v>36</v>
      </c>
      <c r="O4" s="32" t="s">
        <v>37</v>
      </c>
      <c r="P4" s="32" t="s">
        <v>38</v>
      </c>
      <c r="Q4" s="32" t="s">
        <v>39</v>
      </c>
      <c r="R4" s="32" t="s">
        <v>40</v>
      </c>
      <c r="S4" s="32" t="s">
        <v>41</v>
      </c>
      <c r="T4" s="32" t="s">
        <v>42</v>
      </c>
      <c r="U4" s="32" t="s">
        <v>43</v>
      </c>
      <c r="V4" s="32" t="s">
        <v>44</v>
      </c>
      <c r="W4" s="32" t="s">
        <v>45</v>
      </c>
      <c r="X4" s="32" t="s">
        <v>46</v>
      </c>
      <c r="Y4" s="32" t="s">
        <v>47</v>
      </c>
      <c r="Z4" s="32" t="s">
        <v>48</v>
      </c>
      <c r="AA4" s="32" t="s">
        <v>49</v>
      </c>
      <c r="AB4" s="32" t="s">
        <v>50</v>
      </c>
      <c r="AC4" s="32" t="s">
        <v>51</v>
      </c>
      <c r="AD4" s="32" t="s">
        <v>52</v>
      </c>
      <c r="AE4" s="32" t="s">
        <v>53</v>
      </c>
      <c r="AF4" s="32" t="s">
        <v>54</v>
      </c>
      <c r="AG4" s="32" t="s">
        <v>55</v>
      </c>
      <c r="AH4" s="33" t="s">
        <v>6</v>
      </c>
      <c r="AI4" s="34" t="s">
        <v>7</v>
      </c>
      <c r="AJ4" s="35" t="s">
        <v>8</v>
      </c>
      <c r="AK4" s="36" t="s">
        <v>9</v>
      </c>
      <c r="AL4" s="37" t="s">
        <v>10</v>
      </c>
      <c r="AM4" s="38" t="s">
        <v>11</v>
      </c>
      <c r="AN4" s="38" t="s">
        <v>12</v>
      </c>
      <c r="AO4" s="38" t="s">
        <v>13</v>
      </c>
      <c r="AP4" s="39" t="s">
        <v>14</v>
      </c>
      <c r="AQ4" s="34" t="s">
        <v>7</v>
      </c>
      <c r="AR4" s="35" t="s">
        <v>8</v>
      </c>
      <c r="AS4" s="39" t="s">
        <v>56</v>
      </c>
    </row>
    <row r="5" spans="1:45" s="40" customFormat="1" ht="12.95" customHeight="1" x14ac:dyDescent="0.25">
      <c r="A5" s="41"/>
      <c r="B5" s="42" t="s">
        <v>15</v>
      </c>
      <c r="C5" s="67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43"/>
      <c r="AH5" s="44">
        <f>COUNTA(Mai!$C5:$AG5)</f>
        <v>0</v>
      </c>
      <c r="AI5" s="45">
        <f>(COUNTIFS(Mai!$C5:$AG5,("cp")))/2+Avril!AI5</f>
        <v>8</v>
      </c>
      <c r="AJ5" s="45">
        <f>COUNTIFS(Mai!$C5:$AG5,"RTT")/2+Avril!AJ5</f>
        <v>0</v>
      </c>
      <c r="AK5" s="45">
        <f>COUNTIFS(Mai!$C5:$AG5,"m")/2+Avril!AK5</f>
        <v>0</v>
      </c>
      <c r="AL5" s="45">
        <f>COUNTIFS(Mai!$C5:$AG5,"a")/2+Avril!AL5</f>
        <v>0</v>
      </c>
      <c r="AM5" s="46"/>
      <c r="AN5" s="47"/>
      <c r="AO5" s="47"/>
      <c r="AP5" s="46"/>
      <c r="AQ5" s="47"/>
      <c r="AR5" s="47"/>
      <c r="AS5" s="47"/>
    </row>
    <row r="6" spans="1:45" s="40" customFormat="1" ht="12.95" customHeight="1" x14ac:dyDescent="0.25">
      <c r="A6" s="48">
        <v>41722</v>
      </c>
      <c r="B6" s="42" t="s">
        <v>16</v>
      </c>
      <c r="C6" s="67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3"/>
      <c r="AH6" s="44">
        <f>COUNTA(Mai!$C6:$AG6)</f>
        <v>0</v>
      </c>
      <c r="AI6" s="45">
        <f>(COUNTIFS(Mai!$C6:$AG6,("cp")))/2+Avril!AI6</f>
        <v>8</v>
      </c>
      <c r="AJ6" s="45">
        <f>COUNTIFS(Mai!$C6:$AG6,"RTT")/2+Avril!AJ6</f>
        <v>0</v>
      </c>
      <c r="AK6" s="45">
        <f>COUNTIFS(Mai!$C6:$AG6,"m")/2+Avril!AK6</f>
        <v>0</v>
      </c>
      <c r="AL6" s="45">
        <f>COUNTIFS(Mai!$C6:$AG6,"a")/2+Avril!AL6</f>
        <v>0</v>
      </c>
      <c r="AM6" s="46"/>
      <c r="AN6" s="47"/>
      <c r="AO6" s="47"/>
      <c r="AP6" s="46"/>
      <c r="AQ6" s="47"/>
      <c r="AR6" s="47"/>
      <c r="AS6" s="101"/>
    </row>
    <row r="7" spans="1:45" s="40" customFormat="1" ht="12.95" customHeight="1" x14ac:dyDescent="0.25">
      <c r="A7" s="41"/>
      <c r="B7" s="42"/>
      <c r="C7" s="49" t="str">
        <f t="shared" ref="C7:AG7" si="0">IF(C5&gt;0,C5,IF(C6&gt;0,C6,""))</f>
        <v/>
      </c>
      <c r="D7" s="49" t="str">
        <f t="shared" si="0"/>
        <v/>
      </c>
      <c r="E7" s="49" t="str">
        <f t="shared" si="0"/>
        <v/>
      </c>
      <c r="F7" s="49" t="str">
        <f t="shared" si="0"/>
        <v/>
      </c>
      <c r="G7" s="49" t="str">
        <f t="shared" si="0"/>
        <v/>
      </c>
      <c r="H7" s="49" t="str">
        <f t="shared" si="0"/>
        <v/>
      </c>
      <c r="I7" s="49" t="str">
        <f t="shared" si="0"/>
        <v/>
      </c>
      <c r="J7" s="49" t="str">
        <f t="shared" si="0"/>
        <v/>
      </c>
      <c r="K7" s="49" t="str">
        <f t="shared" si="0"/>
        <v/>
      </c>
      <c r="L7" s="49" t="str">
        <f t="shared" si="0"/>
        <v/>
      </c>
      <c r="M7" s="49" t="str">
        <f t="shared" si="0"/>
        <v/>
      </c>
      <c r="N7" s="49" t="str">
        <f t="shared" si="0"/>
        <v/>
      </c>
      <c r="O7" s="49" t="str">
        <f t="shared" si="0"/>
        <v/>
      </c>
      <c r="P7" s="49" t="str">
        <f t="shared" si="0"/>
        <v/>
      </c>
      <c r="Q7" s="49" t="str">
        <f t="shared" si="0"/>
        <v/>
      </c>
      <c r="R7" s="49" t="str">
        <f t="shared" si="0"/>
        <v/>
      </c>
      <c r="S7" s="49" t="str">
        <f t="shared" si="0"/>
        <v/>
      </c>
      <c r="T7" s="49" t="str">
        <f t="shared" si="0"/>
        <v/>
      </c>
      <c r="U7" s="49" t="str">
        <f t="shared" si="0"/>
        <v/>
      </c>
      <c r="V7" s="49" t="str">
        <f t="shared" si="0"/>
        <v/>
      </c>
      <c r="W7" s="49" t="str">
        <f t="shared" si="0"/>
        <v/>
      </c>
      <c r="X7" s="49" t="str">
        <f t="shared" si="0"/>
        <v/>
      </c>
      <c r="Y7" s="49" t="str">
        <f t="shared" si="0"/>
        <v/>
      </c>
      <c r="Z7" s="49" t="str">
        <f t="shared" si="0"/>
        <v/>
      </c>
      <c r="AA7" s="49" t="str">
        <f t="shared" si="0"/>
        <v/>
      </c>
      <c r="AB7" s="49" t="str">
        <f t="shared" si="0"/>
        <v/>
      </c>
      <c r="AC7" s="49" t="str">
        <f t="shared" si="0"/>
        <v/>
      </c>
      <c r="AD7" s="49" t="str">
        <f t="shared" si="0"/>
        <v/>
      </c>
      <c r="AE7" s="49" t="str">
        <f t="shared" si="0"/>
        <v/>
      </c>
      <c r="AF7" s="49" t="str">
        <f t="shared" si="0"/>
        <v/>
      </c>
      <c r="AG7" s="49" t="str">
        <f t="shared" si="0"/>
        <v/>
      </c>
      <c r="AH7" s="44">
        <f>SUM(AH5:AH6)</f>
        <v>0</v>
      </c>
      <c r="AI7" s="45">
        <f>SUM(AI5:AI6)</f>
        <v>16</v>
      </c>
      <c r="AJ7" s="45">
        <f>SUM(AJ5:AJ6)</f>
        <v>0</v>
      </c>
      <c r="AK7" s="45">
        <f>SUM(AK5:AK6)</f>
        <v>0</v>
      </c>
      <c r="AL7" s="45">
        <f>SUM(AL5:AL6)</f>
        <v>0</v>
      </c>
      <c r="AM7" s="50">
        <f>Juin!AM7</f>
        <v>9.15</v>
      </c>
      <c r="AN7" s="51">
        <f>IF(A6="","",IF(A6&gt;NomMois,0,IF(A6&lt;$A$3,2.08,(NETWORKDAYS(A6,$A$2)/21.66667)*2.08)))</f>
        <v>2.08</v>
      </c>
      <c r="AO7" s="51">
        <f>IF( AN7="",0,+AN7+Avril!AO7)</f>
        <v>24.959999999999994</v>
      </c>
      <c r="AP7" s="112">
        <f>IF(A6="","",IF(A6&gt;NomMois,0,IF(A6&lt;$A$3,1.5,(NETWORKDAYS(A6,$A$2)/21.66667)*1.5)))+Avril!AP7</f>
        <v>7.5</v>
      </c>
      <c r="AQ7" s="45">
        <f>+AM7-AI7</f>
        <v>-6.85</v>
      </c>
      <c r="AR7" s="45">
        <f>+IF(AP7="","",AP7-AJ7)</f>
        <v>7.5</v>
      </c>
      <c r="AS7" s="102">
        <f>+AO7+AQ7</f>
        <v>18.109999999999992</v>
      </c>
    </row>
    <row r="8" spans="1:45" s="40" customFormat="1" ht="6.75" customHeight="1" x14ac:dyDescent="0.25">
      <c r="A8" s="52"/>
      <c r="B8" s="53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  <c r="AF8" s="52"/>
      <c r="AG8" s="52"/>
      <c r="AH8" s="54"/>
      <c r="AI8" s="54"/>
      <c r="AJ8" s="54"/>
      <c r="AK8" s="54"/>
      <c r="AL8" s="54"/>
      <c r="AM8" s="52"/>
      <c r="AN8" s="55"/>
      <c r="AO8" s="55"/>
      <c r="AP8" s="56"/>
      <c r="AQ8" s="58"/>
      <c r="AR8" s="58"/>
      <c r="AS8" s="65"/>
    </row>
    <row r="9" spans="1:45" s="40" customFormat="1" ht="12.95" customHeight="1" x14ac:dyDescent="0.25">
      <c r="A9" s="41"/>
      <c r="B9" s="42" t="s">
        <v>15</v>
      </c>
      <c r="C9" s="67"/>
      <c r="D9" s="43"/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  <c r="AA9" s="43"/>
      <c r="AB9" s="43"/>
      <c r="AC9" s="43"/>
      <c r="AD9" s="43"/>
      <c r="AE9" s="43"/>
      <c r="AF9" s="43"/>
      <c r="AG9" s="43"/>
      <c r="AH9" s="44">
        <f>COUNTA(Mai!$C9:$AG9)</f>
        <v>0</v>
      </c>
      <c r="AI9" s="45">
        <f>(COUNTIFS(Mai!$C9:$AG9,("cp")))/2+Avril!AI9</f>
        <v>3.5</v>
      </c>
      <c r="AJ9" s="45">
        <f>COUNTIFS(Mai!$C9:$AG9,"RTT")/2+Avril!AJ9</f>
        <v>0</v>
      </c>
      <c r="AK9" s="45">
        <f>COUNTIFS(Mai!$C9:$AG9,"m")/2+Avril!AK9</f>
        <v>0</v>
      </c>
      <c r="AL9" s="45">
        <f>COUNTIFS(Mai!$C9:$AG9,"a")/2+Avril!AL9</f>
        <v>0</v>
      </c>
      <c r="AM9" s="46"/>
      <c r="AN9" s="47"/>
      <c r="AO9" s="47"/>
      <c r="AP9" s="46"/>
      <c r="AQ9" s="47"/>
      <c r="AR9" s="47"/>
      <c r="AS9" s="47"/>
    </row>
    <row r="10" spans="1:45" s="40" customFormat="1" ht="12.95" customHeight="1" x14ac:dyDescent="0.25">
      <c r="A10" s="48">
        <v>42740</v>
      </c>
      <c r="B10" s="42" t="s">
        <v>16</v>
      </c>
      <c r="C10" s="67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3"/>
      <c r="AG10" s="43"/>
      <c r="AH10" s="44">
        <f>COUNTA(Mai!$C10:$AG10)</f>
        <v>0</v>
      </c>
      <c r="AI10" s="45">
        <f>(COUNTIFS(Mai!$C10:$AG10,("cp")))/2+Avril!AI10</f>
        <v>3.5</v>
      </c>
      <c r="AJ10" s="45">
        <f>COUNTIFS(Mai!$C10:$AG10,"RTT")/2+Avril!AJ10</f>
        <v>0</v>
      </c>
      <c r="AK10" s="45">
        <f>COUNTIFS(Mai!$C10:$AG10,"m")/2+Avril!AK10</f>
        <v>0</v>
      </c>
      <c r="AL10" s="45">
        <f>COUNTIFS(Mai!$C10:$AG10,"a")/2+Avril!AL10</f>
        <v>0</v>
      </c>
      <c r="AM10" s="46"/>
      <c r="AN10" s="47"/>
      <c r="AO10" s="47"/>
      <c r="AP10" s="46"/>
      <c r="AQ10" s="47"/>
      <c r="AR10" s="47"/>
      <c r="AS10" s="101"/>
    </row>
    <row r="11" spans="1:45" s="40" customFormat="1" ht="12.95" customHeight="1" x14ac:dyDescent="0.25">
      <c r="A11" s="41"/>
      <c r="B11" s="42"/>
      <c r="C11" s="49" t="str">
        <f t="shared" ref="C11:AG11" si="1">IF(C9&gt;0,C9,IF(C10&gt;0,C10,""))</f>
        <v/>
      </c>
      <c r="D11" s="49" t="str">
        <f t="shared" si="1"/>
        <v/>
      </c>
      <c r="E11" s="49" t="str">
        <f t="shared" si="1"/>
        <v/>
      </c>
      <c r="F11" s="49" t="str">
        <f t="shared" si="1"/>
        <v/>
      </c>
      <c r="G11" s="49" t="str">
        <f t="shared" si="1"/>
        <v/>
      </c>
      <c r="H11" s="49" t="str">
        <f t="shared" si="1"/>
        <v/>
      </c>
      <c r="I11" s="49" t="str">
        <f t="shared" si="1"/>
        <v/>
      </c>
      <c r="J11" s="49" t="str">
        <f t="shared" si="1"/>
        <v/>
      </c>
      <c r="K11" s="49" t="str">
        <f t="shared" si="1"/>
        <v/>
      </c>
      <c r="L11" s="49" t="str">
        <f t="shared" si="1"/>
        <v/>
      </c>
      <c r="M11" s="49" t="str">
        <f t="shared" si="1"/>
        <v/>
      </c>
      <c r="N11" s="49" t="str">
        <f t="shared" si="1"/>
        <v/>
      </c>
      <c r="O11" s="49" t="str">
        <f t="shared" si="1"/>
        <v/>
      </c>
      <c r="P11" s="49" t="str">
        <f t="shared" si="1"/>
        <v/>
      </c>
      <c r="Q11" s="49" t="str">
        <f t="shared" si="1"/>
        <v/>
      </c>
      <c r="R11" s="49" t="str">
        <f t="shared" si="1"/>
        <v/>
      </c>
      <c r="S11" s="49" t="str">
        <f t="shared" si="1"/>
        <v/>
      </c>
      <c r="T11" s="49" t="str">
        <f t="shared" si="1"/>
        <v/>
      </c>
      <c r="U11" s="49" t="str">
        <f t="shared" si="1"/>
        <v/>
      </c>
      <c r="V11" s="49" t="str">
        <f t="shared" si="1"/>
        <v/>
      </c>
      <c r="W11" s="49" t="str">
        <f t="shared" si="1"/>
        <v/>
      </c>
      <c r="X11" s="49" t="str">
        <f t="shared" si="1"/>
        <v/>
      </c>
      <c r="Y11" s="49" t="str">
        <f t="shared" si="1"/>
        <v/>
      </c>
      <c r="Z11" s="49" t="str">
        <f t="shared" si="1"/>
        <v/>
      </c>
      <c r="AA11" s="49" t="str">
        <f t="shared" si="1"/>
        <v/>
      </c>
      <c r="AB11" s="49" t="str">
        <f t="shared" si="1"/>
        <v/>
      </c>
      <c r="AC11" s="49" t="str">
        <f t="shared" si="1"/>
        <v/>
      </c>
      <c r="AD11" s="49" t="str">
        <f t="shared" si="1"/>
        <v/>
      </c>
      <c r="AE11" s="49" t="str">
        <f t="shared" si="1"/>
        <v/>
      </c>
      <c r="AF11" s="49" t="str">
        <f t="shared" si="1"/>
        <v/>
      </c>
      <c r="AG11" s="49" t="str">
        <f t="shared" si="1"/>
        <v/>
      </c>
      <c r="AH11" s="44">
        <f>SUM(AH9:AH10)</f>
        <v>0</v>
      </c>
      <c r="AI11" s="45">
        <f>SUM(AI9:AI10)</f>
        <v>7</v>
      </c>
      <c r="AJ11" s="45">
        <f>SUM(AJ9:AJ10)</f>
        <v>0</v>
      </c>
      <c r="AK11" s="45">
        <f>SUM(AK9:AK10)</f>
        <v>0</v>
      </c>
      <c r="AL11" s="45">
        <f>SUM(AL9:AL10)</f>
        <v>0</v>
      </c>
      <c r="AM11" s="50">
        <f>Juin!AM11</f>
        <v>10.32</v>
      </c>
      <c r="AN11" s="51">
        <f>IF(A10="","",IF(A10&gt;NomMois,0,IF(A10&lt;$A$3,2.08,(NETWORKDAYS(A10,$A$2)/21.66667)*2.08)))</f>
        <v>2.08</v>
      </c>
      <c r="AO11" s="51">
        <f>IF( AN11="",0,+AN11+Avril!AO11)</f>
        <v>24.959999999999994</v>
      </c>
      <c r="AP11" s="50">
        <f>IF(A10="","",IF(A10&gt;NomMois,0,IF(A10&lt;$A$3,1.5,(NETWORKDAYS(A10,$A$2)/21.66667)*1.5)))+Avril!AP11</f>
        <v>7.5</v>
      </c>
      <c r="AQ11" s="45">
        <f>+AM11-AI11</f>
        <v>3.3200000000000003</v>
      </c>
      <c r="AR11" s="45">
        <f>+IF(AP11="","",AP11-AJ11)</f>
        <v>7.5</v>
      </c>
      <c r="AS11" s="102">
        <f>+AO11+AQ11</f>
        <v>28.279999999999994</v>
      </c>
    </row>
    <row r="12" spans="1:45" s="63" customFormat="1" ht="6.75" customHeight="1" x14ac:dyDescent="0.25">
      <c r="A12" s="60"/>
      <c r="B12" s="53"/>
      <c r="C12" s="60"/>
      <c r="D12" s="60"/>
      <c r="E12" s="60"/>
      <c r="F12" s="60"/>
      <c r="G12" s="60"/>
      <c r="H12" s="60"/>
      <c r="I12" s="60"/>
      <c r="J12" s="60"/>
      <c r="K12" s="60"/>
      <c r="L12" s="60"/>
      <c r="M12" s="60"/>
      <c r="N12" s="60"/>
      <c r="O12" s="60"/>
      <c r="P12" s="60"/>
      <c r="Q12" s="60"/>
      <c r="R12" s="60"/>
      <c r="S12" s="60"/>
      <c r="T12" s="60"/>
      <c r="U12" s="60"/>
      <c r="V12" s="60"/>
      <c r="W12" s="60"/>
      <c r="X12" s="60"/>
      <c r="Y12" s="60"/>
      <c r="Z12" s="60"/>
      <c r="AA12" s="60"/>
      <c r="AB12" s="60"/>
      <c r="AC12" s="60"/>
      <c r="AD12" s="60"/>
      <c r="AE12" s="60"/>
      <c r="AF12" s="60"/>
      <c r="AG12" s="60"/>
      <c r="AH12" s="61"/>
      <c r="AI12" s="61"/>
      <c r="AJ12" s="61"/>
      <c r="AK12" s="61"/>
      <c r="AL12" s="61"/>
      <c r="AM12" s="60"/>
      <c r="AN12" s="61"/>
      <c r="AO12" s="61"/>
      <c r="AP12" s="60"/>
      <c r="AQ12" s="61"/>
      <c r="AR12" s="61"/>
      <c r="AS12" s="65"/>
    </row>
    <row r="13" spans="1:45" s="79" customFormat="1" ht="12.95" customHeight="1" x14ac:dyDescent="0.25">
      <c r="A13" s="41"/>
      <c r="B13" s="42" t="s">
        <v>15</v>
      </c>
      <c r="C13" s="67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43"/>
      <c r="AB13" s="43"/>
      <c r="AC13" s="43"/>
      <c r="AD13" s="43"/>
      <c r="AE13" s="43"/>
      <c r="AF13" s="43"/>
      <c r="AG13" s="43"/>
      <c r="AH13" s="44">
        <f>COUNTA(Mai!$C13:$AG13)</f>
        <v>0</v>
      </c>
      <c r="AI13" s="45">
        <f>(COUNTIFS(Mai!$C13:$AG13,("cp")))/2+Avril!AI13</f>
        <v>0.5</v>
      </c>
      <c r="AJ13" s="45">
        <f>COUNTIFS(Mai!$C13:$AG13,"RTT")/2+Avril!AJ13</f>
        <v>0</v>
      </c>
      <c r="AK13" s="45">
        <f>COUNTIFS(Mai!$C13:$AG13,"m")/2+Avril!AK13</f>
        <v>0</v>
      </c>
      <c r="AL13" s="45">
        <f>COUNTIFS(Mai!$C13:$AG13,"a")/2+Avril!AL13</f>
        <v>1.5</v>
      </c>
      <c r="AM13" s="46"/>
      <c r="AN13" s="47"/>
      <c r="AO13" s="47"/>
      <c r="AP13" s="46"/>
      <c r="AQ13" s="47"/>
      <c r="AR13" s="47"/>
      <c r="AS13" s="47"/>
    </row>
    <row r="14" spans="1:45" s="79" customFormat="1" ht="12.95" customHeight="1" x14ac:dyDescent="0.25">
      <c r="A14" s="48"/>
      <c r="B14" s="42" t="s">
        <v>16</v>
      </c>
      <c r="C14" s="67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4">
        <f>COUNTA(Mai!$C14:$AG14)</f>
        <v>0</v>
      </c>
      <c r="AI14" s="45">
        <f>(COUNTIFS(Mai!$C14:$AG14,("cp")))/2+Avril!AI14</f>
        <v>0.5</v>
      </c>
      <c r="AJ14" s="45">
        <f>COUNTIFS(Mai!$C14:$AG14,"RTT")/2+Avril!AJ14</f>
        <v>0</v>
      </c>
      <c r="AK14" s="45">
        <f>COUNTIFS(Mai!$C14:$AG14,"m")/2+Avril!AK14</f>
        <v>0</v>
      </c>
      <c r="AL14" s="45">
        <f>COUNTIFS(Mai!$C14:$AG14,"a")/2+Avril!AL14</f>
        <v>1</v>
      </c>
      <c r="AM14" s="46"/>
      <c r="AN14" s="47"/>
      <c r="AO14" s="47"/>
      <c r="AP14" s="46"/>
      <c r="AQ14" s="47"/>
      <c r="AR14" s="47"/>
      <c r="AS14" s="101">
        <v>43014</v>
      </c>
    </row>
    <row r="15" spans="1:45" s="79" customFormat="1" ht="12.95" customHeight="1" x14ac:dyDescent="0.25">
      <c r="A15" s="41"/>
      <c r="B15" s="42"/>
      <c r="C15" s="49" t="str">
        <f t="shared" ref="C15:AG15" si="2">IF(C13&gt;0,C13,IF(C14&gt;0,C14,""))</f>
        <v/>
      </c>
      <c r="D15" s="49" t="str">
        <f t="shared" si="2"/>
        <v/>
      </c>
      <c r="E15" s="49" t="str">
        <f t="shared" si="2"/>
        <v/>
      </c>
      <c r="F15" s="49" t="str">
        <f t="shared" si="2"/>
        <v/>
      </c>
      <c r="G15" s="49" t="str">
        <f t="shared" si="2"/>
        <v/>
      </c>
      <c r="H15" s="49" t="str">
        <f t="shared" si="2"/>
        <v/>
      </c>
      <c r="I15" s="49" t="str">
        <f t="shared" si="2"/>
        <v/>
      </c>
      <c r="J15" s="49" t="str">
        <f t="shared" si="2"/>
        <v/>
      </c>
      <c r="K15" s="49" t="str">
        <f t="shared" si="2"/>
        <v/>
      </c>
      <c r="L15" s="49" t="str">
        <f t="shared" si="2"/>
        <v/>
      </c>
      <c r="M15" s="49" t="str">
        <f t="shared" si="2"/>
        <v/>
      </c>
      <c r="N15" s="49" t="str">
        <f t="shared" si="2"/>
        <v/>
      </c>
      <c r="O15" s="49" t="str">
        <f t="shared" si="2"/>
        <v/>
      </c>
      <c r="P15" s="49" t="str">
        <f t="shared" si="2"/>
        <v/>
      </c>
      <c r="Q15" s="49" t="str">
        <f t="shared" si="2"/>
        <v/>
      </c>
      <c r="R15" s="49" t="str">
        <f t="shared" si="2"/>
        <v/>
      </c>
      <c r="S15" s="49" t="str">
        <f t="shared" si="2"/>
        <v/>
      </c>
      <c r="T15" s="49" t="str">
        <f t="shared" si="2"/>
        <v/>
      </c>
      <c r="U15" s="49" t="str">
        <f t="shared" si="2"/>
        <v/>
      </c>
      <c r="V15" s="49" t="str">
        <f t="shared" si="2"/>
        <v/>
      </c>
      <c r="W15" s="49" t="str">
        <f t="shared" si="2"/>
        <v/>
      </c>
      <c r="X15" s="49" t="str">
        <f t="shared" si="2"/>
        <v/>
      </c>
      <c r="Y15" s="49" t="str">
        <f t="shared" si="2"/>
        <v/>
      </c>
      <c r="Z15" s="49" t="str">
        <f t="shared" si="2"/>
        <v/>
      </c>
      <c r="AA15" s="49" t="str">
        <f t="shared" si="2"/>
        <v/>
      </c>
      <c r="AB15" s="49" t="str">
        <f t="shared" si="2"/>
        <v/>
      </c>
      <c r="AC15" s="49" t="str">
        <f t="shared" si="2"/>
        <v/>
      </c>
      <c r="AD15" s="49" t="str">
        <f t="shared" si="2"/>
        <v/>
      </c>
      <c r="AE15" s="49" t="str">
        <f t="shared" si="2"/>
        <v/>
      </c>
      <c r="AF15" s="49" t="str">
        <f t="shared" si="2"/>
        <v/>
      </c>
      <c r="AG15" s="49" t="str">
        <f t="shared" si="2"/>
        <v/>
      </c>
      <c r="AH15" s="44">
        <f>SUM(AH13:AH14)</f>
        <v>0</v>
      </c>
      <c r="AI15" s="45">
        <f>SUM(AI13:AI14)</f>
        <v>1</v>
      </c>
      <c r="AJ15" s="45">
        <f>SUM(AJ13:AJ14)</f>
        <v>0</v>
      </c>
      <c r="AK15" s="45">
        <f>SUM(AK13:AK14)</f>
        <v>0</v>
      </c>
      <c r="AL15" s="45">
        <f>SUM(AL13:AL14)</f>
        <v>2.5</v>
      </c>
      <c r="AM15" s="50">
        <f>Juin!AM15</f>
        <v>0</v>
      </c>
      <c r="AN15" s="51" t="str">
        <f>IF(A14="","",IF(A14&gt;NomMois,0,IF(A14&lt;$A$3,2.08,(NETWORKDAYS(A14,$A$2)/21.66667)*2.08)))</f>
        <v/>
      </c>
      <c r="AO15" s="51">
        <f>IF( AN15="",0,+AN15+Avril!AO15)</f>
        <v>0</v>
      </c>
      <c r="AP15" s="50" t="e">
        <f>IF(A14="","",IF(A14&gt;NomMois,0,IF(A14&lt;$A$3,1.5,(NETWORKDAYS(A14,$A$2)/21.66667)*1.5)))+Avril!AP15</f>
        <v>#VALUE!</v>
      </c>
      <c r="AQ15" s="115">
        <f>+AM15-AI15</f>
        <v>-1</v>
      </c>
      <c r="AR15" s="45" t="e">
        <f>+IF(AP15="","",AP15-AJ15)</f>
        <v>#VALUE!</v>
      </c>
      <c r="AS15" s="102">
        <f>+AO15+AQ15</f>
        <v>-1</v>
      </c>
    </row>
    <row r="16" spans="1:45" s="63" customFormat="1" ht="6.75" customHeight="1" x14ac:dyDescent="0.25">
      <c r="A16" s="60"/>
      <c r="B16" s="42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  <c r="N16" s="64"/>
      <c r="O16" s="64"/>
      <c r="P16" s="64"/>
      <c r="Q16" s="64"/>
      <c r="R16" s="64"/>
      <c r="S16" s="64"/>
      <c r="T16" s="64"/>
      <c r="U16" s="64"/>
      <c r="V16" s="64"/>
      <c r="W16" s="64"/>
      <c r="X16" s="64"/>
      <c r="Y16" s="64"/>
      <c r="Z16" s="64"/>
      <c r="AA16" s="64"/>
      <c r="AB16" s="64"/>
      <c r="AC16" s="64"/>
      <c r="AD16" s="64"/>
      <c r="AE16" s="64"/>
      <c r="AF16" s="64"/>
      <c r="AG16" s="64"/>
      <c r="AH16" s="65"/>
      <c r="AI16" s="65"/>
      <c r="AJ16" s="65"/>
      <c r="AK16" s="65"/>
      <c r="AL16" s="65"/>
      <c r="AM16" s="64"/>
      <c r="AN16" s="65"/>
      <c r="AO16" s="65"/>
      <c r="AP16" s="64"/>
      <c r="AQ16" s="65"/>
      <c r="AR16" s="65"/>
      <c r="AS16" s="65"/>
    </row>
    <row r="17" spans="1:45" s="63" customFormat="1" ht="12.95" customHeight="1" x14ac:dyDescent="0.25">
      <c r="A17" s="41"/>
      <c r="B17" s="42" t="s">
        <v>15</v>
      </c>
      <c r="C17" s="67"/>
      <c r="D17" s="67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4">
        <f>COUNTA(Mai!$C17:$AG17)</f>
        <v>0</v>
      </c>
      <c r="AI17" s="45">
        <f>(COUNTIFS(Mai!$C17:$AG17,("cp")))/2+Avril!AI17</f>
        <v>8.5</v>
      </c>
      <c r="AJ17" s="45">
        <f>COUNTIFS(Mai!$C17:$AG17,"RTT")/2+Avril!AJ17</f>
        <v>0</v>
      </c>
      <c r="AK17" s="45">
        <f>COUNTIFS(Mai!$C17:$AG17,"m")/2+Avril!AK17</f>
        <v>0</v>
      </c>
      <c r="AL17" s="45">
        <f>COUNTIFS(Mai!$C17:$AG17,"a")/2+Avril!AL17</f>
        <v>0</v>
      </c>
      <c r="AM17" s="46"/>
      <c r="AN17" s="47"/>
      <c r="AO17" s="47"/>
      <c r="AP17" s="46"/>
      <c r="AQ17" s="47"/>
      <c r="AR17" s="47"/>
      <c r="AS17" s="47"/>
    </row>
    <row r="18" spans="1:45" s="63" customFormat="1" ht="12.95" customHeight="1" x14ac:dyDescent="0.25">
      <c r="A18" s="48">
        <v>38923</v>
      </c>
      <c r="B18" s="42" t="s">
        <v>16</v>
      </c>
      <c r="C18" s="67"/>
      <c r="D18" s="67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3"/>
      <c r="AC18" s="43"/>
      <c r="AD18" s="43"/>
      <c r="AE18" s="43"/>
      <c r="AF18" s="43"/>
      <c r="AG18" s="43"/>
      <c r="AH18" s="44">
        <f>COUNTA(Mai!$C18:$AG18)</f>
        <v>0</v>
      </c>
      <c r="AI18" s="45">
        <f>(COUNTIFS(Mai!$C18:$AG18,("cp")))/2+Avril!AI18</f>
        <v>8.5</v>
      </c>
      <c r="AJ18" s="45">
        <f>COUNTIFS(Mai!$C18:$AG18,"RTT")/2+Avril!AJ18</f>
        <v>0</v>
      </c>
      <c r="AK18" s="45">
        <f>COUNTIFS(Mai!$C18:$AG18,"m")/2+Avril!AK18</f>
        <v>0</v>
      </c>
      <c r="AL18" s="45">
        <f>COUNTIFS(Mai!$C18:$AG18,"a")/2+Avril!AL18</f>
        <v>0</v>
      </c>
      <c r="AM18" s="46"/>
      <c r="AN18" s="47"/>
      <c r="AO18" s="47"/>
      <c r="AP18" s="46"/>
      <c r="AQ18" s="47"/>
      <c r="AR18" s="47"/>
      <c r="AS18" s="101"/>
    </row>
    <row r="19" spans="1:45" s="63" customFormat="1" ht="12.95" customHeight="1" x14ac:dyDescent="0.25">
      <c r="A19" s="41"/>
      <c r="B19" s="42"/>
      <c r="C19" s="49" t="str">
        <f t="shared" ref="C19:AG19" si="3">IF(C17&gt;0,C17,IF(C18&gt;0,C18,""))</f>
        <v/>
      </c>
      <c r="D19" s="49" t="str">
        <f t="shared" si="3"/>
        <v/>
      </c>
      <c r="E19" s="49" t="str">
        <f t="shared" si="3"/>
        <v/>
      </c>
      <c r="F19" s="49" t="str">
        <f t="shared" si="3"/>
        <v/>
      </c>
      <c r="G19" s="49" t="str">
        <f t="shared" si="3"/>
        <v/>
      </c>
      <c r="H19" s="49" t="str">
        <f t="shared" si="3"/>
        <v/>
      </c>
      <c r="I19" s="49" t="str">
        <f t="shared" si="3"/>
        <v/>
      </c>
      <c r="J19" s="49" t="str">
        <f t="shared" si="3"/>
        <v/>
      </c>
      <c r="K19" s="49" t="str">
        <f t="shared" si="3"/>
        <v/>
      </c>
      <c r="L19" s="49" t="str">
        <f t="shared" si="3"/>
        <v/>
      </c>
      <c r="M19" s="49" t="str">
        <f t="shared" si="3"/>
        <v/>
      </c>
      <c r="N19" s="49" t="str">
        <f t="shared" si="3"/>
        <v/>
      </c>
      <c r="O19" s="49" t="str">
        <f t="shared" si="3"/>
        <v/>
      </c>
      <c r="P19" s="49" t="str">
        <f t="shared" si="3"/>
        <v/>
      </c>
      <c r="Q19" s="49" t="str">
        <f t="shared" si="3"/>
        <v/>
      </c>
      <c r="R19" s="49" t="str">
        <f t="shared" si="3"/>
        <v/>
      </c>
      <c r="S19" s="49" t="str">
        <f t="shared" si="3"/>
        <v/>
      </c>
      <c r="T19" s="49" t="str">
        <f t="shared" si="3"/>
        <v/>
      </c>
      <c r="U19" s="49" t="str">
        <f t="shared" si="3"/>
        <v/>
      </c>
      <c r="V19" s="49" t="str">
        <f t="shared" si="3"/>
        <v/>
      </c>
      <c r="W19" s="49" t="str">
        <f t="shared" si="3"/>
        <v/>
      </c>
      <c r="X19" s="49" t="str">
        <f t="shared" si="3"/>
        <v/>
      </c>
      <c r="Y19" s="49" t="str">
        <f t="shared" si="3"/>
        <v/>
      </c>
      <c r="Z19" s="49" t="str">
        <f t="shared" si="3"/>
        <v/>
      </c>
      <c r="AA19" s="49" t="str">
        <f t="shared" si="3"/>
        <v/>
      </c>
      <c r="AB19" s="49" t="str">
        <f t="shared" si="3"/>
        <v/>
      </c>
      <c r="AC19" s="49" t="str">
        <f t="shared" si="3"/>
        <v/>
      </c>
      <c r="AD19" s="49" t="str">
        <f t="shared" si="3"/>
        <v/>
      </c>
      <c r="AE19" s="49" t="str">
        <f t="shared" si="3"/>
        <v/>
      </c>
      <c r="AF19" s="49" t="str">
        <f t="shared" si="3"/>
        <v/>
      </c>
      <c r="AG19" s="49" t="str">
        <f t="shared" si="3"/>
        <v/>
      </c>
      <c r="AH19" s="44">
        <f>SUM(AH17:AH18)</f>
        <v>0</v>
      </c>
      <c r="AI19" s="45">
        <f>SUM(AI17:AI18)</f>
        <v>17</v>
      </c>
      <c r="AJ19" s="45">
        <f>SUM(AJ17:AJ18)</f>
        <v>0</v>
      </c>
      <c r="AK19" s="45">
        <f>SUM(AK17:AK18)</f>
        <v>0</v>
      </c>
      <c r="AL19" s="45">
        <f>SUM(AL17:AL18)</f>
        <v>0</v>
      </c>
      <c r="AM19" s="50">
        <f>Juin!AM19</f>
        <v>24.54</v>
      </c>
      <c r="AN19" s="51">
        <f>IF(A18="","",IF(A18&gt;NomMois,0,IF(A18&lt;$A$3,2.08,(NETWORKDAYS(A18,$A$2)/21.66667)*2.08)))</f>
        <v>2.08</v>
      </c>
      <c r="AO19" s="51">
        <f>IF( AN19="",0,+AN19+Avril!AO19)</f>
        <v>24.959999999999994</v>
      </c>
      <c r="AP19" s="50">
        <f>IF(A18="","",IF(A18&gt;NomMois,0,IF(A18&lt;$A$3,1.5,(NETWORKDAYS(A18,$A$2)/21.66667)*1.5)))+Avril!AP19</f>
        <v>7.5</v>
      </c>
      <c r="AQ19" s="45">
        <f>+AM19-AI19</f>
        <v>7.5399999999999991</v>
      </c>
      <c r="AR19" s="45">
        <f>+IF(AP19="","",AP19-AJ19)</f>
        <v>7.5</v>
      </c>
      <c r="AS19" s="102">
        <f t="shared" ref="AS19" si="4">+AO19+AQ19</f>
        <v>32.499999999999993</v>
      </c>
    </row>
    <row r="20" spans="1:45" s="63" customFormat="1" ht="6.75" customHeight="1" x14ac:dyDescent="0.25">
      <c r="A20" s="60"/>
      <c r="B20" s="53"/>
      <c r="C20" s="60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0"/>
      <c r="AG20" s="60"/>
      <c r="AH20" s="61"/>
      <c r="AI20" s="61"/>
      <c r="AJ20" s="61"/>
      <c r="AK20" s="61"/>
      <c r="AL20" s="61"/>
      <c r="AM20" s="60"/>
      <c r="AN20" s="61"/>
      <c r="AO20" s="61"/>
      <c r="AP20" s="60"/>
      <c r="AQ20" s="61"/>
      <c r="AR20" s="61"/>
      <c r="AS20" s="65"/>
    </row>
    <row r="21" spans="1:45" s="63" customFormat="1" ht="12.95" customHeight="1" x14ac:dyDescent="0.25">
      <c r="A21" s="41"/>
      <c r="B21" s="42" t="s">
        <v>15</v>
      </c>
      <c r="C21" s="67"/>
      <c r="D21" s="67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43"/>
      <c r="AC21" s="43"/>
      <c r="AD21" s="43"/>
      <c r="AE21" s="43"/>
      <c r="AF21" s="43"/>
      <c r="AG21" s="43"/>
      <c r="AH21" s="44">
        <f>COUNTA(Mai!$C21:$AG21)</f>
        <v>0</v>
      </c>
      <c r="AI21" s="45">
        <f>(COUNTIFS(Mai!$C21:$AG21,("cp")))/2+Avril!AI21</f>
        <v>1.5</v>
      </c>
      <c r="AJ21" s="45">
        <f>COUNTIFS(Mai!$C21:$AG21,"RTT")/2+Avril!AJ21</f>
        <v>0</v>
      </c>
      <c r="AK21" s="45">
        <f>COUNTIFS(Mai!$C21:$AG21,"m")/2+Avril!AK21</f>
        <v>0</v>
      </c>
      <c r="AL21" s="45">
        <f>COUNTIFS(Mai!$C21:$AG21,"a")/2+Avril!AL21</f>
        <v>0.5</v>
      </c>
      <c r="AM21" s="46"/>
      <c r="AN21" s="47"/>
      <c r="AO21" s="47"/>
      <c r="AP21" s="46"/>
      <c r="AQ21" s="47"/>
      <c r="AR21" s="47"/>
      <c r="AS21" s="47"/>
    </row>
    <row r="22" spans="1:45" s="63" customFormat="1" ht="12.95" customHeight="1" x14ac:dyDescent="0.25">
      <c r="A22" s="48">
        <v>41824</v>
      </c>
      <c r="B22" s="42" t="s">
        <v>16</v>
      </c>
      <c r="C22" s="67"/>
      <c r="D22" s="67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43"/>
      <c r="AC22" s="43"/>
      <c r="AD22" s="43"/>
      <c r="AE22" s="43"/>
      <c r="AF22" s="43"/>
      <c r="AG22" s="43"/>
      <c r="AH22" s="44">
        <f>COUNTA(Mai!$C22:$AG22)</f>
        <v>0</v>
      </c>
      <c r="AI22" s="45">
        <f>(COUNTIFS(Mai!$C22:$AG22,("cp")))/2+Avril!AI22</f>
        <v>1.5</v>
      </c>
      <c r="AJ22" s="45">
        <f>COUNTIFS(Mai!$C22:$AG22,"RTT")/2+Avril!AJ22</f>
        <v>0</v>
      </c>
      <c r="AK22" s="45">
        <f>COUNTIFS(Mai!$C22:$AG22,"m")/2+Avril!AK22</f>
        <v>0</v>
      </c>
      <c r="AL22" s="45">
        <f>COUNTIFS(Mai!$C22:$AG22,"a")/2+Avril!AL22</f>
        <v>0.5</v>
      </c>
      <c r="AM22" s="46"/>
      <c r="AN22" s="47"/>
      <c r="AO22" s="47"/>
      <c r="AP22" s="46"/>
      <c r="AQ22" s="47"/>
      <c r="AR22" s="47"/>
      <c r="AS22" s="101"/>
    </row>
    <row r="23" spans="1:45" s="63" customFormat="1" ht="12.95" customHeight="1" x14ac:dyDescent="0.25">
      <c r="A23" s="41"/>
      <c r="B23" s="42"/>
      <c r="C23" s="49" t="str">
        <f t="shared" ref="C23:AG23" si="5">IF(C21&gt;0,C21,IF(C22&gt;0,C22,""))</f>
        <v/>
      </c>
      <c r="D23" s="49" t="str">
        <f t="shared" si="5"/>
        <v/>
      </c>
      <c r="E23" s="49" t="str">
        <f t="shared" si="5"/>
        <v/>
      </c>
      <c r="F23" s="49" t="str">
        <f t="shared" si="5"/>
        <v/>
      </c>
      <c r="G23" s="49" t="str">
        <f t="shared" si="5"/>
        <v/>
      </c>
      <c r="H23" s="49" t="str">
        <f t="shared" si="5"/>
        <v/>
      </c>
      <c r="I23" s="49" t="str">
        <f t="shared" si="5"/>
        <v/>
      </c>
      <c r="J23" s="49" t="str">
        <f t="shared" si="5"/>
        <v/>
      </c>
      <c r="K23" s="49" t="str">
        <f t="shared" si="5"/>
        <v/>
      </c>
      <c r="L23" s="49" t="str">
        <f t="shared" si="5"/>
        <v/>
      </c>
      <c r="M23" s="49" t="str">
        <f t="shared" si="5"/>
        <v/>
      </c>
      <c r="N23" s="49" t="str">
        <f t="shared" si="5"/>
        <v/>
      </c>
      <c r="O23" s="49" t="str">
        <f t="shared" si="5"/>
        <v/>
      </c>
      <c r="P23" s="49" t="str">
        <f t="shared" si="5"/>
        <v/>
      </c>
      <c r="Q23" s="49" t="str">
        <f t="shared" si="5"/>
        <v/>
      </c>
      <c r="R23" s="49" t="str">
        <f t="shared" si="5"/>
        <v/>
      </c>
      <c r="S23" s="49" t="str">
        <f t="shared" si="5"/>
        <v/>
      </c>
      <c r="T23" s="49" t="str">
        <f t="shared" si="5"/>
        <v/>
      </c>
      <c r="U23" s="49" t="str">
        <f t="shared" si="5"/>
        <v/>
      </c>
      <c r="V23" s="49" t="str">
        <f t="shared" si="5"/>
        <v/>
      </c>
      <c r="W23" s="49" t="str">
        <f t="shared" si="5"/>
        <v/>
      </c>
      <c r="X23" s="49" t="str">
        <f t="shared" si="5"/>
        <v/>
      </c>
      <c r="Y23" s="49" t="str">
        <f t="shared" si="5"/>
        <v/>
      </c>
      <c r="Z23" s="49" t="str">
        <f t="shared" si="5"/>
        <v/>
      </c>
      <c r="AA23" s="49" t="str">
        <f t="shared" si="5"/>
        <v/>
      </c>
      <c r="AB23" s="49" t="str">
        <f t="shared" si="5"/>
        <v/>
      </c>
      <c r="AC23" s="49" t="str">
        <f t="shared" si="5"/>
        <v/>
      </c>
      <c r="AD23" s="49" t="str">
        <f t="shared" si="5"/>
        <v/>
      </c>
      <c r="AE23" s="49" t="str">
        <f t="shared" si="5"/>
        <v/>
      </c>
      <c r="AF23" s="49" t="str">
        <f t="shared" si="5"/>
        <v/>
      </c>
      <c r="AG23" s="49" t="str">
        <f t="shared" si="5"/>
        <v/>
      </c>
      <c r="AH23" s="44">
        <f>SUM(AH21:AH22)</f>
        <v>0</v>
      </c>
      <c r="AI23" s="45">
        <f>SUM(AI21:AI22)</f>
        <v>3</v>
      </c>
      <c r="AJ23" s="45">
        <f>SUM(AJ21:AJ22)</f>
        <v>0</v>
      </c>
      <c r="AK23" s="45">
        <f>SUM(AK21:AK22)</f>
        <v>0</v>
      </c>
      <c r="AL23" s="45">
        <f>SUM(AL21:AL22)</f>
        <v>1</v>
      </c>
      <c r="AM23" s="50">
        <f>Juin!AM23</f>
        <v>11.23</v>
      </c>
      <c r="AN23" s="51">
        <f>IF(A22="","",IF(A22&gt;NomMois,0,IF(A22&lt;$A$3,2.08,(NETWORKDAYS(A22,$A$2)/21.66667)*2.08)))</f>
        <v>2.08</v>
      </c>
      <c r="AO23" s="51">
        <f>IF( AN23="",0,+AN23+Avril!AO23)</f>
        <v>24.959999999999994</v>
      </c>
      <c r="AP23" s="50">
        <f>IF(A22="","",IF(A22&gt;NomMois,0,IF(A22&lt;$A$3,1.5,(NETWORKDAYS(A22,$A$2)/21.66667)*1.5)))+Avril!AP23</f>
        <v>7.5</v>
      </c>
      <c r="AQ23" s="45">
        <f>+AM23-AI23</f>
        <v>8.23</v>
      </c>
      <c r="AR23" s="45">
        <f>+IF(AP23="","",AP23-AJ23)</f>
        <v>7.5</v>
      </c>
      <c r="AS23" s="102">
        <f t="shared" ref="AS23" si="6">+AO23+AQ23</f>
        <v>33.19</v>
      </c>
    </row>
    <row r="24" spans="1:45" s="63" customFormat="1" ht="6.75" customHeight="1" x14ac:dyDescent="0.25">
      <c r="A24" s="60"/>
      <c r="B24" s="53"/>
      <c r="C24" s="60"/>
      <c r="D24" s="60"/>
      <c r="E24" s="60"/>
      <c r="F24" s="60"/>
      <c r="G24" s="60"/>
      <c r="H24" s="60"/>
      <c r="I24" s="60"/>
      <c r="J24" s="60"/>
      <c r="K24" s="60"/>
      <c r="L24" s="60"/>
      <c r="M24" s="60"/>
      <c r="N24" s="60"/>
      <c r="O24" s="60"/>
      <c r="P24" s="60"/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60"/>
      <c r="AD24" s="60"/>
      <c r="AE24" s="60"/>
      <c r="AF24" s="60"/>
      <c r="AG24" s="60"/>
      <c r="AH24" s="61"/>
      <c r="AI24" s="61"/>
      <c r="AJ24" s="61"/>
      <c r="AK24" s="61"/>
      <c r="AL24" s="61"/>
      <c r="AM24" s="60"/>
      <c r="AN24" s="61"/>
      <c r="AO24" s="61"/>
      <c r="AP24" s="60"/>
      <c r="AQ24" s="61"/>
      <c r="AR24" s="61"/>
      <c r="AS24" s="65"/>
    </row>
    <row r="25" spans="1:45" s="63" customFormat="1" ht="12.95" customHeight="1" x14ac:dyDescent="0.25">
      <c r="A25" s="41"/>
      <c r="B25" s="42" t="s">
        <v>15</v>
      </c>
      <c r="C25" s="67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  <c r="AA25" s="43"/>
      <c r="AB25" s="43"/>
      <c r="AC25" s="43"/>
      <c r="AD25" s="43"/>
      <c r="AE25" s="43"/>
      <c r="AF25" s="43"/>
      <c r="AG25" s="43"/>
      <c r="AH25" s="44">
        <f>COUNTA(Mai!$C25:$AG25)</f>
        <v>0</v>
      </c>
      <c r="AI25" s="45">
        <f>(COUNTIFS(Mai!$C25:$AG25,("cp")))/2+Avril!AI25</f>
        <v>3.5</v>
      </c>
      <c r="AJ25" s="45">
        <f>COUNTIFS(Mai!$C25:$AG25,"RTT")/2+Avril!AJ25</f>
        <v>0</v>
      </c>
      <c r="AK25" s="45">
        <f>COUNTIFS(Mai!$C25:$AG25,"m")/2+Avril!AK25</f>
        <v>0</v>
      </c>
      <c r="AL25" s="45">
        <f>COUNTIFS(Mai!$C25:$AG25,"a")/2+Avril!AL25</f>
        <v>0</v>
      </c>
      <c r="AM25" s="46"/>
      <c r="AN25" s="47"/>
      <c r="AO25" s="47"/>
      <c r="AP25" s="46"/>
      <c r="AQ25" s="47"/>
      <c r="AR25" s="47"/>
      <c r="AS25" s="47"/>
    </row>
    <row r="26" spans="1:45" s="63" customFormat="1" ht="12.95" customHeight="1" x14ac:dyDescent="0.25">
      <c r="A26" s="48">
        <v>38626</v>
      </c>
      <c r="B26" s="42" t="s">
        <v>16</v>
      </c>
      <c r="C26" s="67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43"/>
      <c r="AB26" s="43"/>
      <c r="AC26" s="43"/>
      <c r="AD26" s="43"/>
      <c r="AE26" s="43"/>
      <c r="AF26" s="43"/>
      <c r="AG26" s="43"/>
      <c r="AH26" s="44">
        <f>COUNTA(Mai!$C26:$AG26)</f>
        <v>0</v>
      </c>
      <c r="AI26" s="45">
        <f>(COUNTIFS(Mai!$C26:$AG26,("cp")))/2+Avril!AI26</f>
        <v>3.5</v>
      </c>
      <c r="AJ26" s="45">
        <f>COUNTIFS(Mai!$C26:$AG26,"RTT")/2+Avril!AJ26</f>
        <v>0</v>
      </c>
      <c r="AK26" s="45">
        <f>COUNTIFS(Mai!$C26:$AG26,"m")/2+Avril!AK26</f>
        <v>0</v>
      </c>
      <c r="AL26" s="45">
        <f>COUNTIFS(Mai!$C26:$AG26,"a")/2+Avril!AL26</f>
        <v>0</v>
      </c>
      <c r="AM26" s="46"/>
      <c r="AN26" s="47"/>
      <c r="AO26" s="47"/>
      <c r="AP26" s="46"/>
      <c r="AQ26" s="47"/>
      <c r="AR26" s="47"/>
      <c r="AS26" s="101"/>
    </row>
    <row r="27" spans="1:45" s="63" customFormat="1" ht="12.95" customHeight="1" x14ac:dyDescent="0.25">
      <c r="A27" s="41"/>
      <c r="B27" s="42"/>
      <c r="C27" s="49" t="str">
        <f t="shared" ref="C27:AG27" si="7">IF(C25&gt;0,C25,IF(C26&gt;0,C26,""))</f>
        <v/>
      </c>
      <c r="D27" s="49" t="str">
        <f t="shared" si="7"/>
        <v/>
      </c>
      <c r="E27" s="49" t="str">
        <f t="shared" si="7"/>
        <v/>
      </c>
      <c r="F27" s="49" t="str">
        <f t="shared" si="7"/>
        <v/>
      </c>
      <c r="G27" s="49" t="str">
        <f t="shared" si="7"/>
        <v/>
      </c>
      <c r="H27" s="49" t="str">
        <f t="shared" si="7"/>
        <v/>
      </c>
      <c r="I27" s="49" t="str">
        <f t="shared" si="7"/>
        <v/>
      </c>
      <c r="J27" s="49" t="str">
        <f t="shared" si="7"/>
        <v/>
      </c>
      <c r="K27" s="49" t="str">
        <f t="shared" si="7"/>
        <v/>
      </c>
      <c r="L27" s="49" t="str">
        <f t="shared" si="7"/>
        <v/>
      </c>
      <c r="M27" s="49" t="str">
        <f t="shared" si="7"/>
        <v/>
      </c>
      <c r="N27" s="49" t="str">
        <f t="shared" si="7"/>
        <v/>
      </c>
      <c r="O27" s="49" t="str">
        <f t="shared" si="7"/>
        <v/>
      </c>
      <c r="P27" s="49" t="str">
        <f t="shared" si="7"/>
        <v/>
      </c>
      <c r="Q27" s="49" t="str">
        <f t="shared" si="7"/>
        <v/>
      </c>
      <c r="R27" s="49" t="str">
        <f t="shared" si="7"/>
        <v/>
      </c>
      <c r="S27" s="49" t="str">
        <f t="shared" si="7"/>
        <v/>
      </c>
      <c r="T27" s="49" t="str">
        <f t="shared" si="7"/>
        <v/>
      </c>
      <c r="U27" s="49" t="str">
        <f t="shared" si="7"/>
        <v/>
      </c>
      <c r="V27" s="49" t="str">
        <f t="shared" si="7"/>
        <v/>
      </c>
      <c r="W27" s="49" t="str">
        <f t="shared" si="7"/>
        <v/>
      </c>
      <c r="X27" s="49" t="str">
        <f t="shared" si="7"/>
        <v/>
      </c>
      <c r="Y27" s="49" t="str">
        <f t="shared" si="7"/>
        <v/>
      </c>
      <c r="Z27" s="49" t="str">
        <f t="shared" si="7"/>
        <v/>
      </c>
      <c r="AA27" s="49" t="str">
        <f t="shared" si="7"/>
        <v/>
      </c>
      <c r="AB27" s="49" t="str">
        <f t="shared" si="7"/>
        <v/>
      </c>
      <c r="AC27" s="49" t="str">
        <f t="shared" si="7"/>
        <v/>
      </c>
      <c r="AD27" s="49" t="str">
        <f t="shared" si="7"/>
        <v/>
      </c>
      <c r="AE27" s="49" t="str">
        <f t="shared" si="7"/>
        <v/>
      </c>
      <c r="AF27" s="49" t="str">
        <f t="shared" si="7"/>
        <v/>
      </c>
      <c r="AG27" s="49" t="str">
        <f t="shared" si="7"/>
        <v/>
      </c>
      <c r="AH27" s="44">
        <f>SUM(AH25:AH26)</f>
        <v>0</v>
      </c>
      <c r="AI27" s="45">
        <f>SUM(AI25:AI26)</f>
        <v>7</v>
      </c>
      <c r="AJ27" s="45">
        <f>SUM(AJ25:AJ26)</f>
        <v>0</v>
      </c>
      <c r="AK27" s="45">
        <f>SUM(AK25:AK26)</f>
        <v>0</v>
      </c>
      <c r="AL27" s="45">
        <f>SUM(AL25:AL26)</f>
        <v>0</v>
      </c>
      <c r="AM27" s="50">
        <f>Juin!AM27</f>
        <v>28.7</v>
      </c>
      <c r="AN27" s="51">
        <f>IF(A26="","",IF(A26&gt;NomMois,0,IF(A26&lt;$A$3,2.08,(NETWORKDAYS(A26,$A$2)/21.66667)*2.08)))</f>
        <v>2.08</v>
      </c>
      <c r="AO27" s="51">
        <f>IF( AN27="",0,+AN27+Avril!AO27)</f>
        <v>24.959999999999994</v>
      </c>
      <c r="AP27" s="50">
        <f>IF(A26="","",IF(A26&gt;NomMois,0,IF(A26&lt;$A$3,1.5,(NETWORKDAYS(A26,$A$2)/21.66667)*1.5)))+Avril!AP27</f>
        <v>7.5</v>
      </c>
      <c r="AQ27" s="45">
        <f>+AM27-AI27</f>
        <v>21.7</v>
      </c>
      <c r="AR27" s="45">
        <f>+IF(AP27="","",AP27-AJ27)</f>
        <v>7.5</v>
      </c>
      <c r="AS27" s="102">
        <f t="shared" ref="AS27" si="8">+AO27+AQ27</f>
        <v>46.66</v>
      </c>
    </row>
    <row r="28" spans="1:45" s="63" customFormat="1" ht="6.75" customHeight="1" x14ac:dyDescent="0.25">
      <c r="A28" s="60"/>
      <c r="B28" s="53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1"/>
      <c r="AI28" s="61"/>
      <c r="AJ28" s="61"/>
      <c r="AK28" s="61"/>
      <c r="AL28" s="61"/>
      <c r="AM28" s="60"/>
      <c r="AN28" s="61"/>
      <c r="AO28" s="61"/>
      <c r="AP28" s="60"/>
      <c r="AQ28" s="61"/>
      <c r="AR28" s="61"/>
      <c r="AS28" s="65"/>
    </row>
    <row r="29" spans="1:45" s="63" customFormat="1" ht="12.95" customHeight="1" x14ac:dyDescent="0.25">
      <c r="A29" s="41"/>
      <c r="B29" s="42" t="s">
        <v>15</v>
      </c>
      <c r="C29" s="67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4">
        <f>COUNTA(Mai!$C29:$AG29)</f>
        <v>0</v>
      </c>
      <c r="AI29" s="45">
        <f>(COUNTIFS(Mai!$C29:$AG29,("cp")))/2+Avril!AI29</f>
        <v>7.5</v>
      </c>
      <c r="AJ29" s="45">
        <f>COUNTIFS(Mai!$C29:$AG29,"RTT")/2+Avril!AJ29</f>
        <v>0</v>
      </c>
      <c r="AK29" s="45">
        <f>COUNTIFS(Mai!$C29:$AG29,"m")/2+Avril!AK29</f>
        <v>0</v>
      </c>
      <c r="AL29" s="45">
        <f>COUNTIFS(Mai!$C29:$AG29,"a")/2+Avril!AL29</f>
        <v>0</v>
      </c>
      <c r="AM29" s="46"/>
      <c r="AN29" s="47"/>
      <c r="AO29" s="47"/>
      <c r="AP29" s="46"/>
      <c r="AQ29" s="47"/>
      <c r="AR29" s="47"/>
      <c r="AS29" s="47"/>
    </row>
    <row r="30" spans="1:45" s="63" customFormat="1" ht="12.95" customHeight="1" x14ac:dyDescent="0.25">
      <c r="A30" s="48">
        <v>36892</v>
      </c>
      <c r="B30" s="42" t="s">
        <v>16</v>
      </c>
      <c r="C30" s="67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4">
        <f>COUNTA(Mai!$C30:$AG30)</f>
        <v>0</v>
      </c>
      <c r="AI30" s="45">
        <f>(COUNTIFS(Mai!$C30:$AG30,("cp")))/2+Avril!AI30</f>
        <v>8</v>
      </c>
      <c r="AJ30" s="45">
        <f>COUNTIFS(Mai!$C30:$AG30,"RTT")/2+Avril!AJ30</f>
        <v>0</v>
      </c>
      <c r="AK30" s="45">
        <f>COUNTIFS(Mai!$C30:$AG30,"m")/2+Avril!AK30</f>
        <v>0</v>
      </c>
      <c r="AL30" s="45">
        <f>COUNTIFS(Mai!$C30:$AG30,"a")/2+Avril!AL30</f>
        <v>0</v>
      </c>
      <c r="AM30" s="46"/>
      <c r="AN30" s="47"/>
      <c r="AO30" s="47"/>
      <c r="AP30" s="46"/>
      <c r="AQ30" s="47"/>
      <c r="AR30" s="47"/>
      <c r="AS30" s="101"/>
    </row>
    <row r="31" spans="1:45" s="63" customFormat="1" ht="12.95" customHeight="1" x14ac:dyDescent="0.25">
      <c r="A31" s="41"/>
      <c r="B31" s="42"/>
      <c r="C31" s="49" t="str">
        <f t="shared" ref="C31:AG31" si="9">IF(C29&gt;0,C29,IF(C30&gt;0,C30,""))</f>
        <v/>
      </c>
      <c r="D31" s="49" t="str">
        <f t="shared" si="9"/>
        <v/>
      </c>
      <c r="E31" s="49" t="str">
        <f t="shared" si="9"/>
        <v/>
      </c>
      <c r="F31" s="49" t="str">
        <f t="shared" si="9"/>
        <v/>
      </c>
      <c r="G31" s="49" t="str">
        <f t="shared" si="9"/>
        <v/>
      </c>
      <c r="H31" s="49" t="str">
        <f t="shared" si="9"/>
        <v/>
      </c>
      <c r="I31" s="49" t="str">
        <f t="shared" si="9"/>
        <v/>
      </c>
      <c r="J31" s="49" t="str">
        <f t="shared" si="9"/>
        <v/>
      </c>
      <c r="K31" s="49" t="str">
        <f t="shared" si="9"/>
        <v/>
      </c>
      <c r="L31" s="49" t="str">
        <f t="shared" si="9"/>
        <v/>
      </c>
      <c r="M31" s="49" t="str">
        <f t="shared" si="9"/>
        <v/>
      </c>
      <c r="N31" s="49" t="str">
        <f t="shared" si="9"/>
        <v/>
      </c>
      <c r="O31" s="49" t="str">
        <f t="shared" si="9"/>
        <v/>
      </c>
      <c r="P31" s="49" t="str">
        <f t="shared" si="9"/>
        <v/>
      </c>
      <c r="Q31" s="49" t="str">
        <f t="shared" si="9"/>
        <v/>
      </c>
      <c r="R31" s="49" t="str">
        <f t="shared" si="9"/>
        <v/>
      </c>
      <c r="S31" s="49" t="str">
        <f t="shared" si="9"/>
        <v/>
      </c>
      <c r="T31" s="49" t="str">
        <f t="shared" si="9"/>
        <v/>
      </c>
      <c r="U31" s="49" t="str">
        <f t="shared" si="9"/>
        <v/>
      </c>
      <c r="V31" s="49" t="str">
        <f t="shared" si="9"/>
        <v/>
      </c>
      <c r="W31" s="49" t="str">
        <f t="shared" si="9"/>
        <v/>
      </c>
      <c r="X31" s="49" t="str">
        <f t="shared" si="9"/>
        <v/>
      </c>
      <c r="Y31" s="49" t="str">
        <f t="shared" si="9"/>
        <v/>
      </c>
      <c r="Z31" s="49" t="str">
        <f t="shared" si="9"/>
        <v/>
      </c>
      <c r="AA31" s="49" t="str">
        <f t="shared" si="9"/>
        <v/>
      </c>
      <c r="AB31" s="49" t="str">
        <f t="shared" si="9"/>
        <v/>
      </c>
      <c r="AC31" s="49" t="str">
        <f t="shared" si="9"/>
        <v/>
      </c>
      <c r="AD31" s="49" t="str">
        <f t="shared" si="9"/>
        <v/>
      </c>
      <c r="AE31" s="49" t="str">
        <f t="shared" si="9"/>
        <v/>
      </c>
      <c r="AF31" s="49" t="str">
        <f t="shared" si="9"/>
        <v/>
      </c>
      <c r="AG31" s="49" t="str">
        <f t="shared" si="9"/>
        <v/>
      </c>
      <c r="AH31" s="44">
        <f>SUM(AH29:AH30)</f>
        <v>0</v>
      </c>
      <c r="AI31" s="45">
        <f>SUM(AI29:AI30)</f>
        <v>15.5</v>
      </c>
      <c r="AJ31" s="45">
        <f>SUM(AJ29:AJ30)</f>
        <v>0</v>
      </c>
      <c r="AK31" s="45">
        <f>SUM(AK29:AK30)</f>
        <v>0</v>
      </c>
      <c r="AL31" s="45">
        <f>SUM(AL29:AL30)</f>
        <v>0</v>
      </c>
      <c r="AM31" s="50">
        <f>Juin!AM31</f>
        <v>30.37</v>
      </c>
      <c r="AN31" s="51">
        <f>IF(A30="","",IF(A30&gt;NomMois,0,IF(A30&lt;$A$3,2.08,(NETWORKDAYS(A30,$A$2)/21.66667)*2.08)))</f>
        <v>2.08</v>
      </c>
      <c r="AO31" s="51">
        <f>IF( AN31="",0,+AN31+Avril!AO31)</f>
        <v>24.959999999999994</v>
      </c>
      <c r="AP31" s="50">
        <f>IF(A30="","",IF(A30&gt;NomMois,0,IF(A30&lt;$A$3,1.5,(NETWORKDAYS(A30,$A$2)/21.66667)*1.5)))+Avril!AP31</f>
        <v>7.5</v>
      </c>
      <c r="AQ31" s="45">
        <f>+AM31-AI31</f>
        <v>14.870000000000001</v>
      </c>
      <c r="AR31" s="45">
        <f>+IF(AP31="","",AP31-AJ31)</f>
        <v>7.5</v>
      </c>
      <c r="AS31" s="102">
        <f t="shared" ref="AS31:AS91" si="10">+AO31+AQ31</f>
        <v>39.83</v>
      </c>
    </row>
    <row r="32" spans="1:45" s="63" customFormat="1" ht="6.75" customHeight="1" x14ac:dyDescent="0.25">
      <c r="A32" s="60"/>
      <c r="B32" s="53"/>
      <c r="C32" s="60"/>
      <c r="D32" s="60"/>
      <c r="E32" s="60"/>
      <c r="F32" s="60"/>
      <c r="G32" s="60"/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1"/>
      <c r="AI32" s="61"/>
      <c r="AJ32" s="61"/>
      <c r="AK32" s="61"/>
      <c r="AL32" s="61"/>
      <c r="AM32" s="60"/>
      <c r="AN32" s="61"/>
      <c r="AO32" s="61"/>
      <c r="AP32" s="60"/>
      <c r="AQ32" s="69"/>
      <c r="AR32" s="69"/>
      <c r="AS32" s="65"/>
    </row>
    <row r="33" spans="1:45" s="63" customFormat="1" ht="12.95" customHeight="1" x14ac:dyDescent="0.25">
      <c r="A33" s="41"/>
      <c r="B33" s="42" t="s">
        <v>15</v>
      </c>
      <c r="C33" s="67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4">
        <f>COUNTA(Mai!$C33:$AG33)</f>
        <v>0</v>
      </c>
      <c r="AI33" s="45">
        <f>(COUNTIFS(Mai!$C33:$AG33,("cp")))/2+Avril!AI33</f>
        <v>8.5</v>
      </c>
      <c r="AJ33" s="45">
        <f>COUNTIFS(Mai!$C33:$AG33,"RTT")/2+Avril!AJ33</f>
        <v>0</v>
      </c>
      <c r="AK33" s="45">
        <f>COUNTIFS(Mai!$C33:$AG33,"m")/2+Avril!AK33</f>
        <v>0</v>
      </c>
      <c r="AL33" s="45">
        <f>COUNTIFS(Mai!$C33:$AG33,"a")/2+Avril!AL33</f>
        <v>0</v>
      </c>
      <c r="AM33" s="46"/>
      <c r="AN33" s="47"/>
      <c r="AO33" s="47"/>
      <c r="AP33" s="46"/>
      <c r="AQ33" s="47"/>
      <c r="AR33" s="47"/>
      <c r="AS33" s="47"/>
    </row>
    <row r="34" spans="1:45" s="63" customFormat="1" ht="12.95" customHeight="1" x14ac:dyDescent="0.25">
      <c r="A34" s="48">
        <v>42110</v>
      </c>
      <c r="B34" s="42" t="s">
        <v>16</v>
      </c>
      <c r="C34" s="67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3"/>
      <c r="AE34" s="43"/>
      <c r="AF34" s="43"/>
      <c r="AG34" s="43"/>
      <c r="AH34" s="44">
        <f>COUNTA(Mai!$C34:$AG34)</f>
        <v>0</v>
      </c>
      <c r="AI34" s="45">
        <f>(COUNTIFS(Mai!$C34:$AG34,("cp")))/2+Avril!AI34</f>
        <v>8.5</v>
      </c>
      <c r="AJ34" s="45">
        <f>COUNTIFS(Mai!$C34:$AG34,"RTT")/2+Avril!AJ34</f>
        <v>0</v>
      </c>
      <c r="AK34" s="45">
        <f>COUNTIFS(Mai!$C34:$AG34,"m")/2+Avril!AK34</f>
        <v>0</v>
      </c>
      <c r="AL34" s="45">
        <f>COUNTIFS(Mai!$C34:$AG34,"a")/2+Avril!AL34</f>
        <v>0</v>
      </c>
      <c r="AM34" s="46"/>
      <c r="AN34" s="47"/>
      <c r="AO34" s="47"/>
      <c r="AP34" s="46"/>
      <c r="AQ34" s="47"/>
      <c r="AR34" s="47"/>
      <c r="AS34" s="101"/>
    </row>
    <row r="35" spans="1:45" s="63" customFormat="1" ht="12.95" customHeight="1" x14ac:dyDescent="0.25">
      <c r="A35" s="41"/>
      <c r="B35" s="42"/>
      <c r="C35" s="49" t="str">
        <f t="shared" ref="C35:AG35" si="11">IF(C33&gt;0,C33,IF(C34&gt;0,C34,""))</f>
        <v/>
      </c>
      <c r="D35" s="49" t="str">
        <f t="shared" si="11"/>
        <v/>
      </c>
      <c r="E35" s="49" t="str">
        <f t="shared" si="11"/>
        <v/>
      </c>
      <c r="F35" s="49" t="str">
        <f t="shared" si="11"/>
        <v/>
      </c>
      <c r="G35" s="49" t="str">
        <f t="shared" si="11"/>
        <v/>
      </c>
      <c r="H35" s="49" t="str">
        <f t="shared" si="11"/>
        <v/>
      </c>
      <c r="I35" s="49" t="str">
        <f t="shared" si="11"/>
        <v/>
      </c>
      <c r="J35" s="49" t="str">
        <f t="shared" si="11"/>
        <v/>
      </c>
      <c r="K35" s="49" t="str">
        <f t="shared" si="11"/>
        <v/>
      </c>
      <c r="L35" s="49" t="str">
        <f t="shared" si="11"/>
        <v/>
      </c>
      <c r="M35" s="49" t="str">
        <f t="shared" si="11"/>
        <v/>
      </c>
      <c r="N35" s="49" t="str">
        <f t="shared" si="11"/>
        <v/>
      </c>
      <c r="O35" s="49" t="str">
        <f t="shared" si="11"/>
        <v/>
      </c>
      <c r="P35" s="49" t="str">
        <f t="shared" si="11"/>
        <v/>
      </c>
      <c r="Q35" s="49" t="str">
        <f t="shared" si="11"/>
        <v/>
      </c>
      <c r="R35" s="49" t="str">
        <f t="shared" si="11"/>
        <v/>
      </c>
      <c r="S35" s="49" t="str">
        <f t="shared" si="11"/>
        <v/>
      </c>
      <c r="T35" s="49" t="str">
        <f t="shared" si="11"/>
        <v/>
      </c>
      <c r="U35" s="49" t="str">
        <f t="shared" si="11"/>
        <v/>
      </c>
      <c r="V35" s="49" t="str">
        <f t="shared" si="11"/>
        <v/>
      </c>
      <c r="W35" s="49" t="str">
        <f t="shared" si="11"/>
        <v/>
      </c>
      <c r="X35" s="49" t="str">
        <f t="shared" si="11"/>
        <v/>
      </c>
      <c r="Y35" s="49" t="str">
        <f t="shared" si="11"/>
        <v/>
      </c>
      <c r="Z35" s="49" t="str">
        <f t="shared" si="11"/>
        <v/>
      </c>
      <c r="AA35" s="49" t="str">
        <f t="shared" si="11"/>
        <v/>
      </c>
      <c r="AB35" s="49" t="str">
        <f t="shared" si="11"/>
        <v/>
      </c>
      <c r="AC35" s="49" t="str">
        <f t="shared" si="11"/>
        <v/>
      </c>
      <c r="AD35" s="49" t="str">
        <f t="shared" si="11"/>
        <v/>
      </c>
      <c r="AE35" s="49" t="str">
        <f t="shared" si="11"/>
        <v/>
      </c>
      <c r="AF35" s="49" t="str">
        <f t="shared" si="11"/>
        <v/>
      </c>
      <c r="AG35" s="49" t="str">
        <f t="shared" si="11"/>
        <v/>
      </c>
      <c r="AH35" s="44">
        <f>SUM(AH33:AH34)</f>
        <v>0</v>
      </c>
      <c r="AI35" s="45">
        <f>SUM(AI33:AI34)</f>
        <v>17</v>
      </c>
      <c r="AJ35" s="45">
        <f>SUM(AJ33:AJ34)</f>
        <v>0</v>
      </c>
      <c r="AK35" s="45">
        <f>SUM(AK33:AK34)</f>
        <v>0</v>
      </c>
      <c r="AL35" s="45">
        <f>SUM(AL33:AL34)</f>
        <v>0</v>
      </c>
      <c r="AM35" s="50">
        <f>Juin!AM35</f>
        <v>14.56</v>
      </c>
      <c r="AN35" s="51">
        <f>IF(A34="","",IF(A34&gt;NomMois,0,IF(A34&lt;$A$3,2.08,(NETWORKDAYS(A34,$A$2)/21.66667)*2.08)))</f>
        <v>2.08</v>
      </c>
      <c r="AO35" s="51">
        <f>IF( AN35="",0,+AN35+Avril!AO35)</f>
        <v>24.959999999999994</v>
      </c>
      <c r="AP35" s="50">
        <f>IF(A34="","",IF(A34&gt;NomMois,0,IF(A34&lt;$A$3,1.5,(NETWORKDAYS(A34,$A$2)/21.66667)*1.5)))+Avril!AP35</f>
        <v>7.5</v>
      </c>
      <c r="AQ35" s="45">
        <f>+AM35-AI35</f>
        <v>-2.4399999999999995</v>
      </c>
      <c r="AR35" s="45">
        <f>+IF(AP35="","",AP35-AJ35)</f>
        <v>7.5</v>
      </c>
      <c r="AS35" s="102">
        <f t="shared" si="10"/>
        <v>22.519999999999996</v>
      </c>
    </row>
    <row r="36" spans="1:45" s="63" customFormat="1" ht="6.75" customHeight="1" x14ac:dyDescent="0.25">
      <c r="A36" s="60"/>
      <c r="B36" s="53"/>
      <c r="C36" s="60"/>
      <c r="D36" s="60"/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0"/>
      <c r="Z36" s="60"/>
      <c r="AA36" s="60"/>
      <c r="AB36" s="60"/>
      <c r="AC36" s="60"/>
      <c r="AD36" s="60"/>
      <c r="AE36" s="60"/>
      <c r="AF36" s="60"/>
      <c r="AG36" s="60"/>
      <c r="AH36" s="61"/>
      <c r="AI36" s="61"/>
      <c r="AJ36" s="61"/>
      <c r="AK36" s="61"/>
      <c r="AL36" s="61"/>
      <c r="AM36" s="60"/>
      <c r="AN36" s="61"/>
      <c r="AO36" s="61"/>
      <c r="AP36" s="60"/>
      <c r="AQ36" s="61"/>
      <c r="AR36" s="61"/>
      <c r="AS36" s="65"/>
    </row>
    <row r="37" spans="1:45" s="63" customFormat="1" ht="12.95" customHeight="1" x14ac:dyDescent="0.25">
      <c r="A37" s="41"/>
      <c r="B37" s="42" t="s">
        <v>15</v>
      </c>
      <c r="C37" s="67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  <c r="AB37" s="43"/>
      <c r="AC37" s="43"/>
      <c r="AD37" s="43"/>
      <c r="AE37" s="43"/>
      <c r="AF37" s="43"/>
      <c r="AG37" s="43"/>
      <c r="AH37" s="44">
        <f>COUNTA(Mai!$C37:$AG37)</f>
        <v>0</v>
      </c>
      <c r="AI37" s="45">
        <f>(COUNTIFS(Mai!$C37:$AG37,("cp")))/2+Avril!AI37</f>
        <v>6</v>
      </c>
      <c r="AJ37" s="45">
        <f>COUNTIFS(Mai!$C37:$AG37,"RTT")/2+Avril!AJ37</f>
        <v>0</v>
      </c>
      <c r="AK37" s="45">
        <f>COUNTIFS(Mai!$C37:$AG37,"m")/2+Avril!AK37</f>
        <v>0</v>
      </c>
      <c r="AL37" s="45">
        <f>COUNTIFS(Mai!$C37:$AG37,"a")/2+Avril!AL37</f>
        <v>0</v>
      </c>
      <c r="AM37" s="46"/>
      <c r="AN37" s="47"/>
      <c r="AO37" s="47"/>
      <c r="AP37" s="46"/>
      <c r="AQ37" s="47"/>
      <c r="AR37" s="47"/>
      <c r="AS37" s="47"/>
    </row>
    <row r="38" spans="1:45" s="63" customFormat="1" ht="12.95" customHeight="1" x14ac:dyDescent="0.25">
      <c r="A38" s="48">
        <v>42373</v>
      </c>
      <c r="B38" s="42" t="s">
        <v>16</v>
      </c>
      <c r="C38" s="67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4">
        <f>COUNTA(Mai!$C38:$AG38)</f>
        <v>0</v>
      </c>
      <c r="AI38" s="45">
        <f>(COUNTIFS(Mai!$C38:$AG38,("cp")))/2+Avril!AI38</f>
        <v>6</v>
      </c>
      <c r="AJ38" s="45">
        <f>COUNTIFS(Mai!$C38:$AG38,"RTT")/2+Avril!AJ38</f>
        <v>0</v>
      </c>
      <c r="AK38" s="45">
        <f>COUNTIFS(Mai!$C38:$AG38,"m")/2+Avril!AK38</f>
        <v>0</v>
      </c>
      <c r="AL38" s="45">
        <f>COUNTIFS(Mai!$C38:$AG38,"a")/2+Avril!AL38</f>
        <v>0</v>
      </c>
      <c r="AM38" s="46"/>
      <c r="AN38" s="47"/>
      <c r="AO38" s="47"/>
      <c r="AP38" s="46"/>
      <c r="AQ38" s="47"/>
      <c r="AR38" s="47"/>
      <c r="AS38" s="101"/>
    </row>
    <row r="39" spans="1:45" s="63" customFormat="1" ht="12.95" customHeight="1" x14ac:dyDescent="0.25">
      <c r="A39" s="41"/>
      <c r="B39" s="42"/>
      <c r="C39" s="49" t="str">
        <f t="shared" ref="C39:AG39" si="12">IF(C37&gt;0,C37,IF(C38&gt;0,C38,""))</f>
        <v/>
      </c>
      <c r="D39" s="49" t="str">
        <f t="shared" si="12"/>
        <v/>
      </c>
      <c r="E39" s="49" t="str">
        <f t="shared" si="12"/>
        <v/>
      </c>
      <c r="F39" s="49" t="str">
        <f t="shared" si="12"/>
        <v/>
      </c>
      <c r="G39" s="49" t="str">
        <f t="shared" si="12"/>
        <v/>
      </c>
      <c r="H39" s="49" t="str">
        <f t="shared" si="12"/>
        <v/>
      </c>
      <c r="I39" s="49" t="str">
        <f t="shared" si="12"/>
        <v/>
      </c>
      <c r="J39" s="49" t="str">
        <f t="shared" si="12"/>
        <v/>
      </c>
      <c r="K39" s="49" t="str">
        <f t="shared" si="12"/>
        <v/>
      </c>
      <c r="L39" s="49" t="str">
        <f t="shared" si="12"/>
        <v/>
      </c>
      <c r="M39" s="49" t="str">
        <f t="shared" si="12"/>
        <v/>
      </c>
      <c r="N39" s="49" t="str">
        <f t="shared" si="12"/>
        <v/>
      </c>
      <c r="O39" s="49" t="str">
        <f t="shared" si="12"/>
        <v/>
      </c>
      <c r="P39" s="49" t="str">
        <f t="shared" si="12"/>
        <v/>
      </c>
      <c r="Q39" s="49" t="str">
        <f t="shared" si="12"/>
        <v/>
      </c>
      <c r="R39" s="49" t="str">
        <f t="shared" si="12"/>
        <v/>
      </c>
      <c r="S39" s="49" t="str">
        <f t="shared" si="12"/>
        <v/>
      </c>
      <c r="T39" s="49" t="str">
        <f t="shared" si="12"/>
        <v/>
      </c>
      <c r="U39" s="49" t="str">
        <f t="shared" si="12"/>
        <v/>
      </c>
      <c r="V39" s="49" t="str">
        <f t="shared" si="12"/>
        <v/>
      </c>
      <c r="W39" s="49" t="str">
        <f t="shared" si="12"/>
        <v/>
      </c>
      <c r="X39" s="49" t="str">
        <f t="shared" si="12"/>
        <v/>
      </c>
      <c r="Y39" s="49" t="str">
        <f t="shared" si="12"/>
        <v/>
      </c>
      <c r="Z39" s="49" t="str">
        <f t="shared" si="12"/>
        <v/>
      </c>
      <c r="AA39" s="49" t="str">
        <f t="shared" si="12"/>
        <v/>
      </c>
      <c r="AB39" s="49" t="str">
        <f t="shared" si="12"/>
        <v/>
      </c>
      <c r="AC39" s="49" t="str">
        <f t="shared" si="12"/>
        <v/>
      </c>
      <c r="AD39" s="49" t="str">
        <f t="shared" si="12"/>
        <v/>
      </c>
      <c r="AE39" s="49" t="str">
        <f t="shared" si="12"/>
        <v/>
      </c>
      <c r="AF39" s="49" t="str">
        <f t="shared" si="12"/>
        <v/>
      </c>
      <c r="AG39" s="49" t="str">
        <f t="shared" si="12"/>
        <v/>
      </c>
      <c r="AH39" s="44">
        <f>SUM(AH37:AH38)</f>
        <v>0</v>
      </c>
      <c r="AI39" s="45">
        <f>SUM(AI37:AI38)</f>
        <v>12</v>
      </c>
      <c r="AJ39" s="45">
        <f>SUM(AJ37:AJ38)</f>
        <v>0</v>
      </c>
      <c r="AK39" s="45">
        <f>SUM(AK37:AK38)</f>
        <v>0</v>
      </c>
      <c r="AL39" s="45">
        <f>SUM(AL37:AL38)</f>
        <v>0</v>
      </c>
      <c r="AM39" s="50">
        <f>Juin!AM39</f>
        <v>14.14</v>
      </c>
      <c r="AN39" s="51">
        <f>IF(A38="","",IF(A38&gt;NomMois,0,IF(A38&lt;$A$3,2.08,(NETWORKDAYS(A38,$A$2)/21.66667)*2.08)))</f>
        <v>2.08</v>
      </c>
      <c r="AO39" s="51">
        <f>IF( AN39="",0,+AN39+Avril!AO39)</f>
        <v>24.959999999999994</v>
      </c>
      <c r="AP39" s="50">
        <f>IF(A38="","",IF(A38&gt;NomMois,0,IF(A38&lt;$A$3,1.5,(NETWORKDAYS(A38,$A$2)/21.66667)*1.5)))+Avril!AP39</f>
        <v>7.5</v>
      </c>
      <c r="AQ39" s="45">
        <f>+AM39-AI39</f>
        <v>2.1400000000000006</v>
      </c>
      <c r="AR39" s="45">
        <f>+IF(AP39="","",AP39-AJ39)</f>
        <v>7.5</v>
      </c>
      <c r="AS39" s="102">
        <f t="shared" si="10"/>
        <v>27.099999999999994</v>
      </c>
    </row>
    <row r="40" spans="1:45" s="63" customFormat="1" ht="6.75" customHeight="1" x14ac:dyDescent="0.25">
      <c r="A40" s="60"/>
      <c r="B40" s="53"/>
      <c r="C40" s="60"/>
      <c r="D40" s="60"/>
      <c r="E40" s="60"/>
      <c r="F40" s="60"/>
      <c r="G40" s="60"/>
      <c r="H40" s="60"/>
      <c r="I40" s="60"/>
      <c r="J40" s="60"/>
      <c r="K40" s="60"/>
      <c r="L40" s="60"/>
      <c r="M40" s="60"/>
      <c r="N40" s="60"/>
      <c r="O40" s="60"/>
      <c r="P40" s="60"/>
      <c r="Q40" s="60"/>
      <c r="R40" s="60"/>
      <c r="S40" s="60"/>
      <c r="T40" s="60"/>
      <c r="U40" s="60"/>
      <c r="V40" s="60"/>
      <c r="W40" s="60"/>
      <c r="X40" s="60"/>
      <c r="Y40" s="60"/>
      <c r="Z40" s="60"/>
      <c r="AA40" s="60"/>
      <c r="AB40" s="60"/>
      <c r="AC40" s="60"/>
      <c r="AD40" s="60"/>
      <c r="AE40" s="60"/>
      <c r="AF40" s="60"/>
      <c r="AG40" s="60"/>
      <c r="AH40" s="61"/>
      <c r="AI40" s="61"/>
      <c r="AJ40" s="61"/>
      <c r="AK40" s="61"/>
      <c r="AL40" s="61"/>
      <c r="AM40" s="60"/>
      <c r="AN40" s="61"/>
      <c r="AO40" s="61"/>
      <c r="AP40" s="60"/>
      <c r="AQ40" s="61"/>
      <c r="AR40" s="61"/>
      <c r="AS40" s="65"/>
    </row>
    <row r="41" spans="1:45" s="63" customFormat="1" ht="12.95" customHeight="1" x14ac:dyDescent="0.25">
      <c r="A41" s="41"/>
      <c r="B41" s="42" t="s">
        <v>15</v>
      </c>
      <c r="C41" s="67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4">
        <f>COUNTA(Mai!$C41:$AG41)</f>
        <v>0</v>
      </c>
      <c r="AI41" s="45">
        <f>(COUNTIFS(Mai!$C41:$AG41,("cp")))/2+Avril!AI41</f>
        <v>7.5</v>
      </c>
      <c r="AJ41" s="45">
        <f>COUNTIFS(Mai!$C41:$AG41,"RTT")/2+Avril!AJ41</f>
        <v>0</v>
      </c>
      <c r="AK41" s="45">
        <f>COUNTIFS(Mai!$C41:$AG41,"m")/2+Avril!AK41</f>
        <v>0</v>
      </c>
      <c r="AL41" s="45">
        <f>COUNTIFS(Mai!$C41:$AG41,"a")/2+Avril!AL41</f>
        <v>0</v>
      </c>
      <c r="AM41" s="46"/>
      <c r="AN41" s="47"/>
      <c r="AO41" s="47"/>
      <c r="AP41" s="46"/>
      <c r="AQ41" s="47"/>
      <c r="AR41" s="47"/>
      <c r="AS41" s="47"/>
    </row>
    <row r="42" spans="1:45" s="63" customFormat="1" ht="12.95" customHeight="1" x14ac:dyDescent="0.25">
      <c r="A42" s="48">
        <v>41821</v>
      </c>
      <c r="B42" s="42" t="s">
        <v>16</v>
      </c>
      <c r="C42" s="67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3"/>
      <c r="AE42" s="43"/>
      <c r="AF42" s="43"/>
      <c r="AG42" s="43"/>
      <c r="AH42" s="44">
        <f>COUNTA(Mai!$C42:$AG42)</f>
        <v>0</v>
      </c>
      <c r="AI42" s="45">
        <f>(COUNTIFS(Mai!$C42:$AG42,("cp")))/2+Avril!AI42</f>
        <v>7.5</v>
      </c>
      <c r="AJ42" s="45">
        <f>COUNTIFS(Mai!$C42:$AG42,"RTT")/2+Avril!AJ42</f>
        <v>0</v>
      </c>
      <c r="AK42" s="45">
        <f>COUNTIFS(Mai!$C42:$AG42,"m")/2+Avril!AK42</f>
        <v>0</v>
      </c>
      <c r="AL42" s="45">
        <f>COUNTIFS(Mai!$C42:$AG42,"a")/2+Avril!AL42</f>
        <v>0</v>
      </c>
      <c r="AM42" s="46"/>
      <c r="AN42" s="47"/>
      <c r="AO42" s="47"/>
      <c r="AP42" s="46"/>
      <c r="AQ42" s="47"/>
      <c r="AR42" s="47"/>
      <c r="AS42" s="101"/>
    </row>
    <row r="43" spans="1:45" s="63" customFormat="1" ht="12.95" customHeight="1" x14ac:dyDescent="0.25">
      <c r="A43" s="41"/>
      <c r="B43" s="42"/>
      <c r="C43" s="49" t="str">
        <f t="shared" ref="C43:AG43" si="13">IF(C41&gt;0,C41,IF(C42&gt;0,C42,""))</f>
        <v/>
      </c>
      <c r="D43" s="49" t="str">
        <f t="shared" si="13"/>
        <v/>
      </c>
      <c r="E43" s="49" t="str">
        <f t="shared" si="13"/>
        <v/>
      </c>
      <c r="F43" s="49" t="str">
        <f t="shared" si="13"/>
        <v/>
      </c>
      <c r="G43" s="49" t="str">
        <f t="shared" si="13"/>
        <v/>
      </c>
      <c r="H43" s="49" t="str">
        <f t="shared" si="13"/>
        <v/>
      </c>
      <c r="I43" s="49" t="str">
        <f t="shared" si="13"/>
        <v/>
      </c>
      <c r="J43" s="49" t="str">
        <f t="shared" si="13"/>
        <v/>
      </c>
      <c r="K43" s="49" t="str">
        <f t="shared" si="13"/>
        <v/>
      </c>
      <c r="L43" s="49" t="str">
        <f t="shared" si="13"/>
        <v/>
      </c>
      <c r="M43" s="49" t="str">
        <f t="shared" si="13"/>
        <v/>
      </c>
      <c r="N43" s="49" t="str">
        <f t="shared" si="13"/>
        <v/>
      </c>
      <c r="O43" s="49" t="str">
        <f t="shared" si="13"/>
        <v/>
      </c>
      <c r="P43" s="49" t="str">
        <f t="shared" si="13"/>
        <v/>
      </c>
      <c r="Q43" s="49" t="str">
        <f t="shared" si="13"/>
        <v/>
      </c>
      <c r="R43" s="49" t="str">
        <f t="shared" si="13"/>
        <v/>
      </c>
      <c r="S43" s="49" t="str">
        <f t="shared" si="13"/>
        <v/>
      </c>
      <c r="T43" s="49" t="str">
        <f t="shared" si="13"/>
        <v/>
      </c>
      <c r="U43" s="49" t="str">
        <f t="shared" si="13"/>
        <v/>
      </c>
      <c r="V43" s="49" t="str">
        <f t="shared" si="13"/>
        <v/>
      </c>
      <c r="W43" s="49" t="str">
        <f t="shared" si="13"/>
        <v/>
      </c>
      <c r="X43" s="49" t="str">
        <f t="shared" si="13"/>
        <v/>
      </c>
      <c r="Y43" s="49" t="str">
        <f t="shared" si="13"/>
        <v/>
      </c>
      <c r="Z43" s="49" t="str">
        <f t="shared" si="13"/>
        <v/>
      </c>
      <c r="AA43" s="49" t="str">
        <f t="shared" si="13"/>
        <v/>
      </c>
      <c r="AB43" s="49" t="str">
        <f t="shared" si="13"/>
        <v/>
      </c>
      <c r="AC43" s="49" t="str">
        <f t="shared" si="13"/>
        <v/>
      </c>
      <c r="AD43" s="49" t="str">
        <f t="shared" si="13"/>
        <v/>
      </c>
      <c r="AE43" s="49" t="str">
        <f t="shared" si="13"/>
        <v/>
      </c>
      <c r="AF43" s="49" t="str">
        <f t="shared" si="13"/>
        <v/>
      </c>
      <c r="AG43" s="49" t="str">
        <f t="shared" si="13"/>
        <v/>
      </c>
      <c r="AH43" s="44">
        <f>SUM(AH41:AH42)</f>
        <v>0</v>
      </c>
      <c r="AI43" s="45">
        <f>SUM(AI41:AI42)</f>
        <v>15</v>
      </c>
      <c r="AJ43" s="45">
        <f>SUM(AJ41:AJ42)</f>
        <v>0</v>
      </c>
      <c r="AK43" s="45">
        <f>SUM(AK41:AK42)</f>
        <v>0</v>
      </c>
      <c r="AL43" s="45">
        <f>SUM(AL41:AL42)</f>
        <v>0</v>
      </c>
      <c r="AM43" s="50">
        <f>Juin!AM43</f>
        <v>20.38</v>
      </c>
      <c r="AN43" s="51">
        <f>IF(A42="","",IF(A42&gt;NomMois,0,IF(A42&lt;$A$3,2.08,(NETWORKDAYS(A42,$A$2)/21.66667)*2.08)))</f>
        <v>2.08</v>
      </c>
      <c r="AO43" s="51">
        <f>IF( AN43="",0,+AN43+Avril!AO43)</f>
        <v>24.959999999999994</v>
      </c>
      <c r="AP43" s="50">
        <f>IF(A42="","",IF(A42&gt;NomMois,0,IF(A42&lt;$A$3,1.5,(NETWORKDAYS(A42,$A$2)/21.66667)*1.5)))+Avril!AP43</f>
        <v>7.5</v>
      </c>
      <c r="AQ43" s="45">
        <f>+AM43-AI43</f>
        <v>5.379999999999999</v>
      </c>
      <c r="AR43" s="45">
        <f>+IF(AP43="","",AP43-AJ43)</f>
        <v>7.5</v>
      </c>
      <c r="AS43" s="102">
        <f t="shared" si="10"/>
        <v>30.339999999999993</v>
      </c>
    </row>
    <row r="44" spans="1:45" s="63" customFormat="1" ht="6.75" customHeight="1" x14ac:dyDescent="0.25">
      <c r="A44" s="60"/>
      <c r="B44" s="53"/>
      <c r="C44" s="60"/>
      <c r="D44" s="60"/>
      <c r="E44" s="60"/>
      <c r="F44" s="60"/>
      <c r="G44" s="60"/>
      <c r="H44" s="60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61"/>
      <c r="AI44" s="61"/>
      <c r="AJ44" s="61"/>
      <c r="AK44" s="61"/>
      <c r="AL44" s="61"/>
      <c r="AM44" s="60"/>
      <c r="AN44" s="61"/>
      <c r="AO44" s="61"/>
      <c r="AP44" s="60"/>
      <c r="AQ44" s="69"/>
      <c r="AR44" s="69"/>
      <c r="AS44" s="65"/>
    </row>
    <row r="45" spans="1:45" s="63" customFormat="1" ht="12.95" customHeight="1" x14ac:dyDescent="0.25">
      <c r="A45" s="41"/>
      <c r="B45" s="42" t="s">
        <v>15</v>
      </c>
      <c r="C45" s="67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4">
        <f>COUNTA(Mai!$C45:$AG45)</f>
        <v>0</v>
      </c>
      <c r="AI45" s="45">
        <f>(COUNTIFS(Mai!$C45:$AG45,("cp")))/2+Avril!AI45</f>
        <v>5.5</v>
      </c>
      <c r="AJ45" s="45">
        <f>COUNTIFS(Mai!$C45:$AG45,"RTT")/2+Avril!AJ45</f>
        <v>0</v>
      </c>
      <c r="AK45" s="45">
        <f>COUNTIFS(Mai!$C45:$AG45,"m")/2+Avril!AK45</f>
        <v>0</v>
      </c>
      <c r="AL45" s="45">
        <f>COUNTIFS(Mai!$C45:$AG45,"a")/2+Avril!AL45</f>
        <v>0</v>
      </c>
      <c r="AM45" s="46"/>
      <c r="AN45" s="47"/>
      <c r="AO45" s="47"/>
      <c r="AP45" s="46"/>
      <c r="AQ45" s="47"/>
      <c r="AR45" s="47"/>
      <c r="AS45" s="47"/>
    </row>
    <row r="46" spans="1:45" s="63" customFormat="1" ht="12.95" customHeight="1" x14ac:dyDescent="0.25">
      <c r="A46" s="48">
        <v>40575</v>
      </c>
      <c r="B46" s="42" t="s">
        <v>16</v>
      </c>
      <c r="C46" s="67"/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3"/>
      <c r="AC46" s="43"/>
      <c r="AD46" s="43"/>
      <c r="AE46" s="43"/>
      <c r="AF46" s="43"/>
      <c r="AG46" s="43"/>
      <c r="AH46" s="44">
        <f>COUNTA(Mai!$C46:$AG46)</f>
        <v>0</v>
      </c>
      <c r="AI46" s="45">
        <f>(COUNTIFS(Mai!$C46:$AG46,("cp")))/2+Avril!AI46</f>
        <v>6</v>
      </c>
      <c r="AJ46" s="45">
        <f>COUNTIFS(Mai!$C46:$AG46,"RTT")/2+Avril!AJ46</f>
        <v>0</v>
      </c>
      <c r="AK46" s="45">
        <f>COUNTIFS(Mai!$C46:$AG46,"m")/2+Avril!AK46</f>
        <v>0</v>
      </c>
      <c r="AL46" s="45">
        <f>COUNTIFS(Mai!$C46:$AG46,"a")/2+Avril!AL46</f>
        <v>0</v>
      </c>
      <c r="AM46" s="46"/>
      <c r="AN46" s="47"/>
      <c r="AO46" s="47"/>
      <c r="AP46" s="46"/>
      <c r="AQ46" s="47"/>
      <c r="AR46" s="47"/>
      <c r="AS46" s="101"/>
    </row>
    <row r="47" spans="1:45" s="63" customFormat="1" ht="12.95" customHeight="1" x14ac:dyDescent="0.25">
      <c r="A47" s="41"/>
      <c r="B47" s="42"/>
      <c r="C47" s="49" t="str">
        <f t="shared" ref="C47:AG47" si="14">IF(C45&gt;0,C45,IF(C46&gt;0,C46,""))</f>
        <v/>
      </c>
      <c r="D47" s="49" t="str">
        <f t="shared" si="14"/>
        <v/>
      </c>
      <c r="E47" s="49" t="str">
        <f t="shared" si="14"/>
        <v/>
      </c>
      <c r="F47" s="49" t="str">
        <f t="shared" si="14"/>
        <v/>
      </c>
      <c r="G47" s="49" t="str">
        <f t="shared" si="14"/>
        <v/>
      </c>
      <c r="H47" s="49" t="str">
        <f t="shared" si="14"/>
        <v/>
      </c>
      <c r="I47" s="49" t="str">
        <f t="shared" si="14"/>
        <v/>
      </c>
      <c r="J47" s="49" t="str">
        <f t="shared" si="14"/>
        <v/>
      </c>
      <c r="K47" s="49" t="str">
        <f t="shared" si="14"/>
        <v/>
      </c>
      <c r="L47" s="49" t="str">
        <f t="shared" si="14"/>
        <v/>
      </c>
      <c r="M47" s="49" t="str">
        <f t="shared" si="14"/>
        <v/>
      </c>
      <c r="N47" s="49" t="str">
        <f t="shared" si="14"/>
        <v/>
      </c>
      <c r="O47" s="49" t="str">
        <f t="shared" si="14"/>
        <v/>
      </c>
      <c r="P47" s="49" t="str">
        <f t="shared" si="14"/>
        <v/>
      </c>
      <c r="Q47" s="49" t="str">
        <f t="shared" si="14"/>
        <v/>
      </c>
      <c r="R47" s="49" t="str">
        <f t="shared" si="14"/>
        <v/>
      </c>
      <c r="S47" s="49" t="str">
        <f t="shared" si="14"/>
        <v/>
      </c>
      <c r="T47" s="49" t="str">
        <f t="shared" si="14"/>
        <v/>
      </c>
      <c r="U47" s="49" t="str">
        <f t="shared" si="14"/>
        <v/>
      </c>
      <c r="V47" s="49" t="str">
        <f t="shared" si="14"/>
        <v/>
      </c>
      <c r="W47" s="49" t="str">
        <f t="shared" si="14"/>
        <v/>
      </c>
      <c r="X47" s="49" t="str">
        <f t="shared" si="14"/>
        <v/>
      </c>
      <c r="Y47" s="49" t="str">
        <f t="shared" si="14"/>
        <v/>
      </c>
      <c r="Z47" s="49" t="str">
        <f t="shared" si="14"/>
        <v/>
      </c>
      <c r="AA47" s="49" t="str">
        <f t="shared" si="14"/>
        <v/>
      </c>
      <c r="AB47" s="49" t="str">
        <f t="shared" si="14"/>
        <v/>
      </c>
      <c r="AC47" s="49" t="str">
        <f t="shared" si="14"/>
        <v/>
      </c>
      <c r="AD47" s="49" t="str">
        <f t="shared" si="14"/>
        <v/>
      </c>
      <c r="AE47" s="49" t="str">
        <f t="shared" si="14"/>
        <v/>
      </c>
      <c r="AF47" s="49" t="str">
        <f t="shared" si="14"/>
        <v/>
      </c>
      <c r="AG47" s="49" t="str">
        <f t="shared" si="14"/>
        <v/>
      </c>
      <c r="AH47" s="44">
        <f>SUM(AH45:AH46)</f>
        <v>0</v>
      </c>
      <c r="AI47" s="45">
        <f>SUM(AI45:AI46)</f>
        <v>11.5</v>
      </c>
      <c r="AJ47" s="45">
        <f>SUM(AJ45:AJ46)</f>
        <v>0</v>
      </c>
      <c r="AK47" s="45">
        <f>SUM(AK45:AK46)</f>
        <v>0</v>
      </c>
      <c r="AL47" s="45">
        <f>SUM(AL45:AL46)</f>
        <v>0</v>
      </c>
      <c r="AM47" s="50">
        <f>Juin!AM47</f>
        <v>24.96</v>
      </c>
      <c r="AN47" s="51">
        <f>IF(A46="","",IF(A46&gt;NomMois,0,IF(A46&lt;$A$3,2.08,(NETWORKDAYS(A46,$A$2)/21.66667)*2.08)))</f>
        <v>2.08</v>
      </c>
      <c r="AO47" s="51">
        <f>IF( AN47="",0,+AN47+Avril!AO47)</f>
        <v>24.959999999999994</v>
      </c>
      <c r="AP47" s="50">
        <f>IF(A46="","",IF(A46&gt;NomMois,0,IF(A46&lt;$A$3,1.5,(NETWORKDAYS(A46,$A$2)/21.66667)*1.5)))+Avril!AP47</f>
        <v>7.5</v>
      </c>
      <c r="AQ47" s="45">
        <f>+AM47-AI47</f>
        <v>13.46</v>
      </c>
      <c r="AR47" s="45">
        <f>+IF(AP47="","",AP47-AJ47)</f>
        <v>7.5</v>
      </c>
      <c r="AS47" s="102">
        <f t="shared" si="10"/>
        <v>38.419999999999995</v>
      </c>
    </row>
    <row r="48" spans="1:45" s="63" customFormat="1" ht="6.75" customHeight="1" x14ac:dyDescent="0.25">
      <c r="A48" s="60"/>
      <c r="B48" s="53"/>
      <c r="C48" s="60"/>
      <c r="D48" s="60"/>
      <c r="E48" s="60"/>
      <c r="F48" s="60"/>
      <c r="G48" s="60"/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60"/>
      <c r="Z48" s="60"/>
      <c r="AA48" s="60"/>
      <c r="AB48" s="60"/>
      <c r="AC48" s="60"/>
      <c r="AD48" s="60"/>
      <c r="AE48" s="60"/>
      <c r="AF48" s="60"/>
      <c r="AG48" s="60"/>
      <c r="AH48" s="61"/>
      <c r="AI48" s="61"/>
      <c r="AJ48" s="61"/>
      <c r="AK48" s="61"/>
      <c r="AL48" s="61"/>
      <c r="AM48" s="60"/>
      <c r="AN48" s="61"/>
      <c r="AO48" s="61"/>
      <c r="AP48" s="60"/>
      <c r="AQ48" s="69"/>
      <c r="AR48" s="69"/>
      <c r="AS48" s="65"/>
    </row>
    <row r="49" spans="1:45" s="63" customFormat="1" ht="12.95" customHeight="1" x14ac:dyDescent="0.25">
      <c r="A49" s="41"/>
      <c r="B49" s="42" t="s">
        <v>15</v>
      </c>
      <c r="C49" s="67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  <c r="AA49" s="43"/>
      <c r="AB49" s="43"/>
      <c r="AC49" s="43"/>
      <c r="AD49" s="43"/>
      <c r="AE49" s="43"/>
      <c r="AF49" s="43"/>
      <c r="AG49" s="43"/>
      <c r="AH49" s="44">
        <f>COUNTA(Mai!$C49:$AG49)</f>
        <v>0</v>
      </c>
      <c r="AI49" s="45">
        <f>(COUNTIFS(Mai!$C49:$AG49,("cp")))/2+Avril!AI49</f>
        <v>3</v>
      </c>
      <c r="AJ49" s="45">
        <f>COUNTIFS(Mai!$C49:$AG49,"RTT")/2+Avril!AJ49</f>
        <v>0</v>
      </c>
      <c r="AK49" s="45">
        <f>COUNTIFS(Mai!$C49:$AG49,"m")/2+Avril!AK49</f>
        <v>0</v>
      </c>
      <c r="AL49" s="45">
        <f>COUNTIFS(Mai!$C49:$AG49,"a")/2+Avril!AL49</f>
        <v>0</v>
      </c>
      <c r="AM49" s="46"/>
      <c r="AN49" s="47"/>
      <c r="AO49" s="47"/>
      <c r="AP49" s="46"/>
      <c r="AQ49" s="47"/>
      <c r="AR49" s="47"/>
      <c r="AS49" s="47"/>
    </row>
    <row r="50" spans="1:45" s="63" customFormat="1" ht="12.95" customHeight="1" x14ac:dyDescent="0.25">
      <c r="A50" s="48">
        <v>42793</v>
      </c>
      <c r="B50" s="42" t="s">
        <v>16</v>
      </c>
      <c r="C50" s="67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  <c r="AA50" s="43"/>
      <c r="AB50" s="43"/>
      <c r="AC50" s="43"/>
      <c r="AD50" s="43"/>
      <c r="AE50" s="43"/>
      <c r="AF50" s="43"/>
      <c r="AG50" s="43"/>
      <c r="AH50" s="44">
        <f>COUNTA(Mai!$C50:$AG50)</f>
        <v>0</v>
      </c>
      <c r="AI50" s="45">
        <f>(COUNTIFS(Mai!$C50:$AG50,("cp")))/2+Avril!AI50</f>
        <v>3</v>
      </c>
      <c r="AJ50" s="45">
        <f>COUNTIFS(Mai!$C50:$AG50,"RTT")/2+Avril!AJ50</f>
        <v>0</v>
      </c>
      <c r="AK50" s="45">
        <f>COUNTIFS(Mai!$C50:$AG50,"m")/2+Avril!AK50</f>
        <v>0</v>
      </c>
      <c r="AL50" s="45">
        <f>COUNTIFS(Mai!$C50:$AG50,"a")/2+Avril!AL50</f>
        <v>0</v>
      </c>
      <c r="AM50" s="46"/>
      <c r="AN50" s="47"/>
      <c r="AO50" s="47"/>
      <c r="AP50" s="46"/>
      <c r="AQ50" s="47"/>
      <c r="AR50" s="47"/>
      <c r="AS50" s="101"/>
    </row>
    <row r="51" spans="1:45" s="63" customFormat="1" ht="12.95" customHeight="1" x14ac:dyDescent="0.25">
      <c r="A51" s="41"/>
      <c r="B51" s="42"/>
      <c r="C51" s="49" t="str">
        <f t="shared" ref="C51:AG51" si="15">IF(C49&gt;0,C49,IF(C50&gt;0,C50,""))</f>
        <v/>
      </c>
      <c r="D51" s="49" t="str">
        <f t="shared" si="15"/>
        <v/>
      </c>
      <c r="E51" s="49" t="str">
        <f t="shared" si="15"/>
        <v/>
      </c>
      <c r="F51" s="49" t="str">
        <f t="shared" si="15"/>
        <v/>
      </c>
      <c r="G51" s="49" t="str">
        <f t="shared" si="15"/>
        <v/>
      </c>
      <c r="H51" s="49" t="str">
        <f t="shared" si="15"/>
        <v/>
      </c>
      <c r="I51" s="49" t="str">
        <f t="shared" si="15"/>
        <v/>
      </c>
      <c r="J51" s="49" t="str">
        <f t="shared" si="15"/>
        <v/>
      </c>
      <c r="K51" s="49" t="str">
        <f t="shared" si="15"/>
        <v/>
      </c>
      <c r="L51" s="49" t="str">
        <f t="shared" si="15"/>
        <v/>
      </c>
      <c r="M51" s="49" t="str">
        <f t="shared" si="15"/>
        <v/>
      </c>
      <c r="N51" s="49" t="str">
        <f t="shared" si="15"/>
        <v/>
      </c>
      <c r="O51" s="49" t="str">
        <f t="shared" si="15"/>
        <v/>
      </c>
      <c r="P51" s="49" t="str">
        <f t="shared" si="15"/>
        <v/>
      </c>
      <c r="Q51" s="49" t="str">
        <f t="shared" si="15"/>
        <v/>
      </c>
      <c r="R51" s="49" t="str">
        <f t="shared" si="15"/>
        <v/>
      </c>
      <c r="S51" s="49" t="str">
        <f t="shared" si="15"/>
        <v/>
      </c>
      <c r="T51" s="49" t="str">
        <f t="shared" si="15"/>
        <v/>
      </c>
      <c r="U51" s="49" t="str">
        <f t="shared" si="15"/>
        <v/>
      </c>
      <c r="V51" s="49" t="str">
        <f t="shared" si="15"/>
        <v/>
      </c>
      <c r="W51" s="49" t="str">
        <f t="shared" si="15"/>
        <v/>
      </c>
      <c r="X51" s="49" t="str">
        <f t="shared" si="15"/>
        <v/>
      </c>
      <c r="Y51" s="49" t="str">
        <f t="shared" si="15"/>
        <v/>
      </c>
      <c r="Z51" s="49" t="str">
        <f t="shared" si="15"/>
        <v/>
      </c>
      <c r="AA51" s="49" t="str">
        <f t="shared" si="15"/>
        <v/>
      </c>
      <c r="AB51" s="49" t="str">
        <f t="shared" si="15"/>
        <v/>
      </c>
      <c r="AC51" s="49" t="str">
        <f t="shared" si="15"/>
        <v/>
      </c>
      <c r="AD51" s="49" t="str">
        <f t="shared" si="15"/>
        <v/>
      </c>
      <c r="AE51" s="49" t="str">
        <f t="shared" si="15"/>
        <v/>
      </c>
      <c r="AF51" s="49" t="str">
        <f t="shared" si="15"/>
        <v/>
      </c>
      <c r="AG51" s="49" t="str">
        <f t="shared" si="15"/>
        <v/>
      </c>
      <c r="AH51" s="44">
        <f>SUM(AH49:AH50)</f>
        <v>0</v>
      </c>
      <c r="AI51" s="45">
        <f>SUM(AI49:AI50)</f>
        <v>6</v>
      </c>
      <c r="AJ51" s="45">
        <f>SUM(AJ49:AJ50)</f>
        <v>0</v>
      </c>
      <c r="AK51" s="45">
        <f>SUM(AK49:AK50)</f>
        <v>0</v>
      </c>
      <c r="AL51" s="45">
        <f>SUM(AL49:AL50)</f>
        <v>0</v>
      </c>
      <c r="AM51" s="50">
        <f>Juin!AM51</f>
        <v>6.41</v>
      </c>
      <c r="AN51" s="51">
        <f>IF(A50="","",IF(A50&gt;NomMois,0,IF(A50&lt;$A$3,2.08,(NETWORKDAYS(A50,$A$2)/21.66667)*2.08)))</f>
        <v>2.08</v>
      </c>
      <c r="AO51" s="51">
        <f>IF( AN51="",0,+AN51+Avril!AO51)</f>
        <v>24.959999999999994</v>
      </c>
      <c r="AP51" s="50">
        <f>IF(A50="","",IF(A50&gt;NomMois,0,IF(A50&lt;$A$3,1.5,(NETWORKDAYS(A50,$A$2)/21.66667)*1.5)))+Avril!AP51</f>
        <v>7.5</v>
      </c>
      <c r="AQ51" s="45">
        <f>+AM51-AI51</f>
        <v>0.41000000000000014</v>
      </c>
      <c r="AR51" s="45">
        <f>+IF(AP51="","",AP51-AJ51)</f>
        <v>7.5</v>
      </c>
      <c r="AS51" s="102">
        <f t="shared" si="10"/>
        <v>25.369999999999994</v>
      </c>
    </row>
    <row r="52" spans="1:45" s="63" customFormat="1" ht="6.75" customHeight="1" x14ac:dyDescent="0.25">
      <c r="A52" s="60"/>
      <c r="B52" s="53"/>
      <c r="C52" s="60"/>
      <c r="D52" s="60"/>
      <c r="E52" s="60"/>
      <c r="F52" s="60"/>
      <c r="G52" s="60"/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0"/>
      <c r="W52" s="60"/>
      <c r="X52" s="60"/>
      <c r="Y52" s="60"/>
      <c r="Z52" s="60"/>
      <c r="AA52" s="60"/>
      <c r="AB52" s="60"/>
      <c r="AC52" s="60"/>
      <c r="AD52" s="60"/>
      <c r="AE52" s="60"/>
      <c r="AF52" s="60"/>
      <c r="AG52" s="60"/>
      <c r="AH52" s="61"/>
      <c r="AI52" s="61"/>
      <c r="AJ52" s="61"/>
      <c r="AK52" s="61"/>
      <c r="AL52" s="61"/>
      <c r="AM52" s="60"/>
      <c r="AN52" s="61"/>
      <c r="AO52" s="61"/>
      <c r="AP52" s="60"/>
      <c r="AQ52" s="69"/>
      <c r="AR52" s="69"/>
      <c r="AS52" s="65"/>
    </row>
    <row r="53" spans="1:45" s="63" customFormat="1" ht="12.95" customHeight="1" x14ac:dyDescent="0.25">
      <c r="A53" s="41"/>
      <c r="B53" s="42" t="s">
        <v>15</v>
      </c>
      <c r="C53" s="67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  <c r="AA53" s="43"/>
      <c r="AB53" s="43"/>
      <c r="AC53" s="43"/>
      <c r="AD53" s="43"/>
      <c r="AE53" s="43"/>
      <c r="AF53" s="43"/>
      <c r="AG53" s="43"/>
      <c r="AH53" s="44">
        <f>COUNTA(Mai!$C53:$AG53)</f>
        <v>0</v>
      </c>
      <c r="AI53" s="45">
        <f>(COUNTIFS(Mai!$C53:$AG53,("cp")))/2+Avril!AI53</f>
        <v>9</v>
      </c>
      <c r="AJ53" s="45">
        <f>COUNTIFS(Mai!$C53:$AG53,"RTT")/2+Avril!AJ53</f>
        <v>0</v>
      </c>
      <c r="AK53" s="45">
        <f>COUNTIFS(Mai!$C53:$AG53,"m")/2+Avril!AK53</f>
        <v>0</v>
      </c>
      <c r="AL53" s="45">
        <f>COUNTIFS(Mai!$C53:$AG53,"a")/2+Avril!AL53</f>
        <v>0</v>
      </c>
      <c r="AM53" s="46"/>
      <c r="AN53" s="47"/>
      <c r="AO53" s="47"/>
      <c r="AP53" s="46"/>
      <c r="AQ53" s="47"/>
      <c r="AR53" s="47"/>
      <c r="AS53" s="47"/>
    </row>
    <row r="54" spans="1:45" s="63" customFormat="1" ht="12.95" customHeight="1" x14ac:dyDescent="0.25">
      <c r="A54" s="48">
        <v>42660</v>
      </c>
      <c r="B54" s="42" t="s">
        <v>16</v>
      </c>
      <c r="C54" s="67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  <c r="AA54" s="43"/>
      <c r="AB54" s="43"/>
      <c r="AC54" s="43"/>
      <c r="AD54" s="43"/>
      <c r="AE54" s="43"/>
      <c r="AF54" s="43"/>
      <c r="AG54" s="43"/>
      <c r="AH54" s="44">
        <f>COUNTA(Mai!$C54:$AG54)</f>
        <v>0</v>
      </c>
      <c r="AI54" s="45">
        <f>(COUNTIFS(Mai!$C54:$AG54,("cp")))/2+Avril!AI54</f>
        <v>9</v>
      </c>
      <c r="AJ54" s="45">
        <f>COUNTIFS(Mai!$C54:$AG54,"RTT")/2+Avril!AJ54</f>
        <v>0</v>
      </c>
      <c r="AK54" s="45">
        <f>COUNTIFS(Mai!$C54:$AG54,"m")/2+Avril!AK54</f>
        <v>0</v>
      </c>
      <c r="AL54" s="45">
        <f>COUNTIFS(Mai!$C54:$AG54,"a")/2+Avril!AL54</f>
        <v>0</v>
      </c>
      <c r="AM54" s="46"/>
      <c r="AN54" s="47"/>
      <c r="AO54" s="47"/>
      <c r="AP54" s="46"/>
      <c r="AQ54" s="47"/>
      <c r="AR54" s="47"/>
      <c r="AS54" s="101"/>
    </row>
    <row r="55" spans="1:45" s="63" customFormat="1" ht="12.95" customHeight="1" x14ac:dyDescent="0.25">
      <c r="A55" s="41"/>
      <c r="B55" s="116"/>
      <c r="C55" s="49" t="str">
        <f t="shared" ref="C55:AG55" si="16">IF(C53&gt;0,C53,IF(C54&gt;0,C54,""))</f>
        <v/>
      </c>
      <c r="D55" s="49" t="str">
        <f t="shared" si="16"/>
        <v/>
      </c>
      <c r="E55" s="49" t="str">
        <f t="shared" si="16"/>
        <v/>
      </c>
      <c r="F55" s="49" t="str">
        <f t="shared" si="16"/>
        <v/>
      </c>
      <c r="G55" s="49" t="str">
        <f t="shared" si="16"/>
        <v/>
      </c>
      <c r="H55" s="49" t="str">
        <f t="shared" si="16"/>
        <v/>
      </c>
      <c r="I55" s="49" t="str">
        <f t="shared" si="16"/>
        <v/>
      </c>
      <c r="J55" s="49" t="str">
        <f t="shared" si="16"/>
        <v/>
      </c>
      <c r="K55" s="49" t="str">
        <f t="shared" si="16"/>
        <v/>
      </c>
      <c r="L55" s="49" t="str">
        <f t="shared" si="16"/>
        <v/>
      </c>
      <c r="M55" s="49" t="str">
        <f t="shared" si="16"/>
        <v/>
      </c>
      <c r="N55" s="49" t="str">
        <f t="shared" si="16"/>
        <v/>
      </c>
      <c r="O55" s="49" t="str">
        <f t="shared" si="16"/>
        <v/>
      </c>
      <c r="P55" s="49" t="str">
        <f t="shared" si="16"/>
        <v/>
      </c>
      <c r="Q55" s="49" t="str">
        <f t="shared" si="16"/>
        <v/>
      </c>
      <c r="R55" s="49" t="str">
        <f t="shared" si="16"/>
        <v/>
      </c>
      <c r="S55" s="49" t="str">
        <f t="shared" si="16"/>
        <v/>
      </c>
      <c r="T55" s="49" t="str">
        <f t="shared" si="16"/>
        <v/>
      </c>
      <c r="U55" s="49" t="str">
        <f t="shared" si="16"/>
        <v/>
      </c>
      <c r="V55" s="49" t="str">
        <f t="shared" si="16"/>
        <v/>
      </c>
      <c r="W55" s="49" t="str">
        <f t="shared" si="16"/>
        <v/>
      </c>
      <c r="X55" s="49" t="str">
        <f t="shared" si="16"/>
        <v/>
      </c>
      <c r="Y55" s="49" t="str">
        <f t="shared" si="16"/>
        <v/>
      </c>
      <c r="Z55" s="49" t="str">
        <f t="shared" si="16"/>
        <v/>
      </c>
      <c r="AA55" s="49" t="str">
        <f t="shared" si="16"/>
        <v/>
      </c>
      <c r="AB55" s="49" t="str">
        <f t="shared" si="16"/>
        <v/>
      </c>
      <c r="AC55" s="49" t="str">
        <f t="shared" si="16"/>
        <v/>
      </c>
      <c r="AD55" s="49" t="str">
        <f t="shared" si="16"/>
        <v/>
      </c>
      <c r="AE55" s="49" t="str">
        <f t="shared" si="16"/>
        <v/>
      </c>
      <c r="AF55" s="49" t="str">
        <f t="shared" si="16"/>
        <v/>
      </c>
      <c r="AG55" s="49" t="str">
        <f t="shared" si="16"/>
        <v/>
      </c>
      <c r="AH55" s="44">
        <f>SUM(AH53:AH54)</f>
        <v>0</v>
      </c>
      <c r="AI55" s="45">
        <f>SUM(AI53:AI54)</f>
        <v>18</v>
      </c>
      <c r="AJ55" s="45">
        <f>SUM(AJ53:AJ54)</f>
        <v>0</v>
      </c>
      <c r="AK55" s="45">
        <f>SUM(AK53:AK54)</f>
        <v>0</v>
      </c>
      <c r="AL55" s="45">
        <f>SUM(AL53:AL54)</f>
        <v>0</v>
      </c>
      <c r="AM55" s="50">
        <f>Juin!AM55</f>
        <v>15.68</v>
      </c>
      <c r="AN55" s="51">
        <f>IF(A54="","",IF(A54&gt;NomMois,0,IF(A54&lt;$A$3,2.08,(NETWORKDAYS(A54,$A$2)/21.66667)*2.08)))</f>
        <v>2.08</v>
      </c>
      <c r="AO55" s="51">
        <f>IF( AN55="",0,+AN55+Avril!AO55)</f>
        <v>24.959999999999994</v>
      </c>
      <c r="AP55" s="50">
        <f>IF(A54="","",IF(A54&gt;NomMois,0,IF(A54&lt;$A$3,1.5,(NETWORKDAYS(A54,$A$2)/21.66667)*1.5)))+Avril!AP55</f>
        <v>7.5</v>
      </c>
      <c r="AQ55" s="45">
        <f>+AM55-AI55</f>
        <v>-2.3200000000000003</v>
      </c>
      <c r="AR55" s="45">
        <f>+IF(AP55="","",AP55-AJ55)</f>
        <v>7.5</v>
      </c>
      <c r="AS55" s="102">
        <f t="shared" si="10"/>
        <v>22.639999999999993</v>
      </c>
    </row>
    <row r="56" spans="1:45" s="63" customFormat="1" ht="6.75" customHeight="1" x14ac:dyDescent="0.25">
      <c r="A56" s="60"/>
      <c r="B56" s="53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60"/>
      <c r="X56" s="60"/>
      <c r="Y56" s="60"/>
      <c r="Z56" s="60"/>
      <c r="AA56" s="60"/>
      <c r="AB56" s="60"/>
      <c r="AC56" s="60"/>
      <c r="AD56" s="60"/>
      <c r="AE56" s="60"/>
      <c r="AF56" s="60"/>
      <c r="AG56" s="60"/>
      <c r="AH56" s="61"/>
      <c r="AI56" s="61"/>
      <c r="AJ56" s="61"/>
      <c r="AK56" s="61"/>
      <c r="AL56" s="61"/>
      <c r="AM56" s="60"/>
      <c r="AN56" s="61"/>
      <c r="AO56" s="61"/>
      <c r="AP56" s="60"/>
      <c r="AQ56" s="69"/>
      <c r="AR56" s="69"/>
      <c r="AS56" s="65"/>
    </row>
    <row r="57" spans="1:45" s="63" customFormat="1" ht="12.95" customHeight="1" x14ac:dyDescent="0.25">
      <c r="A57" s="41"/>
      <c r="B57" s="42" t="s">
        <v>15</v>
      </c>
      <c r="C57" s="67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3"/>
      <c r="AB57" s="43"/>
      <c r="AC57" s="43"/>
      <c r="AD57" s="43"/>
      <c r="AE57" s="43"/>
      <c r="AF57" s="43"/>
      <c r="AG57" s="43"/>
      <c r="AH57" s="44">
        <f>COUNTA(Mai!$C57:$AG57)</f>
        <v>0</v>
      </c>
      <c r="AI57" s="45">
        <f>(COUNTIFS(Mai!$C57:$AG57,("cp")))/2+Avril!AI57</f>
        <v>0</v>
      </c>
      <c r="AJ57" s="45">
        <f>COUNTIFS(Mai!$C57:$AG57,"RTT")/2+Avril!AJ57</f>
        <v>0</v>
      </c>
      <c r="AK57" s="45">
        <f>COUNTIFS(Mai!$C57:$AG57,"m")/2+Avril!AK57</f>
        <v>0</v>
      </c>
      <c r="AL57" s="45">
        <f>COUNTIFS(Mai!$C57:$AG57,"a")/2+Avril!AL57</f>
        <v>0</v>
      </c>
      <c r="AM57" s="46"/>
      <c r="AN57" s="47"/>
      <c r="AO57" s="47"/>
      <c r="AP57" s="46"/>
      <c r="AQ57" s="47"/>
      <c r="AR57" s="47"/>
      <c r="AS57" s="47"/>
    </row>
    <row r="58" spans="1:45" s="63" customFormat="1" ht="12.95" customHeight="1" x14ac:dyDescent="0.25">
      <c r="A58" s="48">
        <v>42975</v>
      </c>
      <c r="B58" s="42" t="s">
        <v>16</v>
      </c>
      <c r="C58" s="67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3"/>
      <c r="AB58" s="43"/>
      <c r="AC58" s="43"/>
      <c r="AD58" s="43"/>
      <c r="AE58" s="43"/>
      <c r="AF58" s="43"/>
      <c r="AG58" s="43"/>
      <c r="AH58" s="44">
        <f>COUNTA(Mai!$C58:$AG58)</f>
        <v>0</v>
      </c>
      <c r="AI58" s="45">
        <f>(COUNTIFS(Mai!$C58:$AG58,("cp")))/2+Avril!AI58</f>
        <v>0</v>
      </c>
      <c r="AJ58" s="45">
        <f>COUNTIFS(Mai!$C58:$AG58,"RTT")/2+Avril!AJ58</f>
        <v>0</v>
      </c>
      <c r="AK58" s="45">
        <f>COUNTIFS(Mai!$C58:$AG58,"m")/2+Avril!AK58</f>
        <v>0</v>
      </c>
      <c r="AL58" s="45">
        <f>COUNTIFS(Mai!$C58:$AG58,"a")/2+Avril!AL58</f>
        <v>0</v>
      </c>
      <c r="AM58" s="46"/>
      <c r="AN58" s="47"/>
      <c r="AO58" s="47"/>
      <c r="AP58" s="46"/>
      <c r="AQ58" s="47"/>
      <c r="AR58" s="47"/>
      <c r="AS58" s="101"/>
    </row>
    <row r="59" spans="1:45" s="63" customFormat="1" ht="12.95" customHeight="1" x14ac:dyDescent="0.25">
      <c r="A59" s="41"/>
      <c r="B59" s="116"/>
      <c r="C59" s="49" t="str">
        <f t="shared" ref="C59:AG59" si="17">IF(C57&gt;0,C57,IF(C58&gt;0,C58,""))</f>
        <v/>
      </c>
      <c r="D59" s="49" t="str">
        <f t="shared" si="17"/>
        <v/>
      </c>
      <c r="E59" s="49" t="str">
        <f t="shared" si="17"/>
        <v/>
      </c>
      <c r="F59" s="49" t="str">
        <f t="shared" si="17"/>
        <v/>
      </c>
      <c r="G59" s="49" t="str">
        <f t="shared" si="17"/>
        <v/>
      </c>
      <c r="H59" s="49" t="str">
        <f t="shared" si="17"/>
        <v/>
      </c>
      <c r="I59" s="49" t="str">
        <f t="shared" si="17"/>
        <v/>
      </c>
      <c r="J59" s="49" t="str">
        <f t="shared" si="17"/>
        <v/>
      </c>
      <c r="K59" s="49" t="str">
        <f t="shared" si="17"/>
        <v/>
      </c>
      <c r="L59" s="49" t="str">
        <f t="shared" si="17"/>
        <v/>
      </c>
      <c r="M59" s="49" t="str">
        <f t="shared" si="17"/>
        <v/>
      </c>
      <c r="N59" s="49" t="str">
        <f t="shared" si="17"/>
        <v/>
      </c>
      <c r="O59" s="49" t="str">
        <f t="shared" si="17"/>
        <v/>
      </c>
      <c r="P59" s="49" t="str">
        <f t="shared" si="17"/>
        <v/>
      </c>
      <c r="Q59" s="49" t="str">
        <f t="shared" si="17"/>
        <v/>
      </c>
      <c r="R59" s="49" t="str">
        <f t="shared" si="17"/>
        <v/>
      </c>
      <c r="S59" s="49" t="str">
        <f t="shared" si="17"/>
        <v/>
      </c>
      <c r="T59" s="49" t="str">
        <f t="shared" si="17"/>
        <v/>
      </c>
      <c r="U59" s="49" t="str">
        <f t="shared" si="17"/>
        <v/>
      </c>
      <c r="V59" s="49" t="str">
        <f t="shared" si="17"/>
        <v/>
      </c>
      <c r="W59" s="49" t="str">
        <f t="shared" si="17"/>
        <v/>
      </c>
      <c r="X59" s="49" t="str">
        <f t="shared" si="17"/>
        <v/>
      </c>
      <c r="Y59" s="49" t="str">
        <f t="shared" si="17"/>
        <v/>
      </c>
      <c r="Z59" s="49" t="str">
        <f t="shared" si="17"/>
        <v/>
      </c>
      <c r="AA59" s="49" t="str">
        <f t="shared" si="17"/>
        <v/>
      </c>
      <c r="AB59" s="49" t="str">
        <f t="shared" si="17"/>
        <v/>
      </c>
      <c r="AC59" s="49" t="str">
        <f t="shared" si="17"/>
        <v/>
      </c>
      <c r="AD59" s="49" t="str">
        <f t="shared" si="17"/>
        <v/>
      </c>
      <c r="AE59" s="49" t="str">
        <f t="shared" si="17"/>
        <v/>
      </c>
      <c r="AF59" s="49" t="str">
        <f t="shared" si="17"/>
        <v/>
      </c>
      <c r="AG59" s="49" t="str">
        <f t="shared" si="17"/>
        <v/>
      </c>
      <c r="AH59" s="44">
        <f>SUM(AH57:AH58)</f>
        <v>0</v>
      </c>
      <c r="AI59" s="45">
        <f>SUM(AI57:AI58)</f>
        <v>0</v>
      </c>
      <c r="AJ59" s="45">
        <f>SUM(AJ57:AJ58)</f>
        <v>0</v>
      </c>
      <c r="AK59" s="45">
        <f>SUM(AK57:AK58)</f>
        <v>0</v>
      </c>
      <c r="AL59" s="45">
        <f>SUM(AL57:AL58)</f>
        <v>0</v>
      </c>
      <c r="AM59" s="50">
        <v>0</v>
      </c>
      <c r="AN59" s="51">
        <f>IF(A58="","",IF(A58&gt;NomMois,0,IF(A58&lt;$A$3,2.08,(NETWORKDAYS(A58,$A$2)/21.66667)*2.08)))</f>
        <v>2.08</v>
      </c>
      <c r="AO59" s="51">
        <f>IF( AN59="",0,+AN59+Avril!AO59)</f>
        <v>19.103999940923089</v>
      </c>
      <c r="AP59" s="50">
        <f>IF(A58="","",IF(A58&gt;NomMois,0,IF(A58&lt;$A$3,1.5,(NETWORKDAYS(A58,$A$2)/21.66667)*1.5)))+Avril!AP59</f>
        <v>7.5</v>
      </c>
      <c r="AQ59" s="45">
        <f>+AM59-AI59</f>
        <v>0</v>
      </c>
      <c r="AR59" s="45">
        <f>+IF(AP59="","",AP59-AJ59)</f>
        <v>7.5</v>
      </c>
      <c r="AS59" s="102">
        <f t="shared" si="10"/>
        <v>19.103999940923089</v>
      </c>
    </row>
    <row r="60" spans="1:45" s="63" customFormat="1" ht="6.75" customHeight="1" x14ac:dyDescent="0.25">
      <c r="A60" s="60"/>
      <c r="B60" s="42"/>
      <c r="C60" s="64"/>
      <c r="D60" s="64"/>
      <c r="E60" s="64"/>
      <c r="F60" s="64"/>
      <c r="G60" s="64"/>
      <c r="H60" s="64"/>
      <c r="I60" s="64"/>
      <c r="J60" s="64"/>
      <c r="K60" s="64"/>
      <c r="L60" s="64"/>
      <c r="M60" s="64"/>
      <c r="N60" s="64"/>
      <c r="O60" s="64"/>
      <c r="P60" s="64"/>
      <c r="Q60" s="64"/>
      <c r="R60" s="64"/>
      <c r="S60" s="64"/>
      <c r="T60" s="64"/>
      <c r="U60" s="64"/>
      <c r="V60" s="64"/>
      <c r="W60" s="64"/>
      <c r="X60" s="64"/>
      <c r="Y60" s="64"/>
      <c r="Z60" s="64"/>
      <c r="AA60" s="64"/>
      <c r="AB60" s="64"/>
      <c r="AC60" s="64"/>
      <c r="AD60" s="64"/>
      <c r="AE60" s="64"/>
      <c r="AF60" s="64"/>
      <c r="AG60" s="64"/>
      <c r="AH60" s="65"/>
      <c r="AI60" s="65"/>
      <c r="AJ60" s="65"/>
      <c r="AK60" s="65"/>
      <c r="AL60" s="65"/>
      <c r="AM60" s="64"/>
      <c r="AN60" s="65"/>
      <c r="AO60" s="65"/>
      <c r="AP60" s="64"/>
      <c r="AQ60" s="69"/>
      <c r="AR60" s="69"/>
      <c r="AS60" s="65"/>
    </row>
    <row r="61" spans="1:45" s="63" customFormat="1" ht="12.95" customHeight="1" x14ac:dyDescent="0.25">
      <c r="A61" s="41"/>
      <c r="B61" s="42" t="s">
        <v>15</v>
      </c>
      <c r="C61" s="67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  <c r="AA61" s="43"/>
      <c r="AB61" s="43"/>
      <c r="AC61" s="43"/>
      <c r="AD61" s="43"/>
      <c r="AE61" s="43"/>
      <c r="AF61" s="43"/>
      <c r="AG61" s="43"/>
      <c r="AH61" s="44">
        <f>COUNTA(Mai!$C61:$AG61)</f>
        <v>0</v>
      </c>
      <c r="AI61" s="45">
        <f>(COUNTIFS(Mai!$C61:$AG61,("cp")))/2+Avril!AI61</f>
        <v>10</v>
      </c>
      <c r="AJ61" s="45">
        <f>COUNTIFS(Mai!$C61:$AG61,"RTT")/2+Avril!AJ61</f>
        <v>0</v>
      </c>
      <c r="AK61" s="45">
        <f>COUNTIFS(Mai!$C61:$AG61,"m")/2+Avril!AK61</f>
        <v>0</v>
      </c>
      <c r="AL61" s="45">
        <f>COUNTIFS(Mai!$C61:$AG61,"a")/2+Avril!AL61</f>
        <v>0</v>
      </c>
      <c r="AM61" s="46"/>
      <c r="AN61" s="47"/>
      <c r="AO61" s="47"/>
      <c r="AP61" s="46"/>
      <c r="AQ61" s="47"/>
      <c r="AR61" s="47"/>
      <c r="AS61" s="47"/>
    </row>
    <row r="62" spans="1:45" s="63" customFormat="1" ht="12.95" customHeight="1" x14ac:dyDescent="0.25">
      <c r="A62" s="48">
        <v>42646</v>
      </c>
      <c r="B62" s="42" t="s">
        <v>16</v>
      </c>
      <c r="C62" s="67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  <c r="AA62" s="43"/>
      <c r="AB62" s="43"/>
      <c r="AC62" s="43"/>
      <c r="AD62" s="43"/>
      <c r="AE62" s="43"/>
      <c r="AF62" s="43"/>
      <c r="AG62" s="43"/>
      <c r="AH62" s="44">
        <f>COUNTA(Mai!$C62:$AG62)</f>
        <v>0</v>
      </c>
      <c r="AI62" s="45">
        <f>(COUNTIFS(Mai!$C62:$AG62,("cp")))/2+Avril!AI62</f>
        <v>10</v>
      </c>
      <c r="AJ62" s="45">
        <f>COUNTIFS(Mai!$C62:$AG62,"RTT")/2+Avril!AJ62</f>
        <v>0</v>
      </c>
      <c r="AK62" s="45">
        <f>COUNTIFS(Mai!$C62:$AG62,"m")/2+Avril!AK62</f>
        <v>0</v>
      </c>
      <c r="AL62" s="45">
        <f>COUNTIFS(Mai!$C62:$AG62,"a")/2+Avril!AL62</f>
        <v>0</v>
      </c>
      <c r="AM62" s="46"/>
      <c r="AN62" s="47"/>
      <c r="AO62" s="47"/>
      <c r="AP62" s="46"/>
      <c r="AQ62" s="47"/>
      <c r="AR62" s="47"/>
      <c r="AS62" s="101"/>
    </row>
    <row r="63" spans="1:45" s="63" customFormat="1" ht="12.95" customHeight="1" x14ac:dyDescent="0.25">
      <c r="A63" s="41"/>
      <c r="B63" s="42"/>
      <c r="C63" s="49" t="str">
        <f t="shared" ref="C63:AG63" si="18">IF(C61&gt;0,C61,IF(C62&gt;0,C62,""))</f>
        <v/>
      </c>
      <c r="D63" s="49" t="str">
        <f t="shared" si="18"/>
        <v/>
      </c>
      <c r="E63" s="49" t="str">
        <f t="shared" si="18"/>
        <v/>
      </c>
      <c r="F63" s="49" t="str">
        <f t="shared" si="18"/>
        <v/>
      </c>
      <c r="G63" s="49" t="str">
        <f t="shared" si="18"/>
        <v/>
      </c>
      <c r="H63" s="49" t="str">
        <f t="shared" si="18"/>
        <v/>
      </c>
      <c r="I63" s="49" t="str">
        <f t="shared" si="18"/>
        <v/>
      </c>
      <c r="J63" s="49" t="str">
        <f t="shared" si="18"/>
        <v/>
      </c>
      <c r="K63" s="49" t="str">
        <f t="shared" si="18"/>
        <v/>
      </c>
      <c r="L63" s="49" t="str">
        <f t="shared" si="18"/>
        <v/>
      </c>
      <c r="M63" s="49" t="str">
        <f t="shared" si="18"/>
        <v/>
      </c>
      <c r="N63" s="49" t="str">
        <f t="shared" si="18"/>
        <v/>
      </c>
      <c r="O63" s="49" t="str">
        <f t="shared" si="18"/>
        <v/>
      </c>
      <c r="P63" s="49" t="str">
        <f t="shared" si="18"/>
        <v/>
      </c>
      <c r="Q63" s="49" t="str">
        <f t="shared" si="18"/>
        <v/>
      </c>
      <c r="R63" s="49" t="str">
        <f t="shared" si="18"/>
        <v/>
      </c>
      <c r="S63" s="49" t="str">
        <f t="shared" si="18"/>
        <v/>
      </c>
      <c r="T63" s="49" t="str">
        <f t="shared" si="18"/>
        <v/>
      </c>
      <c r="U63" s="49" t="str">
        <f t="shared" si="18"/>
        <v/>
      </c>
      <c r="V63" s="49" t="str">
        <f t="shared" si="18"/>
        <v/>
      </c>
      <c r="W63" s="49" t="str">
        <f t="shared" si="18"/>
        <v/>
      </c>
      <c r="X63" s="49" t="str">
        <f t="shared" si="18"/>
        <v/>
      </c>
      <c r="Y63" s="49" t="str">
        <f t="shared" si="18"/>
        <v/>
      </c>
      <c r="Z63" s="49" t="str">
        <f t="shared" si="18"/>
        <v/>
      </c>
      <c r="AA63" s="49" t="str">
        <f t="shared" si="18"/>
        <v/>
      </c>
      <c r="AB63" s="49" t="str">
        <f t="shared" si="18"/>
        <v/>
      </c>
      <c r="AC63" s="49" t="str">
        <f t="shared" si="18"/>
        <v/>
      </c>
      <c r="AD63" s="49" t="str">
        <f t="shared" si="18"/>
        <v/>
      </c>
      <c r="AE63" s="49" t="str">
        <f t="shared" si="18"/>
        <v/>
      </c>
      <c r="AF63" s="49" t="str">
        <f t="shared" si="18"/>
        <v/>
      </c>
      <c r="AG63" s="49" t="str">
        <f t="shared" si="18"/>
        <v/>
      </c>
      <c r="AH63" s="44">
        <f>SUM(AH61:AH62)</f>
        <v>0</v>
      </c>
      <c r="AI63" s="45">
        <f>SUM(AI61:AI62)</f>
        <v>20</v>
      </c>
      <c r="AJ63" s="45">
        <f>SUM(AJ61:AJ62)</f>
        <v>0</v>
      </c>
      <c r="AK63" s="45">
        <f>SUM(AK61:AK62)</f>
        <v>0</v>
      </c>
      <c r="AL63" s="45">
        <f>SUM(AL61:AL62)</f>
        <v>0</v>
      </c>
      <c r="AM63" s="50">
        <f>Juin!AM63</f>
        <v>16.64</v>
      </c>
      <c r="AN63" s="51">
        <f>IF(A62="","",IF(A62&gt;NomMois,0,IF(A62&lt;$A$3,2.08,(NETWORKDAYS(A62,$A$2)/21.66667)*2.08)))</f>
        <v>2.08</v>
      </c>
      <c r="AO63" s="51">
        <f>IF( AN63="",0,+AN63+Avril!AO63)</f>
        <v>24.959999999999994</v>
      </c>
      <c r="AP63" s="50">
        <f>IF(A62="","",IF(A62&gt;NomMois,0,IF(A62&lt;$A$3,1.5,(NETWORKDAYS(A62,$A$2)/21.66667)*1.5)))+Avril!AP63</f>
        <v>7.5</v>
      </c>
      <c r="AQ63" s="45">
        <f>+AM63-AI63</f>
        <v>-3.3599999999999994</v>
      </c>
      <c r="AR63" s="45">
        <f>+IF(AP63="","",AP63-AJ63)</f>
        <v>7.5</v>
      </c>
      <c r="AS63" s="102">
        <f t="shared" si="10"/>
        <v>21.599999999999994</v>
      </c>
    </row>
    <row r="64" spans="1:45" s="63" customFormat="1" ht="6.75" customHeight="1" x14ac:dyDescent="0.25">
      <c r="A64" s="60"/>
      <c r="B64" s="53"/>
      <c r="C64" s="60"/>
      <c r="D64" s="60"/>
      <c r="E64" s="60"/>
      <c r="F64" s="60"/>
      <c r="G64" s="60"/>
      <c r="H64" s="60"/>
      <c r="I64" s="60"/>
      <c r="J64" s="60"/>
      <c r="K64" s="60"/>
      <c r="L64" s="60"/>
      <c r="M64" s="60"/>
      <c r="N64" s="60"/>
      <c r="O64" s="60"/>
      <c r="P64" s="60"/>
      <c r="Q64" s="60"/>
      <c r="R64" s="60"/>
      <c r="S64" s="60"/>
      <c r="T64" s="60"/>
      <c r="U64" s="60"/>
      <c r="V64" s="60"/>
      <c r="W64" s="60"/>
      <c r="X64" s="60"/>
      <c r="Y64" s="60"/>
      <c r="Z64" s="60"/>
      <c r="AA64" s="60"/>
      <c r="AB64" s="60"/>
      <c r="AC64" s="60"/>
      <c r="AD64" s="60"/>
      <c r="AE64" s="60"/>
      <c r="AF64" s="60"/>
      <c r="AG64" s="60"/>
      <c r="AH64" s="61">
        <v>0</v>
      </c>
      <c r="AI64" s="61">
        <v>0</v>
      </c>
      <c r="AJ64" s="61">
        <v>0</v>
      </c>
      <c r="AK64" s="61">
        <v>0</v>
      </c>
      <c r="AL64" s="61">
        <v>0</v>
      </c>
      <c r="AM64" s="60"/>
      <c r="AN64" s="61"/>
      <c r="AO64" s="61"/>
      <c r="AP64" s="60"/>
      <c r="AQ64" s="69"/>
      <c r="AR64" s="69"/>
      <c r="AS64" s="65"/>
    </row>
    <row r="65" spans="1:45" s="63" customFormat="1" ht="12.95" customHeight="1" x14ac:dyDescent="0.25">
      <c r="A65" s="41"/>
      <c r="B65" s="42" t="s">
        <v>15</v>
      </c>
      <c r="C65" s="67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  <c r="W65" s="43"/>
      <c r="X65" s="43"/>
      <c r="Y65" s="43"/>
      <c r="Z65" s="43"/>
      <c r="AA65" s="43"/>
      <c r="AB65" s="43"/>
      <c r="AC65" s="43"/>
      <c r="AD65" s="43"/>
      <c r="AE65" s="43"/>
      <c r="AF65" s="43"/>
      <c r="AG65" s="43"/>
      <c r="AH65" s="44">
        <f>COUNTA(Mai!$C65:$AG65)</f>
        <v>0</v>
      </c>
      <c r="AI65" s="45">
        <f>(COUNTIFS(Mai!$C65:$AG65,("cp")))/2+Avril!AI65</f>
        <v>8</v>
      </c>
      <c r="AJ65" s="45">
        <f>COUNTIFS(Mai!$C65:$AG65,"RTT")/2+Avril!AJ65</f>
        <v>0</v>
      </c>
      <c r="AK65" s="45">
        <f>COUNTIFS(Mai!$C65:$AG65,"m")/2+Avril!AK65</f>
        <v>0</v>
      </c>
      <c r="AL65" s="45">
        <f>COUNTIFS(Mai!$C65:$AG65,"a")/2+Avril!AL65</f>
        <v>0</v>
      </c>
      <c r="AM65" s="46"/>
      <c r="AN65" s="47"/>
      <c r="AO65" s="47"/>
      <c r="AP65" s="46"/>
      <c r="AQ65" s="47"/>
      <c r="AR65" s="47"/>
      <c r="AS65" s="47"/>
    </row>
    <row r="66" spans="1:45" s="63" customFormat="1" ht="12.95" customHeight="1" x14ac:dyDescent="0.25">
      <c r="A66" s="48">
        <v>42410</v>
      </c>
      <c r="B66" s="42" t="s">
        <v>16</v>
      </c>
      <c r="C66" s="67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3"/>
      <c r="T66" s="43"/>
      <c r="U66" s="43"/>
      <c r="V66" s="43"/>
      <c r="W66" s="43"/>
      <c r="X66" s="43"/>
      <c r="Y66" s="43"/>
      <c r="Z66" s="43"/>
      <c r="AA66" s="43"/>
      <c r="AB66" s="43"/>
      <c r="AC66" s="43"/>
      <c r="AD66" s="43"/>
      <c r="AE66" s="43"/>
      <c r="AF66" s="43"/>
      <c r="AG66" s="43"/>
      <c r="AH66" s="44">
        <f>COUNTA(Mai!$C66:$AG66)</f>
        <v>0</v>
      </c>
      <c r="AI66" s="45">
        <f>(COUNTIFS(Mai!$C66:$AG66,("cp")))/2+Avril!AI66</f>
        <v>8</v>
      </c>
      <c r="AJ66" s="45">
        <f>COUNTIFS(Mai!$C66:$AG66,"RTT")/2+Avril!AJ66</f>
        <v>0</v>
      </c>
      <c r="AK66" s="45">
        <f>COUNTIFS(Mai!$C66:$AG66,"m")/2+Avril!AK66</f>
        <v>0</v>
      </c>
      <c r="AL66" s="45">
        <f>COUNTIFS(Mai!$C66:$AG66,"a")/2+Avril!AL66</f>
        <v>0</v>
      </c>
      <c r="AM66" s="46"/>
      <c r="AN66" s="47"/>
      <c r="AO66" s="47"/>
      <c r="AP66" s="46"/>
      <c r="AQ66" s="47"/>
      <c r="AR66" s="47"/>
      <c r="AS66" s="101"/>
    </row>
    <row r="67" spans="1:45" s="63" customFormat="1" ht="12.95" customHeight="1" x14ac:dyDescent="0.25">
      <c r="A67" s="41"/>
      <c r="B67" s="42"/>
      <c r="C67" s="49" t="str">
        <f t="shared" ref="C67:AG67" si="19">IF(C65&gt;0,C65,IF(C66&gt;0,C66,""))</f>
        <v/>
      </c>
      <c r="D67" s="49" t="str">
        <f t="shared" si="19"/>
        <v/>
      </c>
      <c r="E67" s="49" t="str">
        <f t="shared" si="19"/>
        <v/>
      </c>
      <c r="F67" s="49" t="str">
        <f t="shared" si="19"/>
        <v/>
      </c>
      <c r="G67" s="49" t="str">
        <f t="shared" si="19"/>
        <v/>
      </c>
      <c r="H67" s="49" t="str">
        <f t="shared" si="19"/>
        <v/>
      </c>
      <c r="I67" s="49" t="str">
        <f t="shared" si="19"/>
        <v/>
      </c>
      <c r="J67" s="49" t="str">
        <f t="shared" si="19"/>
        <v/>
      </c>
      <c r="K67" s="49" t="str">
        <f t="shared" si="19"/>
        <v/>
      </c>
      <c r="L67" s="49" t="str">
        <f t="shared" si="19"/>
        <v/>
      </c>
      <c r="M67" s="49" t="str">
        <f t="shared" si="19"/>
        <v/>
      </c>
      <c r="N67" s="49" t="str">
        <f t="shared" si="19"/>
        <v/>
      </c>
      <c r="O67" s="49" t="str">
        <f t="shared" si="19"/>
        <v/>
      </c>
      <c r="P67" s="49" t="str">
        <f t="shared" si="19"/>
        <v/>
      </c>
      <c r="Q67" s="49" t="str">
        <f t="shared" si="19"/>
        <v/>
      </c>
      <c r="R67" s="49" t="str">
        <f t="shared" si="19"/>
        <v/>
      </c>
      <c r="S67" s="49" t="str">
        <f t="shared" si="19"/>
        <v/>
      </c>
      <c r="T67" s="49" t="str">
        <f t="shared" si="19"/>
        <v/>
      </c>
      <c r="U67" s="49" t="str">
        <f t="shared" si="19"/>
        <v/>
      </c>
      <c r="V67" s="49" t="str">
        <f t="shared" si="19"/>
        <v/>
      </c>
      <c r="W67" s="49" t="str">
        <f t="shared" si="19"/>
        <v/>
      </c>
      <c r="X67" s="49" t="str">
        <f t="shared" si="19"/>
        <v/>
      </c>
      <c r="Y67" s="49" t="str">
        <f t="shared" si="19"/>
        <v/>
      </c>
      <c r="Z67" s="49" t="str">
        <f t="shared" si="19"/>
        <v/>
      </c>
      <c r="AA67" s="49" t="str">
        <f t="shared" si="19"/>
        <v/>
      </c>
      <c r="AB67" s="49" t="str">
        <f t="shared" si="19"/>
        <v/>
      </c>
      <c r="AC67" s="49" t="str">
        <f t="shared" si="19"/>
        <v/>
      </c>
      <c r="AD67" s="49" t="str">
        <f t="shared" si="19"/>
        <v/>
      </c>
      <c r="AE67" s="49" t="str">
        <f t="shared" si="19"/>
        <v/>
      </c>
      <c r="AF67" s="49" t="str">
        <f t="shared" si="19"/>
        <v/>
      </c>
      <c r="AG67" s="49" t="str">
        <f t="shared" si="19"/>
        <v/>
      </c>
      <c r="AH67" s="44">
        <f>SUM(AH65:AH66)</f>
        <v>0</v>
      </c>
      <c r="AI67" s="45">
        <f>SUM(AI65:AI66)</f>
        <v>16</v>
      </c>
      <c r="AJ67" s="45">
        <f>SUM(AJ65:AJ66)</f>
        <v>0</v>
      </c>
      <c r="AK67" s="45">
        <f>SUM(AK65:AK66)</f>
        <v>0</v>
      </c>
      <c r="AL67" s="45">
        <f>SUM(AL65:AL66)</f>
        <v>0</v>
      </c>
      <c r="AM67" s="50">
        <f>Juin!AM67</f>
        <v>22.46</v>
      </c>
      <c r="AN67" s="51">
        <f>IF(A66="","",IF(A66&gt;NomMois,0,IF(A66&lt;$A$3,2.08,(NETWORKDAYS(A66,$A$2)/21.66667)*2.08)))</f>
        <v>2.08</v>
      </c>
      <c r="AO67" s="51">
        <f>IF( AN67="",0,+AN67+Avril!AO67)</f>
        <v>24.959999999999994</v>
      </c>
      <c r="AP67" s="50">
        <f>IF(A66="","",IF(A66&gt;NomMois,0,IF(A66&lt;$A$3,1.5,(NETWORKDAYS(A66,$A$2)/21.66667)*1.5)))+Avril!AP67</f>
        <v>7.5</v>
      </c>
      <c r="AQ67" s="45">
        <f>+AM67-AI67</f>
        <v>6.4600000000000009</v>
      </c>
      <c r="AR67" s="45">
        <f>+IF(AP67="","",AP67-AJ67)</f>
        <v>7.5</v>
      </c>
      <c r="AS67" s="102">
        <f t="shared" si="10"/>
        <v>31.419999999999995</v>
      </c>
    </row>
    <row r="68" spans="1:45" s="63" customFormat="1" ht="6.75" customHeight="1" x14ac:dyDescent="0.25">
      <c r="A68" s="64"/>
      <c r="B68" s="42"/>
      <c r="C68" s="64"/>
      <c r="D68" s="64"/>
      <c r="E68" s="64"/>
      <c r="F68" s="64"/>
      <c r="G68" s="64"/>
      <c r="H68" s="64"/>
      <c r="I68" s="64"/>
      <c r="J68" s="64"/>
      <c r="K68" s="64"/>
      <c r="L68" s="64"/>
      <c r="M68" s="64"/>
      <c r="N68" s="64"/>
      <c r="O68" s="64"/>
      <c r="P68" s="64"/>
      <c r="Q68" s="64"/>
      <c r="R68" s="64"/>
      <c r="S68" s="64"/>
      <c r="T68" s="64"/>
      <c r="U68" s="64"/>
      <c r="V68" s="64"/>
      <c r="W68" s="64"/>
      <c r="X68" s="64"/>
      <c r="Y68" s="64"/>
      <c r="Z68" s="64"/>
      <c r="AA68" s="64"/>
      <c r="AB68" s="64"/>
      <c r="AC68" s="64"/>
      <c r="AD68" s="64"/>
      <c r="AE68" s="64"/>
      <c r="AF68" s="64"/>
      <c r="AG68" s="64"/>
      <c r="AH68" s="65"/>
      <c r="AI68" s="65"/>
      <c r="AJ68" s="65"/>
      <c r="AK68" s="65"/>
      <c r="AL68" s="65"/>
      <c r="AM68" s="64"/>
      <c r="AN68" s="65"/>
      <c r="AO68" s="65"/>
      <c r="AP68" s="64"/>
      <c r="AQ68" s="69"/>
      <c r="AR68" s="69"/>
      <c r="AS68" s="65"/>
    </row>
    <row r="69" spans="1:45" s="63" customFormat="1" ht="12.95" customHeight="1" x14ac:dyDescent="0.25">
      <c r="A69" s="41"/>
      <c r="B69" s="42" t="s">
        <v>15</v>
      </c>
      <c r="C69" s="67"/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43"/>
      <c r="AA69" s="43"/>
      <c r="AB69" s="43"/>
      <c r="AC69" s="43"/>
      <c r="AD69" s="43"/>
      <c r="AE69" s="43"/>
      <c r="AF69" s="43"/>
      <c r="AG69" s="43"/>
      <c r="AH69" s="44">
        <f>COUNTA(Mai!$C69:$AG69)</f>
        <v>0</v>
      </c>
      <c r="AI69" s="45">
        <f>(COUNTIFS(Mai!$C69:$AG69,("cp")))/2+Avril!AI69</f>
        <v>14</v>
      </c>
      <c r="AJ69" s="45">
        <f>COUNTIFS(Mai!$C69:$AG69,"RTT")/2+Avril!AJ69</f>
        <v>0</v>
      </c>
      <c r="AK69" s="45">
        <f>COUNTIFS(Mai!$C69:$AG69,"m")/2+Avril!AK69</f>
        <v>0</v>
      </c>
      <c r="AL69" s="45">
        <f>COUNTIFS(Mai!$C69:$AG69,"a")/2+Avril!AL69</f>
        <v>2</v>
      </c>
      <c r="AM69" s="46"/>
      <c r="AN69" s="47"/>
      <c r="AO69" s="47"/>
      <c r="AP69" s="46"/>
      <c r="AQ69" s="47"/>
      <c r="AR69" s="47"/>
      <c r="AS69" s="47"/>
    </row>
    <row r="70" spans="1:45" s="63" customFormat="1" ht="12.95" customHeight="1" x14ac:dyDescent="0.25">
      <c r="A70" s="48">
        <v>41701</v>
      </c>
      <c r="B70" s="42" t="s">
        <v>16</v>
      </c>
      <c r="C70" s="67"/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  <c r="S70" s="43"/>
      <c r="T70" s="43"/>
      <c r="U70" s="43"/>
      <c r="V70" s="43"/>
      <c r="W70" s="43"/>
      <c r="X70" s="43"/>
      <c r="Y70" s="43"/>
      <c r="Z70" s="43"/>
      <c r="AA70" s="43"/>
      <c r="AB70" s="43"/>
      <c r="AC70" s="43"/>
      <c r="AD70" s="43"/>
      <c r="AE70" s="43"/>
      <c r="AF70" s="43"/>
      <c r="AG70" s="43"/>
      <c r="AH70" s="44">
        <f>COUNTA(Mai!$C70:$AG70)</f>
        <v>0</v>
      </c>
      <c r="AI70" s="45">
        <f>(COUNTIFS(Mai!$C70:$AG70,("cp")))/2+Avril!AI70</f>
        <v>14</v>
      </c>
      <c r="AJ70" s="45">
        <f>COUNTIFS(Mai!$C70:$AG70,"RTT")/2+Avril!AJ70</f>
        <v>0</v>
      </c>
      <c r="AK70" s="45">
        <f>COUNTIFS(Mai!$C70:$AG70,"m")/2+Avril!AK70</f>
        <v>0</v>
      </c>
      <c r="AL70" s="45">
        <f>COUNTIFS(Mai!$C70:$AG70,"a")/2+Avril!AL70</f>
        <v>2</v>
      </c>
      <c r="AM70" s="46"/>
      <c r="AN70" s="47"/>
      <c r="AO70" s="47"/>
      <c r="AP70" s="46"/>
      <c r="AQ70" s="47"/>
      <c r="AR70" s="47"/>
      <c r="AS70" s="101"/>
    </row>
    <row r="71" spans="1:45" s="63" customFormat="1" ht="12.95" customHeight="1" x14ac:dyDescent="0.25">
      <c r="A71" s="41"/>
      <c r="B71" s="42"/>
      <c r="C71" s="49" t="str">
        <f t="shared" ref="C71:AG71" si="20">IF(C69&gt;0,C69,IF(C70&gt;0,C70,""))</f>
        <v/>
      </c>
      <c r="D71" s="49" t="str">
        <f t="shared" si="20"/>
        <v/>
      </c>
      <c r="E71" s="49" t="str">
        <f t="shared" si="20"/>
        <v/>
      </c>
      <c r="F71" s="49" t="str">
        <f t="shared" si="20"/>
        <v/>
      </c>
      <c r="G71" s="49" t="str">
        <f t="shared" si="20"/>
        <v/>
      </c>
      <c r="H71" s="49" t="str">
        <f t="shared" si="20"/>
        <v/>
      </c>
      <c r="I71" s="49" t="str">
        <f t="shared" si="20"/>
        <v/>
      </c>
      <c r="J71" s="49" t="str">
        <f t="shared" si="20"/>
        <v/>
      </c>
      <c r="K71" s="49" t="str">
        <f t="shared" si="20"/>
        <v/>
      </c>
      <c r="L71" s="49" t="str">
        <f t="shared" si="20"/>
        <v/>
      </c>
      <c r="M71" s="49" t="str">
        <f t="shared" si="20"/>
        <v/>
      </c>
      <c r="N71" s="49" t="str">
        <f t="shared" si="20"/>
        <v/>
      </c>
      <c r="O71" s="49" t="str">
        <f t="shared" si="20"/>
        <v/>
      </c>
      <c r="P71" s="49" t="str">
        <f t="shared" si="20"/>
        <v/>
      </c>
      <c r="Q71" s="49" t="str">
        <f t="shared" si="20"/>
        <v/>
      </c>
      <c r="R71" s="49" t="str">
        <f t="shared" si="20"/>
        <v/>
      </c>
      <c r="S71" s="49" t="str">
        <f t="shared" si="20"/>
        <v/>
      </c>
      <c r="T71" s="49" t="str">
        <f t="shared" si="20"/>
        <v/>
      </c>
      <c r="U71" s="49" t="str">
        <f t="shared" si="20"/>
        <v/>
      </c>
      <c r="V71" s="49" t="str">
        <f t="shared" si="20"/>
        <v/>
      </c>
      <c r="W71" s="49" t="str">
        <f t="shared" si="20"/>
        <v/>
      </c>
      <c r="X71" s="49" t="str">
        <f t="shared" si="20"/>
        <v/>
      </c>
      <c r="Y71" s="49" t="str">
        <f t="shared" si="20"/>
        <v/>
      </c>
      <c r="Z71" s="49" t="str">
        <f t="shared" si="20"/>
        <v/>
      </c>
      <c r="AA71" s="49" t="str">
        <f t="shared" si="20"/>
        <v/>
      </c>
      <c r="AB71" s="49" t="str">
        <f t="shared" si="20"/>
        <v/>
      </c>
      <c r="AC71" s="49" t="str">
        <f t="shared" si="20"/>
        <v/>
      </c>
      <c r="AD71" s="49" t="str">
        <f t="shared" si="20"/>
        <v/>
      </c>
      <c r="AE71" s="49" t="str">
        <f t="shared" si="20"/>
        <v/>
      </c>
      <c r="AF71" s="49" t="str">
        <f t="shared" si="20"/>
        <v/>
      </c>
      <c r="AG71" s="49" t="str">
        <f t="shared" si="20"/>
        <v/>
      </c>
      <c r="AH71" s="44">
        <f>SUM(AH69:AH70)</f>
        <v>0</v>
      </c>
      <c r="AI71" s="45">
        <f>SUM(AI69:AI70)</f>
        <v>28</v>
      </c>
      <c r="AJ71" s="45">
        <f>SUM(AJ69:AJ70)</f>
        <v>0</v>
      </c>
      <c r="AK71" s="45">
        <f>SUM(AK69:AK70)</f>
        <v>0</v>
      </c>
      <c r="AL71" s="45">
        <f>SUM(AL69:AL70)</f>
        <v>4</v>
      </c>
      <c r="AM71" s="50">
        <f>Juin!AM71</f>
        <v>45.34</v>
      </c>
      <c r="AN71" s="51">
        <f>IF(A70="","",IF(A70&gt;NomMois,0,IF(A70&lt;$A$3,2.08,(NETWORKDAYS(A70,$A$2)/21.66667)*2.08)))</f>
        <v>2.08</v>
      </c>
      <c r="AO71" s="51">
        <f>IF( AN71="",0,+AN71+Avril!AO71)</f>
        <v>24.959999999999994</v>
      </c>
      <c r="AP71" s="50">
        <f>IF(A70="","",IF(A70&gt;NomMois,0,IF(A70&lt;$A$3,1.5,(NETWORKDAYS(A70,$A$2)/21.66667)*1.5)))+Avril!AP71</f>
        <v>7.5</v>
      </c>
      <c r="AQ71" s="45">
        <f>+AM71-AI71</f>
        <v>17.340000000000003</v>
      </c>
      <c r="AR71" s="45">
        <f>+IF(AP71="","",AP71-AJ71)</f>
        <v>7.5</v>
      </c>
      <c r="AS71" s="102">
        <f t="shared" si="10"/>
        <v>42.3</v>
      </c>
    </row>
    <row r="72" spans="1:45" s="63" customFormat="1" ht="6.75" customHeight="1" x14ac:dyDescent="0.25">
      <c r="A72" s="60"/>
      <c r="B72" s="53"/>
      <c r="C72" s="60"/>
      <c r="D72" s="60"/>
      <c r="E72" s="60"/>
      <c r="F72" s="60"/>
      <c r="G72" s="60"/>
      <c r="H72" s="60"/>
      <c r="I72" s="60"/>
      <c r="J72" s="60"/>
      <c r="K72" s="60"/>
      <c r="L72" s="60"/>
      <c r="M72" s="60"/>
      <c r="N72" s="60"/>
      <c r="O72" s="60"/>
      <c r="P72" s="60"/>
      <c r="Q72" s="60"/>
      <c r="R72" s="60"/>
      <c r="S72" s="60"/>
      <c r="T72" s="60"/>
      <c r="U72" s="60"/>
      <c r="V72" s="60"/>
      <c r="W72" s="60"/>
      <c r="X72" s="60"/>
      <c r="Y72" s="60"/>
      <c r="Z72" s="60"/>
      <c r="AA72" s="60"/>
      <c r="AB72" s="60"/>
      <c r="AC72" s="60"/>
      <c r="AD72" s="60"/>
      <c r="AE72" s="60"/>
      <c r="AF72" s="60"/>
      <c r="AG72" s="60"/>
      <c r="AH72" s="61"/>
      <c r="AI72" s="61"/>
      <c r="AJ72" s="61"/>
      <c r="AK72" s="61"/>
      <c r="AL72" s="61"/>
      <c r="AM72" s="60"/>
      <c r="AN72" s="61"/>
      <c r="AO72" s="61"/>
      <c r="AP72" s="60"/>
      <c r="AQ72" s="69"/>
      <c r="AR72" s="69"/>
      <c r="AS72" s="65"/>
    </row>
    <row r="73" spans="1:45" s="63" customFormat="1" ht="12.95" customHeight="1" x14ac:dyDescent="0.25">
      <c r="A73" s="41"/>
      <c r="B73" s="42" t="s">
        <v>15</v>
      </c>
      <c r="C73" s="67"/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43"/>
      <c r="AH73" s="44">
        <f>COUNTA(Mai!$C73:$AG73)</f>
        <v>0</v>
      </c>
      <c r="AI73" s="45">
        <f>(COUNTIFS(Mai!$C73:$AG73,("cp")))/2+Avril!AI73</f>
        <v>0</v>
      </c>
      <c r="AJ73" s="45">
        <f>COUNTIFS(Mai!$C73:$AG73,"RTT")/2+Avril!AJ73</f>
        <v>0</v>
      </c>
      <c r="AK73" s="45">
        <f>COUNTIFS(Mai!$C73:$AG73,"m")/2+Avril!AK73</f>
        <v>0</v>
      </c>
      <c r="AL73" s="45">
        <f>COUNTIFS(Mai!$C73:$AG73,"a")/2+Avril!AL73</f>
        <v>0</v>
      </c>
      <c r="AM73" s="46"/>
      <c r="AN73" s="47"/>
      <c r="AO73" s="47"/>
      <c r="AP73" s="46"/>
      <c r="AQ73" s="47"/>
      <c r="AR73" s="47"/>
      <c r="AS73" s="47"/>
    </row>
    <row r="74" spans="1:45" s="63" customFormat="1" ht="12.95" customHeight="1" x14ac:dyDescent="0.25">
      <c r="A74" s="48">
        <v>42979</v>
      </c>
      <c r="B74" s="42" t="s">
        <v>16</v>
      </c>
      <c r="C74" s="67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43"/>
      <c r="AH74" s="44">
        <f>COUNTA(Mai!$C74:$AG74)</f>
        <v>0</v>
      </c>
      <c r="AI74" s="45">
        <f>(COUNTIFS(Mai!$C74:$AG74,("cp")))/2+Avril!AI74</f>
        <v>0</v>
      </c>
      <c r="AJ74" s="45">
        <f>COUNTIFS(Mai!$C74:$AG74,"RTT")/2+Avril!AJ74</f>
        <v>0</v>
      </c>
      <c r="AK74" s="45">
        <f>COUNTIFS(Mai!$C74:$AG74,"m")/2+Avril!AK74</f>
        <v>0</v>
      </c>
      <c r="AL74" s="45">
        <f>COUNTIFS(Mai!$C74:$AG74,"a")/2+Avril!AL74</f>
        <v>0</v>
      </c>
      <c r="AM74" s="46"/>
      <c r="AN74" s="47"/>
      <c r="AO74" s="47"/>
      <c r="AP74" s="46"/>
      <c r="AQ74" s="47"/>
      <c r="AR74" s="47"/>
      <c r="AS74" s="101"/>
    </row>
    <row r="75" spans="1:45" s="63" customFormat="1" ht="12.95" customHeight="1" x14ac:dyDescent="0.25">
      <c r="A75" s="41"/>
      <c r="B75" s="42"/>
      <c r="C75" s="49" t="str">
        <f t="shared" ref="C75:AG75" si="21">IF(C73&gt;0,C73,IF(C74&gt;0,C74,""))</f>
        <v/>
      </c>
      <c r="D75" s="49" t="str">
        <f t="shared" si="21"/>
        <v/>
      </c>
      <c r="E75" s="49" t="str">
        <f t="shared" si="21"/>
        <v/>
      </c>
      <c r="F75" s="49" t="str">
        <f t="shared" si="21"/>
        <v/>
      </c>
      <c r="G75" s="49" t="str">
        <f t="shared" si="21"/>
        <v/>
      </c>
      <c r="H75" s="49" t="str">
        <f t="shared" si="21"/>
        <v/>
      </c>
      <c r="I75" s="49" t="str">
        <f t="shared" si="21"/>
        <v/>
      </c>
      <c r="J75" s="49" t="str">
        <f t="shared" si="21"/>
        <v/>
      </c>
      <c r="K75" s="49" t="str">
        <f t="shared" si="21"/>
        <v/>
      </c>
      <c r="L75" s="49" t="str">
        <f t="shared" si="21"/>
        <v/>
      </c>
      <c r="M75" s="49" t="str">
        <f t="shared" si="21"/>
        <v/>
      </c>
      <c r="N75" s="49" t="str">
        <f t="shared" si="21"/>
        <v/>
      </c>
      <c r="O75" s="49" t="str">
        <f t="shared" si="21"/>
        <v/>
      </c>
      <c r="P75" s="49" t="str">
        <f t="shared" si="21"/>
        <v/>
      </c>
      <c r="Q75" s="49" t="str">
        <f t="shared" si="21"/>
        <v/>
      </c>
      <c r="R75" s="49" t="str">
        <f t="shared" si="21"/>
        <v/>
      </c>
      <c r="S75" s="49" t="str">
        <f t="shared" si="21"/>
        <v/>
      </c>
      <c r="T75" s="49" t="str">
        <f t="shared" si="21"/>
        <v/>
      </c>
      <c r="U75" s="49" t="str">
        <f t="shared" si="21"/>
        <v/>
      </c>
      <c r="V75" s="49" t="str">
        <f t="shared" si="21"/>
        <v/>
      </c>
      <c r="W75" s="49" t="str">
        <f t="shared" si="21"/>
        <v/>
      </c>
      <c r="X75" s="49" t="str">
        <f t="shared" si="21"/>
        <v/>
      </c>
      <c r="Y75" s="49" t="str">
        <f t="shared" si="21"/>
        <v/>
      </c>
      <c r="Z75" s="49" t="str">
        <f t="shared" si="21"/>
        <v/>
      </c>
      <c r="AA75" s="49" t="str">
        <f t="shared" si="21"/>
        <v/>
      </c>
      <c r="AB75" s="49" t="str">
        <f t="shared" si="21"/>
        <v/>
      </c>
      <c r="AC75" s="49" t="str">
        <f t="shared" si="21"/>
        <v/>
      </c>
      <c r="AD75" s="49" t="str">
        <f t="shared" si="21"/>
        <v/>
      </c>
      <c r="AE75" s="49" t="str">
        <f t="shared" si="21"/>
        <v/>
      </c>
      <c r="AF75" s="49" t="str">
        <f t="shared" si="21"/>
        <v/>
      </c>
      <c r="AG75" s="49" t="str">
        <f t="shared" si="21"/>
        <v/>
      </c>
      <c r="AH75" s="44">
        <f>SUM(AH73:AH74)</f>
        <v>0</v>
      </c>
      <c r="AI75" s="45">
        <f>SUM(AI73:AI74)</f>
        <v>0</v>
      </c>
      <c r="AJ75" s="45">
        <f>SUM(AJ73:AJ74)</f>
        <v>0</v>
      </c>
      <c r="AK75" s="45">
        <f>SUM(AK73:AK74)</f>
        <v>0</v>
      </c>
      <c r="AL75" s="45">
        <f>SUM(AL73:AL74)</f>
        <v>0</v>
      </c>
      <c r="AM75" s="50">
        <f>Juin!AM75</f>
        <v>0</v>
      </c>
      <c r="AN75" s="51">
        <f>IF(A74="","",IF(A74&gt;NomMois,0,IF(A74&lt;$A$3,2.08,(NETWORKDAYS(A74,$A$2)/21.66667)*2.08)))</f>
        <v>2.08</v>
      </c>
      <c r="AO75" s="51">
        <f>IF( AN75="",0,+AN75+Avril!AO75)</f>
        <v>18.655999689846205</v>
      </c>
      <c r="AP75" s="50">
        <f>IF(A74="","",IF(A74&gt;NomMois,0,IF(A74&lt;$A$3,1.5,(NETWORKDAYS(A74,$A$2)/21.66667)*1.5)))+Avril!AP75</f>
        <v>7.5</v>
      </c>
      <c r="AQ75" s="45">
        <f>+AM75-AI75</f>
        <v>0</v>
      </c>
      <c r="AR75" s="45">
        <f>+IF(AP75="","",AP75-AJ75)</f>
        <v>7.5</v>
      </c>
      <c r="AS75" s="102">
        <f t="shared" si="10"/>
        <v>18.655999689846205</v>
      </c>
    </row>
    <row r="76" spans="1:45" s="63" customFormat="1" ht="6.75" customHeight="1" x14ac:dyDescent="0.25">
      <c r="A76" s="64"/>
      <c r="B76" s="42"/>
      <c r="C76" s="64"/>
      <c r="D76" s="64"/>
      <c r="E76" s="64"/>
      <c r="F76" s="64"/>
      <c r="G76" s="64"/>
      <c r="H76" s="64"/>
      <c r="I76" s="64"/>
      <c r="J76" s="64"/>
      <c r="K76" s="64"/>
      <c r="L76" s="64"/>
      <c r="M76" s="64"/>
      <c r="N76" s="64"/>
      <c r="O76" s="64"/>
      <c r="P76" s="64"/>
      <c r="Q76" s="64"/>
      <c r="R76" s="64"/>
      <c r="S76" s="64"/>
      <c r="T76" s="64"/>
      <c r="U76" s="64"/>
      <c r="V76" s="64"/>
      <c r="W76" s="64"/>
      <c r="X76" s="64"/>
      <c r="Y76" s="64"/>
      <c r="Z76" s="64"/>
      <c r="AA76" s="64"/>
      <c r="AB76" s="64"/>
      <c r="AC76" s="64"/>
      <c r="AD76" s="64"/>
      <c r="AE76" s="64"/>
      <c r="AF76" s="64"/>
      <c r="AG76" s="64"/>
      <c r="AH76" s="65"/>
      <c r="AI76" s="65">
        <f>(COUNTIFS(Mai!$C76:$AG76,("cp")))/2+Avril!AI76</f>
        <v>0</v>
      </c>
      <c r="AJ76" s="65">
        <f>COUNTIFS(Mai!$C76:$AG76,"RTT")/2+Avril!AJ76</f>
        <v>0</v>
      </c>
      <c r="AK76" s="65">
        <f>COUNTIFS(Mai!$C76:$AG76,"m")/2+Avril!AK76</f>
        <v>0</v>
      </c>
      <c r="AL76" s="65">
        <f>COUNTIFS(Mai!$C76:$AG76,"a")/2+Avril!AL76</f>
        <v>0</v>
      </c>
      <c r="AM76" s="64"/>
      <c r="AN76" s="65"/>
      <c r="AO76" s="65"/>
      <c r="AP76" s="64"/>
      <c r="AQ76" s="69"/>
      <c r="AR76" s="69"/>
      <c r="AS76" s="65"/>
    </row>
    <row r="77" spans="1:45" s="63" customFormat="1" ht="12.95" customHeight="1" x14ac:dyDescent="0.25">
      <c r="A77" s="41"/>
      <c r="B77" s="42" t="s">
        <v>15</v>
      </c>
      <c r="C77" s="67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43"/>
      <c r="AH77" s="44">
        <f>COUNTA(Mai!$C77:$AG77)</f>
        <v>0</v>
      </c>
      <c r="AI77" s="45">
        <f>(COUNTIFS(Mai!$C77:$AG77,("cp")))/2+Avril!AI77</f>
        <v>0</v>
      </c>
      <c r="AJ77" s="45">
        <f>COUNTIFS(Mai!$C77:$AG77,"RTT")/2+Avril!AJ77</f>
        <v>0</v>
      </c>
      <c r="AK77" s="45">
        <f>COUNTIFS(Mai!$C77:$AG77,"m")/2+Avril!AK77</f>
        <v>0</v>
      </c>
      <c r="AL77" s="45">
        <f>COUNTIFS(Mai!$C77:$AG77,"a")/2+Avril!AL77</f>
        <v>0</v>
      </c>
      <c r="AM77" s="46"/>
      <c r="AN77" s="47"/>
      <c r="AO77" s="47"/>
      <c r="AP77" s="46"/>
      <c r="AQ77" s="47"/>
      <c r="AR77" s="47"/>
      <c r="AS77" s="47"/>
    </row>
    <row r="78" spans="1:45" s="63" customFormat="1" ht="12.95" customHeight="1" x14ac:dyDescent="0.25">
      <c r="A78" s="48">
        <v>43059</v>
      </c>
      <c r="B78" s="42" t="s">
        <v>16</v>
      </c>
      <c r="C78" s="67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  <c r="AA78" s="43"/>
      <c r="AB78" s="43"/>
      <c r="AC78" s="43"/>
      <c r="AD78" s="43"/>
      <c r="AE78" s="43"/>
      <c r="AF78" s="43"/>
      <c r="AG78" s="43"/>
      <c r="AH78" s="44">
        <f>COUNTA(Mai!$C78:$AG78)</f>
        <v>0</v>
      </c>
      <c r="AI78" s="45">
        <f>(COUNTIFS(Mai!$C78:$AG78,("cp")))/2+Avril!AI78</f>
        <v>0</v>
      </c>
      <c r="AJ78" s="45">
        <f>COUNTIFS(Mai!$C78:$AG78,"RTT")/2+Avril!AJ78</f>
        <v>0</v>
      </c>
      <c r="AK78" s="45">
        <f>COUNTIFS(Mai!$C78:$AG78,"m")/2+Avril!AK78</f>
        <v>0</v>
      </c>
      <c r="AL78" s="45">
        <f>COUNTIFS(Mai!$C78:$AG78,"a")/2+Avril!AL78</f>
        <v>0</v>
      </c>
      <c r="AM78" s="46"/>
      <c r="AN78" s="47"/>
      <c r="AO78" s="47"/>
      <c r="AP78" s="46"/>
      <c r="AQ78" s="47"/>
      <c r="AR78" s="47"/>
      <c r="AS78" s="101"/>
    </row>
    <row r="79" spans="1:45" s="63" customFormat="1" ht="12.95" customHeight="1" x14ac:dyDescent="0.25">
      <c r="A79" s="41"/>
      <c r="B79" s="42"/>
      <c r="C79" s="49" t="str">
        <f t="shared" ref="C79:AG79" si="22">IF(C77&gt;0,C77,IF(C78&gt;0,C78,""))</f>
        <v/>
      </c>
      <c r="D79" s="49" t="str">
        <f t="shared" si="22"/>
        <v/>
      </c>
      <c r="E79" s="49" t="str">
        <f t="shared" si="22"/>
        <v/>
      </c>
      <c r="F79" s="49" t="str">
        <f t="shared" si="22"/>
        <v/>
      </c>
      <c r="G79" s="49" t="str">
        <f t="shared" si="22"/>
        <v/>
      </c>
      <c r="H79" s="49" t="str">
        <f t="shared" si="22"/>
        <v/>
      </c>
      <c r="I79" s="49" t="str">
        <f t="shared" si="22"/>
        <v/>
      </c>
      <c r="J79" s="49" t="str">
        <f t="shared" si="22"/>
        <v/>
      </c>
      <c r="K79" s="49" t="str">
        <f t="shared" si="22"/>
        <v/>
      </c>
      <c r="L79" s="49" t="str">
        <f t="shared" si="22"/>
        <v/>
      </c>
      <c r="M79" s="49" t="str">
        <f t="shared" si="22"/>
        <v/>
      </c>
      <c r="N79" s="49" t="str">
        <f t="shared" si="22"/>
        <v/>
      </c>
      <c r="O79" s="49" t="str">
        <f t="shared" si="22"/>
        <v/>
      </c>
      <c r="P79" s="49" t="str">
        <f t="shared" si="22"/>
        <v/>
      </c>
      <c r="Q79" s="49" t="str">
        <f t="shared" si="22"/>
        <v/>
      </c>
      <c r="R79" s="49" t="str">
        <f t="shared" si="22"/>
        <v/>
      </c>
      <c r="S79" s="49" t="str">
        <f t="shared" si="22"/>
        <v/>
      </c>
      <c r="T79" s="49" t="str">
        <f t="shared" si="22"/>
        <v/>
      </c>
      <c r="U79" s="49" t="str">
        <f t="shared" si="22"/>
        <v/>
      </c>
      <c r="V79" s="49" t="str">
        <f t="shared" si="22"/>
        <v/>
      </c>
      <c r="W79" s="49" t="str">
        <f t="shared" si="22"/>
        <v/>
      </c>
      <c r="X79" s="49" t="str">
        <f t="shared" si="22"/>
        <v/>
      </c>
      <c r="Y79" s="49" t="str">
        <f t="shared" si="22"/>
        <v/>
      </c>
      <c r="Z79" s="49" t="str">
        <f t="shared" si="22"/>
        <v/>
      </c>
      <c r="AA79" s="49" t="str">
        <f t="shared" si="22"/>
        <v/>
      </c>
      <c r="AB79" s="49" t="str">
        <f t="shared" si="22"/>
        <v/>
      </c>
      <c r="AC79" s="49" t="str">
        <f t="shared" si="22"/>
        <v/>
      </c>
      <c r="AD79" s="49" t="str">
        <f t="shared" si="22"/>
        <v/>
      </c>
      <c r="AE79" s="49" t="str">
        <f t="shared" si="22"/>
        <v/>
      </c>
      <c r="AF79" s="49" t="str">
        <f t="shared" si="22"/>
        <v/>
      </c>
      <c r="AG79" s="49" t="str">
        <f t="shared" si="22"/>
        <v/>
      </c>
      <c r="AH79" s="44">
        <f>SUM(AH77:AH78)</f>
        <v>0</v>
      </c>
      <c r="AI79" s="45">
        <f>SUM(AI77:AI78)</f>
        <v>0</v>
      </c>
      <c r="AJ79" s="45">
        <f>SUM(AJ77:AJ78)</f>
        <v>0</v>
      </c>
      <c r="AK79" s="45">
        <f>SUM(AK77:AK78)</f>
        <v>0</v>
      </c>
      <c r="AL79" s="45">
        <f>SUM(AL77:AL78)</f>
        <v>0</v>
      </c>
      <c r="AM79" s="50">
        <f>Juin!AM79</f>
        <v>0</v>
      </c>
      <c r="AN79" s="51">
        <f>IF(A78="","",IF(A78&gt;NomMois,0,IF(A78&lt;$A$3,2.08,(NETWORKDAYS(A78,$A$2)/21.66667)*2.08)))</f>
        <v>2.08</v>
      </c>
      <c r="AO79" s="51">
        <f>IF( AN79="",0,+AN79+Avril!AO79)</f>
        <v>13.343999867076944</v>
      </c>
      <c r="AP79" s="50">
        <f>IF(A78="","",IF(A78&gt;NomMois,0,IF(A78&lt;$A$3,1.5,(NETWORKDAYS(A78,$A$2)/21.66667)*1.5)))+Avril!AP79</f>
        <v>7.5</v>
      </c>
      <c r="AQ79" s="45">
        <f>+AM79-AI79</f>
        <v>0</v>
      </c>
      <c r="AR79" s="45">
        <f>+IF(AP79="","",AP79-AJ79)</f>
        <v>7.5</v>
      </c>
      <c r="AS79" s="102">
        <f t="shared" si="10"/>
        <v>13.343999867076944</v>
      </c>
    </row>
    <row r="80" spans="1:45" s="63" customFormat="1" ht="6.75" customHeight="1" x14ac:dyDescent="0.25">
      <c r="A80" s="64"/>
      <c r="B80" s="42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  <c r="X80" s="64"/>
      <c r="Y80" s="64"/>
      <c r="Z80" s="64"/>
      <c r="AA80" s="64"/>
      <c r="AB80" s="64"/>
      <c r="AC80" s="64"/>
      <c r="AD80" s="64"/>
      <c r="AE80" s="64"/>
      <c r="AF80" s="64"/>
      <c r="AG80" s="64"/>
      <c r="AH80" s="65"/>
      <c r="AI80" s="65"/>
      <c r="AJ80" s="65"/>
      <c r="AK80" s="65"/>
      <c r="AL80" s="65"/>
      <c r="AM80" s="64"/>
      <c r="AN80" s="65"/>
      <c r="AO80" s="65"/>
      <c r="AP80" s="64"/>
      <c r="AQ80" s="69"/>
      <c r="AR80" s="69"/>
      <c r="AS80" s="65"/>
    </row>
    <row r="81" spans="1:45" s="63" customFormat="1" ht="12.95" customHeight="1" x14ac:dyDescent="0.25">
      <c r="A81" s="41"/>
      <c r="B81" s="42" t="s">
        <v>15</v>
      </c>
      <c r="C81" s="67"/>
      <c r="D81" s="43"/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  <c r="AA81" s="43"/>
      <c r="AB81" s="43"/>
      <c r="AC81" s="43"/>
      <c r="AD81" s="43"/>
      <c r="AE81" s="43"/>
      <c r="AF81" s="43"/>
      <c r="AG81" s="43"/>
      <c r="AH81" s="44">
        <f>COUNTA(Mai!$C81:$AG81)</f>
        <v>0</v>
      </c>
      <c r="AI81" s="45">
        <f>(COUNTIFS(Mai!$C81:$AG81,("cp")))/2+Avril!AI81</f>
        <v>4.5</v>
      </c>
      <c r="AJ81" s="45">
        <f>COUNTIFS(Mai!$C81:$AG81,"RTT")/2+Avril!AJ81</f>
        <v>0</v>
      </c>
      <c r="AK81" s="45">
        <f>COUNTIFS(Mai!$C81:$AG81,"m")/2+Avril!AK81</f>
        <v>0</v>
      </c>
      <c r="AL81" s="45">
        <f>COUNTIFS(Mai!$C81:$AG81,"a")/2+Avril!AL81</f>
        <v>0</v>
      </c>
      <c r="AM81" s="46"/>
      <c r="AN81" s="47"/>
      <c r="AO81" s="47"/>
      <c r="AP81" s="46"/>
      <c r="AQ81" s="47"/>
      <c r="AR81" s="47"/>
      <c r="AS81" s="47"/>
    </row>
    <row r="82" spans="1:45" s="63" customFormat="1" ht="12.95" customHeight="1" x14ac:dyDescent="0.25">
      <c r="A82" s="48">
        <v>42506</v>
      </c>
      <c r="B82" s="42" t="s">
        <v>16</v>
      </c>
      <c r="C82" s="67"/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  <c r="S82" s="43"/>
      <c r="T82" s="43"/>
      <c r="U82" s="43"/>
      <c r="V82" s="43"/>
      <c r="W82" s="43"/>
      <c r="X82" s="43"/>
      <c r="Y82" s="43"/>
      <c r="Z82" s="43"/>
      <c r="AA82" s="43"/>
      <c r="AB82" s="43"/>
      <c r="AC82" s="43"/>
      <c r="AD82" s="43"/>
      <c r="AE82" s="43"/>
      <c r="AF82" s="43"/>
      <c r="AG82" s="43"/>
      <c r="AH82" s="44">
        <f>COUNTA(Mai!$C82:$AG82)</f>
        <v>0</v>
      </c>
      <c r="AI82" s="45">
        <f>(COUNTIFS(Mai!$C82:$AG82,("cp")))/2+Avril!AI82</f>
        <v>4.5</v>
      </c>
      <c r="AJ82" s="45">
        <f>COUNTIFS(Mai!$C82:$AG82,"RTT")/2+Avril!AJ82</f>
        <v>0</v>
      </c>
      <c r="AK82" s="45">
        <f>COUNTIFS(Mai!$C82:$AG82,"m")/2+Avril!AK82</f>
        <v>0</v>
      </c>
      <c r="AL82" s="45">
        <f>COUNTIFS(Mai!$C82:$AG82,"a")/2+Avril!AL82</f>
        <v>0</v>
      </c>
      <c r="AM82" s="46"/>
      <c r="AN82" s="47"/>
      <c r="AO82" s="47"/>
      <c r="AP82" s="46"/>
      <c r="AQ82" s="47"/>
      <c r="AR82" s="47"/>
      <c r="AS82" s="101"/>
    </row>
    <row r="83" spans="1:45" s="63" customFormat="1" ht="12.95" customHeight="1" x14ac:dyDescent="0.25">
      <c r="A83" s="41"/>
      <c r="B83" s="42"/>
      <c r="C83" s="49" t="str">
        <f t="shared" ref="C83:AG83" si="23">IF(C81&gt;0,C81,IF(C82&gt;0,C82,""))</f>
        <v/>
      </c>
      <c r="D83" s="49" t="str">
        <f t="shared" si="23"/>
        <v/>
      </c>
      <c r="E83" s="49" t="str">
        <f t="shared" si="23"/>
        <v/>
      </c>
      <c r="F83" s="49" t="str">
        <f t="shared" si="23"/>
        <v/>
      </c>
      <c r="G83" s="49" t="str">
        <f t="shared" si="23"/>
        <v/>
      </c>
      <c r="H83" s="49" t="str">
        <f t="shared" si="23"/>
        <v/>
      </c>
      <c r="I83" s="49" t="str">
        <f t="shared" si="23"/>
        <v/>
      </c>
      <c r="J83" s="49" t="str">
        <f t="shared" si="23"/>
        <v/>
      </c>
      <c r="K83" s="49" t="str">
        <f t="shared" si="23"/>
        <v/>
      </c>
      <c r="L83" s="49" t="str">
        <f t="shared" si="23"/>
        <v/>
      </c>
      <c r="M83" s="49" t="str">
        <f t="shared" si="23"/>
        <v/>
      </c>
      <c r="N83" s="49" t="str">
        <f t="shared" si="23"/>
        <v/>
      </c>
      <c r="O83" s="49" t="str">
        <f t="shared" si="23"/>
        <v/>
      </c>
      <c r="P83" s="49" t="str">
        <f t="shared" si="23"/>
        <v/>
      </c>
      <c r="Q83" s="49" t="str">
        <f t="shared" si="23"/>
        <v/>
      </c>
      <c r="R83" s="49" t="str">
        <f t="shared" si="23"/>
        <v/>
      </c>
      <c r="S83" s="49" t="str">
        <f t="shared" si="23"/>
        <v/>
      </c>
      <c r="T83" s="49" t="str">
        <f t="shared" si="23"/>
        <v/>
      </c>
      <c r="U83" s="49" t="str">
        <f t="shared" si="23"/>
        <v/>
      </c>
      <c r="V83" s="49" t="str">
        <f t="shared" si="23"/>
        <v/>
      </c>
      <c r="W83" s="49" t="str">
        <f t="shared" si="23"/>
        <v/>
      </c>
      <c r="X83" s="49" t="str">
        <f t="shared" si="23"/>
        <v/>
      </c>
      <c r="Y83" s="49" t="str">
        <f t="shared" si="23"/>
        <v/>
      </c>
      <c r="Z83" s="49" t="str">
        <f t="shared" si="23"/>
        <v/>
      </c>
      <c r="AA83" s="49" t="str">
        <f t="shared" si="23"/>
        <v/>
      </c>
      <c r="AB83" s="49" t="str">
        <f t="shared" si="23"/>
        <v/>
      </c>
      <c r="AC83" s="49" t="str">
        <f t="shared" si="23"/>
        <v/>
      </c>
      <c r="AD83" s="49" t="str">
        <f t="shared" si="23"/>
        <v/>
      </c>
      <c r="AE83" s="49" t="str">
        <f t="shared" si="23"/>
        <v/>
      </c>
      <c r="AF83" s="49" t="str">
        <f t="shared" si="23"/>
        <v/>
      </c>
      <c r="AG83" s="49" t="str">
        <f t="shared" si="23"/>
        <v/>
      </c>
      <c r="AH83" s="44">
        <f>SUM(AH81:AH82)</f>
        <v>0</v>
      </c>
      <c r="AI83" s="45">
        <f>SUM(AI81:AI82)</f>
        <v>9</v>
      </c>
      <c r="AJ83" s="45">
        <f>SUM(AJ81:AJ82)</f>
        <v>0</v>
      </c>
      <c r="AK83" s="45">
        <f>SUM(AK81:AK82)</f>
        <v>0</v>
      </c>
      <c r="AL83" s="45">
        <f>SUM(AL81:AL82)</f>
        <v>0</v>
      </c>
      <c r="AM83" s="50">
        <f>Juin!AM83</f>
        <v>-9.98</v>
      </c>
      <c r="AN83" s="51">
        <f>IF(A82="","",IF(A82&gt;NomMois,0,IF(A82&lt;$A$3,2.08,(NETWORKDAYS(A82,$A$2)/21.66667)*2.08)))</f>
        <v>2.08</v>
      </c>
      <c r="AO83" s="51">
        <f>IF( AN83="",0,+AN83+Avril!AO83)</f>
        <v>24.959999999999994</v>
      </c>
      <c r="AP83" s="50"/>
      <c r="AQ83" s="45">
        <f>+AM83-AI83</f>
        <v>-18.98</v>
      </c>
      <c r="AR83" s="45" t="str">
        <f>+IF(AP83="","",AP83-AJ83)</f>
        <v/>
      </c>
      <c r="AS83" s="102">
        <f t="shared" si="10"/>
        <v>5.9799999999999933</v>
      </c>
    </row>
    <row r="84" spans="1:45" s="63" customFormat="1" ht="6.75" customHeight="1" x14ac:dyDescent="0.25">
      <c r="A84" s="64"/>
      <c r="B84" s="42"/>
      <c r="C84" s="64"/>
      <c r="D84" s="64"/>
      <c r="E84" s="64"/>
      <c r="F84" s="64"/>
      <c r="G84" s="64"/>
      <c r="H84" s="64"/>
      <c r="I84" s="64"/>
      <c r="J84" s="64"/>
      <c r="K84" s="64"/>
      <c r="L84" s="64"/>
      <c r="M84" s="64"/>
      <c r="N84" s="64"/>
      <c r="O84" s="64"/>
      <c r="P84" s="64"/>
      <c r="Q84" s="64"/>
      <c r="R84" s="64"/>
      <c r="S84" s="64"/>
      <c r="T84" s="64"/>
      <c r="U84" s="64"/>
      <c r="V84" s="64"/>
      <c r="W84" s="64"/>
      <c r="X84" s="64"/>
      <c r="Y84" s="64"/>
      <c r="Z84" s="64"/>
      <c r="AA84" s="64"/>
      <c r="AB84" s="64"/>
      <c r="AC84" s="64"/>
      <c r="AD84" s="64"/>
      <c r="AE84" s="64"/>
      <c r="AF84" s="64"/>
      <c r="AG84" s="64"/>
      <c r="AH84" s="65"/>
      <c r="AI84" s="65"/>
      <c r="AJ84" s="65"/>
      <c r="AK84" s="65"/>
      <c r="AL84" s="65"/>
      <c r="AM84" s="64"/>
      <c r="AN84" s="65"/>
      <c r="AO84" s="65"/>
      <c r="AP84" s="64"/>
      <c r="AQ84" s="69"/>
      <c r="AR84" s="69"/>
      <c r="AS84" s="65"/>
    </row>
    <row r="85" spans="1:45" s="63" customFormat="1" ht="12.95" customHeight="1" x14ac:dyDescent="0.25">
      <c r="A85" s="41"/>
      <c r="B85" s="42" t="s">
        <v>15</v>
      </c>
      <c r="C85" s="67"/>
      <c r="D85" s="43"/>
      <c r="E85" s="43"/>
      <c r="F85" s="43"/>
      <c r="G85" s="43"/>
      <c r="H85" s="43"/>
      <c r="I85" s="43"/>
      <c r="J85" s="43"/>
      <c r="K85" s="43"/>
      <c r="L85" s="43"/>
      <c r="M85" s="43"/>
      <c r="N85" s="43"/>
      <c r="O85" s="43"/>
      <c r="P85" s="43"/>
      <c r="Q85" s="43"/>
      <c r="R85" s="43"/>
      <c r="S85" s="43"/>
      <c r="T85" s="43"/>
      <c r="U85" s="43"/>
      <c r="V85" s="43"/>
      <c r="W85" s="43"/>
      <c r="X85" s="43"/>
      <c r="Y85" s="43"/>
      <c r="Z85" s="43"/>
      <c r="AA85" s="43"/>
      <c r="AB85" s="43"/>
      <c r="AC85" s="43"/>
      <c r="AD85" s="43"/>
      <c r="AE85" s="43"/>
      <c r="AF85" s="43"/>
      <c r="AG85" s="43"/>
      <c r="AH85" s="44">
        <f>COUNTA(Mai!$C85:$AG85)</f>
        <v>0</v>
      </c>
      <c r="AI85" s="45">
        <f>(COUNTIFS(Mai!$C85:$AG85,("cp")))/2+Avril!AI85</f>
        <v>13</v>
      </c>
      <c r="AJ85" s="45">
        <f>COUNTIFS(Mai!$C85:$AG85,"RTT")/2+Avril!AJ85</f>
        <v>0</v>
      </c>
      <c r="AK85" s="45">
        <f>COUNTIFS(Mai!$C85:$AG85,"m")/2+Avril!AK85</f>
        <v>0</v>
      </c>
      <c r="AL85" s="45">
        <f>COUNTIFS(Mai!$C85:$AG85,"a")/2+Avril!AL85</f>
        <v>0</v>
      </c>
      <c r="AM85" s="46"/>
      <c r="AN85" s="47"/>
      <c r="AO85" s="47"/>
      <c r="AP85" s="46"/>
      <c r="AQ85" s="47"/>
      <c r="AR85" s="47"/>
      <c r="AS85" s="47"/>
    </row>
    <row r="86" spans="1:45" s="63" customFormat="1" ht="12.95" customHeight="1" x14ac:dyDescent="0.25">
      <c r="A86" s="48">
        <v>42303</v>
      </c>
      <c r="B86" s="42" t="s">
        <v>16</v>
      </c>
      <c r="C86" s="67"/>
      <c r="D86" s="43"/>
      <c r="E86" s="43"/>
      <c r="F86" s="43"/>
      <c r="G86" s="43"/>
      <c r="H86" s="43"/>
      <c r="I86" s="43"/>
      <c r="J86" s="43"/>
      <c r="K86" s="43"/>
      <c r="L86" s="43"/>
      <c r="M86" s="43"/>
      <c r="N86" s="43"/>
      <c r="O86" s="43"/>
      <c r="P86" s="43"/>
      <c r="Q86" s="43"/>
      <c r="R86" s="43"/>
      <c r="S86" s="43"/>
      <c r="T86" s="43"/>
      <c r="U86" s="43"/>
      <c r="V86" s="43"/>
      <c r="W86" s="43"/>
      <c r="X86" s="43"/>
      <c r="Y86" s="43"/>
      <c r="Z86" s="43"/>
      <c r="AA86" s="43"/>
      <c r="AB86" s="43"/>
      <c r="AC86" s="43"/>
      <c r="AD86" s="43"/>
      <c r="AE86" s="43"/>
      <c r="AF86" s="43"/>
      <c r="AG86" s="43"/>
      <c r="AH86" s="44">
        <f>COUNTA(Mai!$C86:$AG86)</f>
        <v>0</v>
      </c>
      <c r="AI86" s="45">
        <f>(COUNTIFS(Mai!$C86:$AG86,("cp")))/2+Avril!AI86</f>
        <v>13</v>
      </c>
      <c r="AJ86" s="45">
        <f>COUNTIFS(Mai!$C86:$AG86,"RTT")/2+Avril!AJ86</f>
        <v>0</v>
      </c>
      <c r="AK86" s="45">
        <f>COUNTIFS(Mai!$C86:$AG86,"m")/2+Avril!AK86</f>
        <v>0</v>
      </c>
      <c r="AL86" s="45">
        <f>COUNTIFS(Mai!$C86:$AG86,"a")/2+Avril!AL86</f>
        <v>0</v>
      </c>
      <c r="AM86" s="46"/>
      <c r="AN86" s="47"/>
      <c r="AO86" s="47"/>
      <c r="AP86" s="46"/>
      <c r="AQ86" s="47"/>
      <c r="AR86" s="47"/>
      <c r="AS86" s="101"/>
    </row>
    <row r="87" spans="1:45" s="63" customFormat="1" ht="12.95" customHeight="1" x14ac:dyDescent="0.25">
      <c r="A87" s="41"/>
      <c r="B87" s="42"/>
      <c r="C87" s="49" t="str">
        <f t="shared" ref="C87:AG87" si="24">IF(C85&gt;0,C85,IF(C86&gt;0,C86,""))</f>
        <v/>
      </c>
      <c r="D87" s="49" t="str">
        <f t="shared" si="24"/>
        <v/>
      </c>
      <c r="E87" s="49" t="str">
        <f t="shared" si="24"/>
        <v/>
      </c>
      <c r="F87" s="49" t="str">
        <f t="shared" si="24"/>
        <v/>
      </c>
      <c r="G87" s="49" t="str">
        <f t="shared" si="24"/>
        <v/>
      </c>
      <c r="H87" s="49" t="str">
        <f t="shared" si="24"/>
        <v/>
      </c>
      <c r="I87" s="49" t="str">
        <f t="shared" si="24"/>
        <v/>
      </c>
      <c r="J87" s="49" t="str">
        <f t="shared" si="24"/>
        <v/>
      </c>
      <c r="K87" s="49" t="str">
        <f t="shared" si="24"/>
        <v/>
      </c>
      <c r="L87" s="49" t="str">
        <f t="shared" si="24"/>
        <v/>
      </c>
      <c r="M87" s="49" t="str">
        <f t="shared" si="24"/>
        <v/>
      </c>
      <c r="N87" s="49" t="str">
        <f t="shared" si="24"/>
        <v/>
      </c>
      <c r="O87" s="49" t="str">
        <f t="shared" si="24"/>
        <v/>
      </c>
      <c r="P87" s="49" t="str">
        <f t="shared" si="24"/>
        <v/>
      </c>
      <c r="Q87" s="49" t="str">
        <f t="shared" si="24"/>
        <v/>
      </c>
      <c r="R87" s="49" t="str">
        <f t="shared" si="24"/>
        <v/>
      </c>
      <c r="S87" s="49" t="str">
        <f t="shared" si="24"/>
        <v/>
      </c>
      <c r="T87" s="49" t="str">
        <f t="shared" si="24"/>
        <v/>
      </c>
      <c r="U87" s="49" t="str">
        <f t="shared" si="24"/>
        <v/>
      </c>
      <c r="V87" s="49" t="str">
        <f t="shared" si="24"/>
        <v/>
      </c>
      <c r="W87" s="49" t="str">
        <f t="shared" si="24"/>
        <v/>
      </c>
      <c r="X87" s="49" t="str">
        <f t="shared" si="24"/>
        <v/>
      </c>
      <c r="Y87" s="49" t="str">
        <f t="shared" si="24"/>
        <v/>
      </c>
      <c r="Z87" s="49" t="str">
        <f t="shared" si="24"/>
        <v/>
      </c>
      <c r="AA87" s="49" t="str">
        <f t="shared" si="24"/>
        <v/>
      </c>
      <c r="AB87" s="49" t="str">
        <f t="shared" si="24"/>
        <v/>
      </c>
      <c r="AC87" s="49" t="str">
        <f t="shared" si="24"/>
        <v/>
      </c>
      <c r="AD87" s="49" t="str">
        <f t="shared" si="24"/>
        <v/>
      </c>
      <c r="AE87" s="49" t="str">
        <f t="shared" si="24"/>
        <v/>
      </c>
      <c r="AF87" s="49" t="str">
        <f t="shared" si="24"/>
        <v/>
      </c>
      <c r="AG87" s="49" t="str">
        <f t="shared" si="24"/>
        <v/>
      </c>
      <c r="AH87" s="44">
        <f>SUM(AH85:AH86)</f>
        <v>0</v>
      </c>
      <c r="AI87" s="45">
        <f>SUM(AI85:AI86)</f>
        <v>26</v>
      </c>
      <c r="AJ87" s="45">
        <f>SUM(AJ85:AJ86)</f>
        <v>0</v>
      </c>
      <c r="AK87" s="45">
        <f>SUM(AK85:AK86)</f>
        <v>0</v>
      </c>
      <c r="AL87" s="45">
        <f>SUM(AL85:AL86)</f>
        <v>0</v>
      </c>
      <c r="AM87" s="50">
        <f>Juin!AM87</f>
        <v>12.02</v>
      </c>
      <c r="AN87" s="51">
        <f>IF(A86="","",IF(A86&gt;NomMois,0,IF(A86&lt;$A$3,2.5,(NETWORKDAYS(A86,$A$2)/21.66667)*2.5)))</f>
        <v>2.5</v>
      </c>
      <c r="AO87" s="51">
        <f>IF( AN87="",0,+AN87+Avril!AO87)</f>
        <v>30</v>
      </c>
      <c r="AP87" s="50"/>
      <c r="AQ87" s="45">
        <f>+AM87-AI87</f>
        <v>-13.98</v>
      </c>
      <c r="AR87" s="45" t="str">
        <f>+IF(AP87="","",AP87-AJ87)</f>
        <v/>
      </c>
      <c r="AS87" s="102">
        <f t="shared" si="10"/>
        <v>16.02</v>
      </c>
    </row>
    <row r="88" spans="1:45" s="63" customFormat="1" ht="6.75" customHeight="1" x14ac:dyDescent="0.25">
      <c r="A88" s="64"/>
      <c r="B88" s="42"/>
      <c r="C88" s="64"/>
      <c r="D88" s="64"/>
      <c r="E88" s="64"/>
      <c r="F88" s="64"/>
      <c r="G88" s="64"/>
      <c r="H88" s="64"/>
      <c r="I88" s="64"/>
      <c r="J88" s="64"/>
      <c r="K88" s="64"/>
      <c r="L88" s="64"/>
      <c r="M88" s="64"/>
      <c r="N88" s="64"/>
      <c r="O88" s="64"/>
      <c r="P88" s="64"/>
      <c r="Q88" s="64"/>
      <c r="R88" s="64"/>
      <c r="S88" s="64"/>
      <c r="T88" s="64"/>
      <c r="U88" s="64"/>
      <c r="V88" s="64"/>
      <c r="W88" s="64"/>
      <c r="X88" s="64"/>
      <c r="Y88" s="64"/>
      <c r="Z88" s="64"/>
      <c r="AA88" s="64"/>
      <c r="AB88" s="64"/>
      <c r="AC88" s="64"/>
      <c r="AD88" s="64"/>
      <c r="AE88" s="64"/>
      <c r="AF88" s="64"/>
      <c r="AG88" s="64"/>
      <c r="AH88" s="65"/>
      <c r="AI88" s="65"/>
      <c r="AJ88" s="65"/>
      <c r="AK88" s="65"/>
      <c r="AL88" s="65"/>
      <c r="AM88" s="64"/>
      <c r="AN88" s="65"/>
      <c r="AO88" s="65"/>
      <c r="AP88" s="64"/>
      <c r="AQ88" s="69"/>
      <c r="AR88" s="69"/>
      <c r="AS88" s="65"/>
    </row>
    <row r="89" spans="1:45" s="63" customFormat="1" ht="12.95" customHeight="1" x14ac:dyDescent="0.25">
      <c r="A89" s="41"/>
      <c r="B89" s="42" t="s">
        <v>15</v>
      </c>
      <c r="C89" s="67"/>
      <c r="D89" s="43"/>
      <c r="E89" s="43"/>
      <c r="F89" s="43"/>
      <c r="G89" s="43"/>
      <c r="H89" s="43"/>
      <c r="I89" s="43"/>
      <c r="J89" s="43"/>
      <c r="K89" s="43"/>
      <c r="L89" s="43"/>
      <c r="M89" s="43"/>
      <c r="N89" s="43"/>
      <c r="O89" s="43"/>
      <c r="P89" s="43"/>
      <c r="Q89" s="43"/>
      <c r="R89" s="43"/>
      <c r="S89" s="43"/>
      <c r="T89" s="43"/>
      <c r="U89" s="43"/>
      <c r="V89" s="43"/>
      <c r="W89" s="43"/>
      <c r="X89" s="43"/>
      <c r="Y89" s="43"/>
      <c r="Z89" s="43"/>
      <c r="AA89" s="43"/>
      <c r="AB89" s="43"/>
      <c r="AC89" s="43"/>
      <c r="AD89" s="43"/>
      <c r="AE89" s="43"/>
      <c r="AF89" s="43"/>
      <c r="AG89" s="43"/>
      <c r="AH89" s="44">
        <f>COUNTA(Mai!$C89:$AG89)</f>
        <v>0</v>
      </c>
      <c r="AI89" s="45">
        <f>(COUNTIFS(Mai!$C89:$AG89,("cp")))/2+Avril!AI89</f>
        <v>19.5</v>
      </c>
      <c r="AJ89" s="45">
        <f>COUNTIFS(Mai!$C89:$AG89,"RTT")/2+Avril!AJ89</f>
        <v>0</v>
      </c>
      <c r="AK89" s="45">
        <f>COUNTIFS(Mai!$C89:$AG89,"m")/2+Avril!AK89</f>
        <v>0</v>
      </c>
      <c r="AL89" s="45">
        <f>COUNTIFS(Mai!$C89:$AG89,"a")/2+Avril!AL89</f>
        <v>0</v>
      </c>
      <c r="AM89" s="46"/>
      <c r="AN89" s="47"/>
      <c r="AO89" s="47"/>
      <c r="AP89" s="46"/>
      <c r="AQ89" s="47"/>
      <c r="AR89" s="47"/>
      <c r="AS89" s="47"/>
    </row>
    <row r="90" spans="1:45" s="63" customFormat="1" ht="12.95" customHeight="1" x14ac:dyDescent="0.25">
      <c r="A90" s="48">
        <v>42303</v>
      </c>
      <c r="B90" s="42" t="s">
        <v>16</v>
      </c>
      <c r="C90" s="67"/>
      <c r="D90" s="43"/>
      <c r="E90" s="43"/>
      <c r="F90" s="43"/>
      <c r="G90" s="43"/>
      <c r="H90" s="43"/>
      <c r="I90" s="43"/>
      <c r="J90" s="43"/>
      <c r="K90" s="43"/>
      <c r="L90" s="43"/>
      <c r="M90" s="43"/>
      <c r="N90" s="43"/>
      <c r="O90" s="43"/>
      <c r="P90" s="43"/>
      <c r="Q90" s="43"/>
      <c r="R90" s="43"/>
      <c r="S90" s="43"/>
      <c r="T90" s="43"/>
      <c r="U90" s="43"/>
      <c r="V90" s="43"/>
      <c r="W90" s="43"/>
      <c r="X90" s="43"/>
      <c r="Y90" s="43"/>
      <c r="Z90" s="43"/>
      <c r="AA90" s="43"/>
      <c r="AB90" s="43"/>
      <c r="AC90" s="43"/>
      <c r="AD90" s="43"/>
      <c r="AE90" s="43"/>
      <c r="AF90" s="43"/>
      <c r="AG90" s="43"/>
      <c r="AH90" s="44">
        <f>COUNTA(Mai!$C90:$AG90)</f>
        <v>0</v>
      </c>
      <c r="AI90" s="45">
        <f>(COUNTIFS(Mai!$C90:$AG90,("cp")))/2+Avril!AI90</f>
        <v>19.5</v>
      </c>
      <c r="AJ90" s="45">
        <f>COUNTIFS(Mai!$C90:$AG90,"RTT")/2+Avril!AJ90</f>
        <v>0</v>
      </c>
      <c r="AK90" s="45">
        <f>COUNTIFS(Mai!$C90:$AG90,"m")/2+Avril!AK90</f>
        <v>0</v>
      </c>
      <c r="AL90" s="45">
        <f>COUNTIFS(Mai!$C90:$AG90,"a")/2+Avril!AL90</f>
        <v>0</v>
      </c>
      <c r="AM90" s="46"/>
      <c r="AN90" s="47"/>
      <c r="AO90" s="47"/>
      <c r="AP90" s="46"/>
      <c r="AQ90" s="47"/>
      <c r="AR90" s="47"/>
      <c r="AS90" s="101"/>
    </row>
    <row r="91" spans="1:45" s="63" customFormat="1" ht="12.95" customHeight="1" x14ac:dyDescent="0.25">
      <c r="A91" s="41"/>
      <c r="B91" s="42"/>
      <c r="C91" s="49" t="str">
        <f t="shared" ref="C91:AG91" si="25">IF(C89&gt;0,C89,IF(C90&gt;0,C90,""))</f>
        <v/>
      </c>
      <c r="D91" s="49" t="str">
        <f t="shared" si="25"/>
        <v/>
      </c>
      <c r="E91" s="49" t="str">
        <f t="shared" si="25"/>
        <v/>
      </c>
      <c r="F91" s="49" t="str">
        <f t="shared" si="25"/>
        <v/>
      </c>
      <c r="G91" s="49" t="str">
        <f t="shared" si="25"/>
        <v/>
      </c>
      <c r="H91" s="49" t="str">
        <f t="shared" si="25"/>
        <v/>
      </c>
      <c r="I91" s="49" t="str">
        <f t="shared" si="25"/>
        <v/>
      </c>
      <c r="J91" s="49" t="str">
        <f t="shared" si="25"/>
        <v/>
      </c>
      <c r="K91" s="49" t="str">
        <f t="shared" si="25"/>
        <v/>
      </c>
      <c r="L91" s="49" t="str">
        <f t="shared" si="25"/>
        <v/>
      </c>
      <c r="M91" s="49" t="str">
        <f t="shared" si="25"/>
        <v/>
      </c>
      <c r="N91" s="49" t="str">
        <f t="shared" si="25"/>
        <v/>
      </c>
      <c r="O91" s="49" t="str">
        <f t="shared" si="25"/>
        <v/>
      </c>
      <c r="P91" s="49" t="str">
        <f t="shared" si="25"/>
        <v/>
      </c>
      <c r="Q91" s="49" t="str">
        <f t="shared" si="25"/>
        <v/>
      </c>
      <c r="R91" s="49" t="str">
        <f t="shared" si="25"/>
        <v/>
      </c>
      <c r="S91" s="49" t="str">
        <f t="shared" si="25"/>
        <v/>
      </c>
      <c r="T91" s="49" t="str">
        <f t="shared" si="25"/>
        <v/>
      </c>
      <c r="U91" s="49" t="str">
        <f t="shared" si="25"/>
        <v/>
      </c>
      <c r="V91" s="49" t="str">
        <f t="shared" si="25"/>
        <v/>
      </c>
      <c r="W91" s="49" t="str">
        <f t="shared" si="25"/>
        <v/>
      </c>
      <c r="X91" s="49" t="str">
        <f t="shared" si="25"/>
        <v/>
      </c>
      <c r="Y91" s="49" t="str">
        <f t="shared" si="25"/>
        <v/>
      </c>
      <c r="Z91" s="49" t="str">
        <f t="shared" si="25"/>
        <v/>
      </c>
      <c r="AA91" s="49" t="str">
        <f t="shared" si="25"/>
        <v/>
      </c>
      <c r="AB91" s="49" t="str">
        <f t="shared" si="25"/>
        <v/>
      </c>
      <c r="AC91" s="49" t="str">
        <f t="shared" si="25"/>
        <v/>
      </c>
      <c r="AD91" s="49" t="str">
        <f t="shared" si="25"/>
        <v/>
      </c>
      <c r="AE91" s="49" t="str">
        <f t="shared" si="25"/>
        <v/>
      </c>
      <c r="AF91" s="49" t="str">
        <f t="shared" si="25"/>
        <v/>
      </c>
      <c r="AG91" s="49" t="str">
        <f t="shared" si="25"/>
        <v/>
      </c>
      <c r="AH91" s="44">
        <f>SUM(AH89:AH90)</f>
        <v>0</v>
      </c>
      <c r="AI91" s="45">
        <f>SUM(AI89:AI90)</f>
        <v>39</v>
      </c>
      <c r="AJ91" s="45">
        <f>SUM(AJ89:AJ90)</f>
        <v>0</v>
      </c>
      <c r="AK91" s="45">
        <f>SUM(AK89:AK90)</f>
        <v>0</v>
      </c>
      <c r="AL91" s="45">
        <f>SUM(AL89:AL90)</f>
        <v>0</v>
      </c>
      <c r="AM91" s="50">
        <f>Juin!AM91</f>
        <v>-0.82</v>
      </c>
      <c r="AN91" s="51">
        <f>IF(A90="","",IF(A90&gt;NomMois,0,IF(A90&lt;$A$3,2.5,(NETWORKDAYS(A90,$A$2)/21.66667)*2.5)))</f>
        <v>2.5</v>
      </c>
      <c r="AO91" s="51">
        <f>IF( AN91="",0,+AN91+Avril!AO91)</f>
        <v>30</v>
      </c>
      <c r="AP91" s="50"/>
      <c r="AQ91" s="45">
        <f>+AM91-AI91</f>
        <v>-39.82</v>
      </c>
      <c r="AR91" s="45" t="str">
        <f>+IF(AP91="","",AP91-AJ91)</f>
        <v/>
      </c>
      <c r="AS91" s="102">
        <f t="shared" si="10"/>
        <v>-9.82</v>
      </c>
    </row>
    <row r="92" spans="1:45" s="63" customFormat="1" ht="6.75" customHeight="1" x14ac:dyDescent="0.25">
      <c r="A92" s="64"/>
      <c r="B92" s="42"/>
      <c r="C92" s="64"/>
      <c r="D92" s="64"/>
      <c r="E92" s="64"/>
      <c r="F92" s="64"/>
      <c r="G92" s="64"/>
      <c r="H92" s="64"/>
      <c r="I92" s="64"/>
      <c r="J92" s="64"/>
      <c r="K92" s="64"/>
      <c r="L92" s="64"/>
      <c r="M92" s="64"/>
      <c r="N92" s="64"/>
      <c r="O92" s="64"/>
      <c r="P92" s="64"/>
      <c r="Q92" s="64"/>
      <c r="R92" s="64"/>
      <c r="S92" s="64"/>
      <c r="T92" s="64"/>
      <c r="U92" s="64"/>
      <c r="V92" s="64"/>
      <c r="W92" s="64"/>
      <c r="X92" s="64"/>
      <c r="Y92" s="64"/>
      <c r="Z92" s="64"/>
      <c r="AA92" s="64"/>
      <c r="AB92" s="64"/>
      <c r="AC92" s="64"/>
      <c r="AD92" s="64"/>
      <c r="AE92" s="64"/>
      <c r="AF92" s="64"/>
      <c r="AG92" s="64"/>
      <c r="AH92" s="65"/>
      <c r="AI92" s="65"/>
      <c r="AJ92" s="65"/>
      <c r="AK92" s="65"/>
      <c r="AL92" s="65"/>
      <c r="AM92" s="64"/>
      <c r="AN92" s="65"/>
      <c r="AO92" s="65"/>
      <c r="AP92" s="64"/>
      <c r="AQ92" s="69"/>
      <c r="AR92" s="69"/>
      <c r="AS92" s="65"/>
    </row>
    <row r="93" spans="1:45" ht="12.95" customHeight="1" x14ac:dyDescent="0.25">
      <c r="A93" s="41"/>
      <c r="B93" s="42" t="s">
        <v>15</v>
      </c>
      <c r="C93" s="67"/>
      <c r="D93" s="43"/>
      <c r="E93" s="43"/>
      <c r="F93" s="43"/>
      <c r="G93" s="43"/>
      <c r="H93" s="43"/>
      <c r="I93" s="43"/>
      <c r="J93" s="43"/>
      <c r="K93" s="43"/>
      <c r="L93" s="43"/>
      <c r="M93" s="43"/>
      <c r="N93" s="43"/>
      <c r="O93" s="43"/>
      <c r="P93" s="43"/>
      <c r="Q93" s="43"/>
      <c r="R93" s="43"/>
      <c r="S93" s="43"/>
      <c r="T93" s="43"/>
      <c r="U93" s="43"/>
      <c r="V93" s="43"/>
      <c r="W93" s="43"/>
      <c r="X93" s="43"/>
      <c r="Y93" s="43"/>
      <c r="Z93" s="43"/>
      <c r="AA93" s="43"/>
      <c r="AB93" s="43"/>
      <c r="AC93" s="43"/>
      <c r="AD93" s="43"/>
      <c r="AE93" s="43"/>
      <c r="AF93" s="43"/>
      <c r="AG93" s="43"/>
      <c r="AH93" s="44">
        <f>COUNTA(Mai!$C93:$AG93)</f>
        <v>0</v>
      </c>
      <c r="AI93" s="45">
        <f>(COUNTIFS(Mai!$C93:$AG93,("cp")))/2+Avril!AI93</f>
        <v>0</v>
      </c>
      <c r="AJ93" s="45">
        <f>COUNTIFS(Mai!$C93:$AG93,"RTT")/2+Avril!AJ93</f>
        <v>0</v>
      </c>
      <c r="AK93" s="45">
        <f>COUNTIFS(Mai!$C93:$AG93,"m")/2+Avril!AK93</f>
        <v>5</v>
      </c>
      <c r="AL93" s="45">
        <f>COUNTIFS(Mai!$C93:$AG93,"a")/2+Avril!AL93</f>
        <v>0</v>
      </c>
      <c r="AM93" s="46"/>
      <c r="AN93" s="47"/>
      <c r="AO93" s="47"/>
      <c r="AP93" s="46"/>
      <c r="AQ93" s="47"/>
      <c r="AR93" s="47"/>
      <c r="AS93" s="47"/>
    </row>
    <row r="94" spans="1:45" s="79" customFormat="1" ht="12.95" customHeight="1" x14ac:dyDescent="0.25">
      <c r="A94" s="48">
        <v>42921</v>
      </c>
      <c r="B94" s="42" t="s">
        <v>16</v>
      </c>
      <c r="C94" s="67"/>
      <c r="D94" s="43"/>
      <c r="E94" s="43"/>
      <c r="F94" s="43"/>
      <c r="G94" s="43"/>
      <c r="H94" s="43"/>
      <c r="I94" s="43"/>
      <c r="J94" s="43"/>
      <c r="K94" s="43"/>
      <c r="L94" s="43"/>
      <c r="M94" s="43"/>
      <c r="N94" s="43"/>
      <c r="O94" s="43"/>
      <c r="P94" s="43"/>
      <c r="Q94" s="43"/>
      <c r="R94" s="43"/>
      <c r="S94" s="43"/>
      <c r="T94" s="43"/>
      <c r="U94" s="43"/>
      <c r="V94" s="43"/>
      <c r="W94" s="43"/>
      <c r="X94" s="43"/>
      <c r="Y94" s="43"/>
      <c r="Z94" s="43"/>
      <c r="AA94" s="43"/>
      <c r="AB94" s="43"/>
      <c r="AC94" s="43"/>
      <c r="AD94" s="43"/>
      <c r="AE94" s="43"/>
      <c r="AF94" s="43"/>
      <c r="AG94" s="43"/>
      <c r="AH94" s="44">
        <f>COUNTA(Mai!$C94:$AG94)</f>
        <v>0</v>
      </c>
      <c r="AI94" s="45">
        <f>(COUNTIFS(Mai!$C94:$AG94,("cp")))/2+Avril!AI94</f>
        <v>0</v>
      </c>
      <c r="AJ94" s="45">
        <f>COUNTIFS(Mai!$C94:$AG94,"RTT")/2+Avril!AJ94</f>
        <v>0</v>
      </c>
      <c r="AK94" s="45">
        <f>COUNTIFS(Mai!$C94:$AG94,"m")/2+Avril!AK94</f>
        <v>5</v>
      </c>
      <c r="AL94" s="45">
        <f>COUNTIFS(Mai!$C94:$AG94,"a")/2+Avril!AL94</f>
        <v>0</v>
      </c>
      <c r="AM94" s="46"/>
      <c r="AN94" s="47"/>
      <c r="AO94" s="47"/>
      <c r="AP94" s="46"/>
      <c r="AQ94" s="47"/>
      <c r="AR94" s="47"/>
      <c r="AS94" s="101"/>
    </row>
    <row r="95" spans="1:45" s="79" customFormat="1" ht="12.95" customHeight="1" x14ac:dyDescent="0.25">
      <c r="A95" s="41"/>
      <c r="B95" s="42"/>
      <c r="C95" s="49" t="str">
        <f t="shared" ref="C95:AG95" si="26">IF(C93&gt;0,C93,IF(C94&gt;0,C94,""))</f>
        <v/>
      </c>
      <c r="D95" s="49" t="str">
        <f t="shared" si="26"/>
        <v/>
      </c>
      <c r="E95" s="49" t="str">
        <f t="shared" si="26"/>
        <v/>
      </c>
      <c r="F95" s="49" t="str">
        <f t="shared" si="26"/>
        <v/>
      </c>
      <c r="G95" s="49" t="str">
        <f t="shared" si="26"/>
        <v/>
      </c>
      <c r="H95" s="49" t="str">
        <f t="shared" si="26"/>
        <v/>
      </c>
      <c r="I95" s="49" t="str">
        <f t="shared" si="26"/>
        <v/>
      </c>
      <c r="J95" s="49" t="str">
        <f t="shared" si="26"/>
        <v/>
      </c>
      <c r="K95" s="49" t="str">
        <f t="shared" si="26"/>
        <v/>
      </c>
      <c r="L95" s="49" t="str">
        <f t="shared" si="26"/>
        <v/>
      </c>
      <c r="M95" s="49" t="str">
        <f t="shared" si="26"/>
        <v/>
      </c>
      <c r="N95" s="49" t="str">
        <f t="shared" si="26"/>
        <v/>
      </c>
      <c r="O95" s="49" t="str">
        <f t="shared" si="26"/>
        <v/>
      </c>
      <c r="P95" s="49" t="str">
        <f t="shared" si="26"/>
        <v/>
      </c>
      <c r="Q95" s="49" t="str">
        <f t="shared" si="26"/>
        <v/>
      </c>
      <c r="R95" s="49" t="str">
        <f t="shared" si="26"/>
        <v/>
      </c>
      <c r="S95" s="49" t="str">
        <f t="shared" si="26"/>
        <v/>
      </c>
      <c r="T95" s="49" t="str">
        <f t="shared" si="26"/>
        <v/>
      </c>
      <c r="U95" s="49" t="str">
        <f t="shared" si="26"/>
        <v/>
      </c>
      <c r="V95" s="49" t="str">
        <f t="shared" si="26"/>
        <v/>
      </c>
      <c r="W95" s="49" t="str">
        <f t="shared" si="26"/>
        <v/>
      </c>
      <c r="X95" s="49" t="str">
        <f t="shared" si="26"/>
        <v/>
      </c>
      <c r="Y95" s="49" t="str">
        <f t="shared" si="26"/>
        <v/>
      </c>
      <c r="Z95" s="49" t="str">
        <f t="shared" si="26"/>
        <v/>
      </c>
      <c r="AA95" s="49" t="str">
        <f t="shared" si="26"/>
        <v/>
      </c>
      <c r="AB95" s="49" t="str">
        <f t="shared" si="26"/>
        <v/>
      </c>
      <c r="AC95" s="49" t="str">
        <f t="shared" si="26"/>
        <v/>
      </c>
      <c r="AD95" s="49" t="str">
        <f t="shared" si="26"/>
        <v/>
      </c>
      <c r="AE95" s="49" t="str">
        <f t="shared" si="26"/>
        <v/>
      </c>
      <c r="AF95" s="49" t="str">
        <f t="shared" si="26"/>
        <v/>
      </c>
      <c r="AG95" s="49" t="str">
        <f t="shared" si="26"/>
        <v/>
      </c>
      <c r="AH95" s="44">
        <f>SUM(AH93:AH94)</f>
        <v>0</v>
      </c>
      <c r="AI95" s="45">
        <f>SUM(AI93:AI94)</f>
        <v>0</v>
      </c>
      <c r="AJ95" s="45">
        <f>SUM(AJ93:AJ94)</f>
        <v>0</v>
      </c>
      <c r="AK95" s="45">
        <f>SUM(AK93:AK94)</f>
        <v>10</v>
      </c>
      <c r="AL95" s="45">
        <f>SUM(AL93:AL94)</f>
        <v>0</v>
      </c>
      <c r="AM95" s="50">
        <f>Juin!AM95</f>
        <v>0</v>
      </c>
      <c r="AN95" s="51">
        <f>IF(A94="","",IF(A94&gt;NomMois,0,IF(A94&lt;$A$3,2.08,(NETWORKDAYS(A94,$A$2)/21.66667)*2.08)))</f>
        <v>2.08</v>
      </c>
      <c r="AO95" s="51">
        <f>IF( AN95="",0,+AN95+Avril!AO95)</f>
        <v>22.623999719384656</v>
      </c>
      <c r="AP95" s="50"/>
      <c r="AQ95" s="45">
        <f>+AM95-AI95</f>
        <v>0</v>
      </c>
      <c r="AR95" s="45" t="str">
        <f>+IF(AP95="","",AP95-AJ95)</f>
        <v/>
      </c>
      <c r="AS95" s="102">
        <f t="shared" ref="AS95:AS123" si="27">+AO95+AQ95</f>
        <v>22.623999719384656</v>
      </c>
    </row>
    <row r="96" spans="1:45" s="63" customFormat="1" ht="6.75" customHeight="1" x14ac:dyDescent="0.25">
      <c r="A96" s="64"/>
      <c r="B96" s="42"/>
      <c r="C96" s="64"/>
      <c r="D96" s="64"/>
      <c r="E96" s="64"/>
      <c r="F96" s="64"/>
      <c r="G96" s="64"/>
      <c r="H96" s="64"/>
      <c r="I96" s="64"/>
      <c r="J96" s="64"/>
      <c r="K96" s="64"/>
      <c r="L96" s="64"/>
      <c r="M96" s="64"/>
      <c r="N96" s="64"/>
      <c r="O96" s="64"/>
      <c r="P96" s="64"/>
      <c r="Q96" s="64"/>
      <c r="R96" s="64"/>
      <c r="S96" s="64"/>
      <c r="T96" s="64"/>
      <c r="U96" s="64"/>
      <c r="V96" s="64"/>
      <c r="W96" s="64"/>
      <c r="X96" s="64"/>
      <c r="Y96" s="64"/>
      <c r="Z96" s="64"/>
      <c r="AA96" s="64"/>
      <c r="AB96" s="64"/>
      <c r="AC96" s="64"/>
      <c r="AD96" s="64"/>
      <c r="AE96" s="64"/>
      <c r="AF96" s="64"/>
      <c r="AG96" s="64"/>
      <c r="AH96" s="65"/>
      <c r="AI96" s="65"/>
      <c r="AJ96" s="65"/>
      <c r="AK96" s="65"/>
      <c r="AL96" s="65"/>
      <c r="AM96" s="64"/>
      <c r="AN96" s="65"/>
      <c r="AO96" s="65"/>
      <c r="AP96" s="64"/>
      <c r="AQ96" s="69"/>
      <c r="AR96" s="69"/>
      <c r="AS96" s="65"/>
    </row>
    <row r="97" spans="1:45" s="79" customFormat="1" ht="12.95" customHeight="1" x14ac:dyDescent="0.25">
      <c r="A97" s="70"/>
      <c r="B97" s="42" t="s">
        <v>15</v>
      </c>
      <c r="C97" s="71"/>
      <c r="D97" s="71"/>
      <c r="E97" s="71"/>
      <c r="F97" s="71"/>
      <c r="G97" s="71"/>
      <c r="H97" s="71"/>
      <c r="I97" s="71"/>
      <c r="J97" s="71"/>
      <c r="K97" s="71"/>
      <c r="L97" s="71"/>
      <c r="M97" s="71"/>
      <c r="N97" s="71"/>
      <c r="O97" s="71"/>
      <c r="P97" s="71"/>
      <c r="Q97" s="71"/>
      <c r="R97" s="71"/>
      <c r="S97" s="71"/>
      <c r="T97" s="71"/>
      <c r="U97" s="71"/>
      <c r="V97" s="71"/>
      <c r="W97" s="71"/>
      <c r="X97" s="71"/>
      <c r="Y97" s="71"/>
      <c r="Z97" s="71"/>
      <c r="AA97" s="71"/>
      <c r="AB97" s="71"/>
      <c r="AC97" s="71"/>
      <c r="AD97" s="71"/>
      <c r="AE97" s="71"/>
      <c r="AF97" s="71"/>
      <c r="AG97" s="71"/>
      <c r="AH97" s="72">
        <f>COUNTA(Mai!$C97:$AG97)</f>
        <v>0</v>
      </c>
      <c r="AI97" s="45">
        <f>(COUNTIFS(Mai!$C97:$AG97,("cp")))/2+Avril!AI97</f>
        <v>14.5</v>
      </c>
      <c r="AJ97" s="45">
        <f>COUNTIFS(Mai!$C97:$AG97,"RTT")/2+Avril!AJ97</f>
        <v>0</v>
      </c>
      <c r="AK97" s="45">
        <f>COUNTIFS(Mai!$C97:$AG97,"m")/2+Avril!AK97</f>
        <v>0</v>
      </c>
      <c r="AL97" s="45">
        <f>COUNTIFS(Mai!$C97:$AG97,"a")/2+Avril!AL97</f>
        <v>0</v>
      </c>
      <c r="AM97" s="46"/>
      <c r="AN97" s="47"/>
      <c r="AO97" s="47"/>
      <c r="AP97" s="46"/>
      <c r="AQ97" s="47"/>
      <c r="AR97" s="47"/>
      <c r="AS97" s="47"/>
    </row>
    <row r="98" spans="1:45" s="79" customFormat="1" ht="12.95" customHeight="1" x14ac:dyDescent="0.25">
      <c r="A98" s="73">
        <v>42736</v>
      </c>
      <c r="B98" s="42" t="s">
        <v>16</v>
      </c>
      <c r="C98" s="71"/>
      <c r="D98" s="71"/>
      <c r="E98" s="71"/>
      <c r="F98" s="71"/>
      <c r="G98" s="71"/>
      <c r="H98" s="71"/>
      <c r="I98" s="71"/>
      <c r="J98" s="71"/>
      <c r="K98" s="71"/>
      <c r="L98" s="71"/>
      <c r="M98" s="71"/>
      <c r="N98" s="71"/>
      <c r="O98" s="71"/>
      <c r="P98" s="71"/>
      <c r="Q98" s="71"/>
      <c r="R98" s="71"/>
      <c r="S98" s="71"/>
      <c r="T98" s="71"/>
      <c r="U98" s="71"/>
      <c r="V98" s="71"/>
      <c r="W98" s="71"/>
      <c r="X98" s="71"/>
      <c r="Y98" s="71"/>
      <c r="Z98" s="71"/>
      <c r="AA98" s="71"/>
      <c r="AB98" s="71"/>
      <c r="AC98" s="71"/>
      <c r="AD98" s="71"/>
      <c r="AE98" s="71"/>
      <c r="AF98" s="71"/>
      <c r="AG98" s="71"/>
      <c r="AH98" s="72">
        <f>COUNTA(Mai!$C98:$AG98)</f>
        <v>0</v>
      </c>
      <c r="AI98" s="45">
        <f>(COUNTIFS(Mai!$C98:$AG98,("cp")))/2+Avril!AI98</f>
        <v>14.5</v>
      </c>
      <c r="AJ98" s="45">
        <f>COUNTIFS(Mai!$C98:$AG98,"RTT")/2+Avril!AJ98</f>
        <v>0</v>
      </c>
      <c r="AK98" s="45">
        <f>COUNTIFS(Mai!$C98:$AG98,"m")/2+Avril!AK98</f>
        <v>0</v>
      </c>
      <c r="AL98" s="45">
        <f>COUNTIFS(Mai!$C98:$AG98,"a")/2+Avril!AL98</f>
        <v>0</v>
      </c>
      <c r="AM98" s="46"/>
      <c r="AN98" s="47"/>
      <c r="AO98" s="47"/>
      <c r="AP98" s="46"/>
      <c r="AQ98" s="47"/>
      <c r="AR98" s="47"/>
      <c r="AS98" s="101"/>
    </row>
    <row r="99" spans="1:45" s="79" customFormat="1" ht="12.95" customHeight="1" x14ac:dyDescent="0.25">
      <c r="A99" s="70"/>
      <c r="B99" s="42"/>
      <c r="C99" s="71" t="str">
        <f t="shared" ref="C99:AG99" si="28">IF(C97&gt;0,C97,IF(C98&gt;0,C98,""))</f>
        <v/>
      </c>
      <c r="D99" s="71" t="str">
        <f t="shared" si="28"/>
        <v/>
      </c>
      <c r="E99" s="71" t="str">
        <f t="shared" si="28"/>
        <v/>
      </c>
      <c r="F99" s="71" t="str">
        <f t="shared" si="28"/>
        <v/>
      </c>
      <c r="G99" s="71" t="str">
        <f t="shared" si="28"/>
        <v/>
      </c>
      <c r="H99" s="71" t="str">
        <f t="shared" si="28"/>
        <v/>
      </c>
      <c r="I99" s="71" t="str">
        <f t="shared" si="28"/>
        <v/>
      </c>
      <c r="J99" s="71" t="str">
        <f t="shared" si="28"/>
        <v/>
      </c>
      <c r="K99" s="71" t="str">
        <f t="shared" si="28"/>
        <v/>
      </c>
      <c r="L99" s="71" t="str">
        <f t="shared" si="28"/>
        <v/>
      </c>
      <c r="M99" s="71" t="str">
        <f t="shared" si="28"/>
        <v/>
      </c>
      <c r="N99" s="71" t="str">
        <f t="shared" si="28"/>
        <v/>
      </c>
      <c r="O99" s="71" t="str">
        <f t="shared" si="28"/>
        <v/>
      </c>
      <c r="P99" s="71" t="str">
        <f t="shared" si="28"/>
        <v/>
      </c>
      <c r="Q99" s="71" t="str">
        <f t="shared" si="28"/>
        <v/>
      </c>
      <c r="R99" s="71" t="str">
        <f t="shared" si="28"/>
        <v/>
      </c>
      <c r="S99" s="71" t="str">
        <f t="shared" si="28"/>
        <v/>
      </c>
      <c r="T99" s="71" t="str">
        <f t="shared" si="28"/>
        <v/>
      </c>
      <c r="U99" s="71" t="str">
        <f t="shared" si="28"/>
        <v/>
      </c>
      <c r="V99" s="71" t="str">
        <f t="shared" si="28"/>
        <v/>
      </c>
      <c r="W99" s="71" t="str">
        <f t="shared" si="28"/>
        <v/>
      </c>
      <c r="X99" s="71" t="str">
        <f t="shared" si="28"/>
        <v/>
      </c>
      <c r="Y99" s="71" t="str">
        <f t="shared" si="28"/>
        <v/>
      </c>
      <c r="Z99" s="71" t="str">
        <f t="shared" si="28"/>
        <v/>
      </c>
      <c r="AA99" s="71" t="str">
        <f t="shared" si="28"/>
        <v/>
      </c>
      <c r="AB99" s="71" t="str">
        <f t="shared" si="28"/>
        <v/>
      </c>
      <c r="AC99" s="71" t="str">
        <f t="shared" si="28"/>
        <v/>
      </c>
      <c r="AD99" s="71" t="str">
        <f t="shared" si="28"/>
        <v/>
      </c>
      <c r="AE99" s="71" t="str">
        <f t="shared" si="28"/>
        <v/>
      </c>
      <c r="AF99" s="71" t="str">
        <f t="shared" si="28"/>
        <v/>
      </c>
      <c r="AG99" s="71" t="str">
        <f t="shared" si="28"/>
        <v/>
      </c>
      <c r="AH99" s="72">
        <f>SUM(AH97:AH98)</f>
        <v>0</v>
      </c>
      <c r="AI99" s="45">
        <f>SUM(AI97:AI98)</f>
        <v>29</v>
      </c>
      <c r="AJ99" s="45">
        <f>SUM(AJ97:AJ98)</f>
        <v>0</v>
      </c>
      <c r="AK99" s="45">
        <f>SUM(AK97:AK98)</f>
        <v>0</v>
      </c>
      <c r="AL99" s="45">
        <f>SUM(AL97:AL98)</f>
        <v>0</v>
      </c>
      <c r="AM99" s="50">
        <f>Juin!AM99</f>
        <v>5.41</v>
      </c>
      <c r="AN99" s="51">
        <f>IF(A98="","",IF(A98&gt;NomMois,0,IF(A98&lt;$A$3,2.08,(NETWORKDAYS(A98,$A$2)/21.66667)*2.08)))</f>
        <v>2.08</v>
      </c>
      <c r="AO99" s="51">
        <f>IF( AN99="",0,+AN99+Avril!AO99)</f>
        <v>24.959999999999994</v>
      </c>
      <c r="AP99" s="50"/>
      <c r="AQ99" s="45">
        <f>+AM99-AI99</f>
        <v>-23.59</v>
      </c>
      <c r="AR99" s="45" t="str">
        <f>+IF(AP99="","",AP99-AJ99)</f>
        <v/>
      </c>
      <c r="AS99" s="102">
        <f t="shared" si="27"/>
        <v>1.3699999999999939</v>
      </c>
    </row>
    <row r="100" spans="1:45" s="63" customFormat="1" ht="6.75" customHeight="1" x14ac:dyDescent="0.25">
      <c r="A100" s="64"/>
      <c r="B100" s="42"/>
      <c r="C100" s="64"/>
      <c r="D100" s="64"/>
      <c r="E100" s="64"/>
      <c r="F100" s="64"/>
      <c r="G100" s="64"/>
      <c r="H100" s="64"/>
      <c r="I100" s="64"/>
      <c r="J100" s="64"/>
      <c r="K100" s="64"/>
      <c r="L100" s="64"/>
      <c r="M100" s="64"/>
      <c r="N100" s="64"/>
      <c r="O100" s="64"/>
      <c r="P100" s="64"/>
      <c r="Q100" s="64"/>
      <c r="R100" s="64"/>
      <c r="S100" s="64"/>
      <c r="T100" s="64"/>
      <c r="U100" s="64"/>
      <c r="V100" s="64"/>
      <c r="W100" s="64"/>
      <c r="X100" s="64"/>
      <c r="Y100" s="64"/>
      <c r="Z100" s="64"/>
      <c r="AA100" s="64"/>
      <c r="AB100" s="64"/>
      <c r="AC100" s="64"/>
      <c r="AD100" s="64"/>
      <c r="AE100" s="64"/>
      <c r="AF100" s="64"/>
      <c r="AG100" s="64"/>
      <c r="AH100" s="65"/>
      <c r="AI100" s="65"/>
      <c r="AJ100" s="65"/>
      <c r="AK100" s="65"/>
      <c r="AL100" s="65"/>
      <c r="AM100" s="64"/>
      <c r="AN100" s="65"/>
      <c r="AO100" s="65"/>
      <c r="AP100" s="64"/>
      <c r="AQ100" s="69"/>
      <c r="AR100" s="69"/>
      <c r="AS100" s="65"/>
    </row>
    <row r="101" spans="1:45" s="79" customFormat="1" ht="12.95" customHeight="1" x14ac:dyDescent="0.25">
      <c r="A101" s="70"/>
      <c r="B101" s="42" t="s">
        <v>15</v>
      </c>
      <c r="C101" s="71"/>
      <c r="D101" s="71"/>
      <c r="E101" s="71"/>
      <c r="F101" s="71"/>
      <c r="G101" s="71"/>
      <c r="H101" s="71"/>
      <c r="I101" s="71"/>
      <c r="J101" s="71"/>
      <c r="K101" s="71"/>
      <c r="L101" s="71"/>
      <c r="M101" s="71"/>
      <c r="N101" s="71"/>
      <c r="O101" s="71"/>
      <c r="P101" s="71"/>
      <c r="Q101" s="71"/>
      <c r="R101" s="71"/>
      <c r="S101" s="71"/>
      <c r="T101" s="71"/>
      <c r="U101" s="71"/>
      <c r="V101" s="71"/>
      <c r="W101" s="71"/>
      <c r="X101" s="71"/>
      <c r="Y101" s="71"/>
      <c r="Z101" s="71"/>
      <c r="AA101" s="71"/>
      <c r="AB101" s="71"/>
      <c r="AC101" s="71"/>
      <c r="AD101" s="71"/>
      <c r="AE101" s="71"/>
      <c r="AF101" s="71"/>
      <c r="AG101" s="71"/>
      <c r="AH101" s="72">
        <f>COUNTA(Mai!$C101:$AG101)</f>
        <v>0</v>
      </c>
      <c r="AI101" s="45">
        <f>(COUNTIFS(Mai!$C101:$AG101,("cp")))/2+Avril!AI101</f>
        <v>5</v>
      </c>
      <c r="AJ101" s="45">
        <f>COUNTIFS(Mai!$C101:$AG101,"RTT")/2+Avril!AJ101</f>
        <v>0</v>
      </c>
      <c r="AK101" s="45">
        <f>COUNTIFS(Mai!$C101:$AG101,"m")/2+Avril!AK101</f>
        <v>0</v>
      </c>
      <c r="AL101" s="45">
        <f>COUNTIFS(Mai!$C101:$AG101,"a")/2+Avril!AL101</f>
        <v>0</v>
      </c>
      <c r="AM101" s="46"/>
      <c r="AN101" s="47"/>
      <c r="AO101" s="47"/>
      <c r="AP101" s="46"/>
      <c r="AQ101" s="47"/>
      <c r="AR101" s="47"/>
      <c r="AS101" s="47"/>
    </row>
    <row r="102" spans="1:45" s="79" customFormat="1" ht="12.95" customHeight="1" x14ac:dyDescent="0.25">
      <c r="A102" s="73">
        <v>42814</v>
      </c>
      <c r="B102" s="42" t="s">
        <v>16</v>
      </c>
      <c r="C102" s="71"/>
      <c r="D102" s="71"/>
      <c r="E102" s="71"/>
      <c r="F102" s="71"/>
      <c r="G102" s="71"/>
      <c r="H102" s="71"/>
      <c r="I102" s="71"/>
      <c r="J102" s="71"/>
      <c r="K102" s="71"/>
      <c r="L102" s="71"/>
      <c r="M102" s="71"/>
      <c r="N102" s="71"/>
      <c r="O102" s="71"/>
      <c r="P102" s="71"/>
      <c r="Q102" s="71"/>
      <c r="R102" s="71"/>
      <c r="S102" s="71"/>
      <c r="T102" s="71"/>
      <c r="U102" s="71"/>
      <c r="V102" s="71"/>
      <c r="W102" s="71"/>
      <c r="X102" s="71"/>
      <c r="Y102" s="71"/>
      <c r="Z102" s="71"/>
      <c r="AA102" s="71"/>
      <c r="AB102" s="71"/>
      <c r="AC102" s="71"/>
      <c r="AD102" s="71"/>
      <c r="AE102" s="71"/>
      <c r="AF102" s="71"/>
      <c r="AG102" s="71"/>
      <c r="AH102" s="72">
        <f>COUNTA(Mai!$C102:$AG102)</f>
        <v>0</v>
      </c>
      <c r="AI102" s="45">
        <f>(COUNTIFS(Mai!$C102:$AG102,("cp")))/2+Avril!AI102</f>
        <v>5</v>
      </c>
      <c r="AJ102" s="45">
        <f>COUNTIFS(Mai!$C102:$AG102,"RTT")/2+Avril!AJ102</f>
        <v>0</v>
      </c>
      <c r="AK102" s="45">
        <f>COUNTIFS(Mai!$C102:$AG102,"m")/2+Avril!AK102</f>
        <v>0</v>
      </c>
      <c r="AL102" s="45">
        <f>COUNTIFS(Mai!$C102:$AG102,"a")/2+Avril!AL102</f>
        <v>0</v>
      </c>
      <c r="AM102" s="46"/>
      <c r="AN102" s="47"/>
      <c r="AO102" s="47"/>
      <c r="AP102" s="46"/>
      <c r="AQ102" s="47"/>
      <c r="AR102" s="47"/>
      <c r="AS102" s="101"/>
    </row>
    <row r="103" spans="1:45" s="79" customFormat="1" ht="12.95" customHeight="1" x14ac:dyDescent="0.25">
      <c r="A103" s="70"/>
      <c r="B103" s="42"/>
      <c r="C103" s="71" t="str">
        <f t="shared" ref="C103:AG103" si="29">IF(C101&gt;0,C101,IF(C102&gt;0,C102,""))</f>
        <v/>
      </c>
      <c r="D103" s="71" t="str">
        <f t="shared" si="29"/>
        <v/>
      </c>
      <c r="E103" s="71" t="str">
        <f t="shared" si="29"/>
        <v/>
      </c>
      <c r="F103" s="71" t="str">
        <f t="shared" si="29"/>
        <v/>
      </c>
      <c r="G103" s="71" t="str">
        <f t="shared" si="29"/>
        <v/>
      </c>
      <c r="H103" s="71" t="str">
        <f t="shared" si="29"/>
        <v/>
      </c>
      <c r="I103" s="71" t="str">
        <f t="shared" si="29"/>
        <v/>
      </c>
      <c r="J103" s="71" t="str">
        <f t="shared" si="29"/>
        <v/>
      </c>
      <c r="K103" s="71" t="str">
        <f t="shared" si="29"/>
        <v/>
      </c>
      <c r="L103" s="71" t="str">
        <f t="shared" si="29"/>
        <v/>
      </c>
      <c r="M103" s="71" t="str">
        <f t="shared" si="29"/>
        <v/>
      </c>
      <c r="N103" s="71" t="str">
        <f t="shared" si="29"/>
        <v/>
      </c>
      <c r="O103" s="71" t="str">
        <f t="shared" si="29"/>
        <v/>
      </c>
      <c r="P103" s="71" t="str">
        <f t="shared" si="29"/>
        <v/>
      </c>
      <c r="Q103" s="71" t="str">
        <f t="shared" si="29"/>
        <v/>
      </c>
      <c r="R103" s="71" t="str">
        <f t="shared" si="29"/>
        <v/>
      </c>
      <c r="S103" s="71" t="str">
        <f t="shared" si="29"/>
        <v/>
      </c>
      <c r="T103" s="71" t="str">
        <f t="shared" si="29"/>
        <v/>
      </c>
      <c r="U103" s="71" t="str">
        <f t="shared" si="29"/>
        <v/>
      </c>
      <c r="V103" s="71" t="str">
        <f t="shared" si="29"/>
        <v/>
      </c>
      <c r="W103" s="71" t="str">
        <f t="shared" si="29"/>
        <v/>
      </c>
      <c r="X103" s="71" t="str">
        <f t="shared" si="29"/>
        <v/>
      </c>
      <c r="Y103" s="71" t="str">
        <f t="shared" si="29"/>
        <v/>
      </c>
      <c r="Z103" s="71" t="str">
        <f t="shared" si="29"/>
        <v/>
      </c>
      <c r="AA103" s="71" t="str">
        <f t="shared" si="29"/>
        <v/>
      </c>
      <c r="AB103" s="71" t="str">
        <f t="shared" si="29"/>
        <v/>
      </c>
      <c r="AC103" s="71" t="str">
        <f t="shared" si="29"/>
        <v/>
      </c>
      <c r="AD103" s="71" t="str">
        <f t="shared" si="29"/>
        <v/>
      </c>
      <c r="AE103" s="71" t="str">
        <f t="shared" si="29"/>
        <v/>
      </c>
      <c r="AF103" s="71" t="str">
        <f t="shared" si="29"/>
        <v/>
      </c>
      <c r="AG103" s="71" t="str">
        <f t="shared" si="29"/>
        <v/>
      </c>
      <c r="AH103" s="72">
        <f>SUM(AH101:AH102)</f>
        <v>0</v>
      </c>
      <c r="AI103" s="45">
        <f>SUM(AI101:AI102)</f>
        <v>10</v>
      </c>
      <c r="AJ103" s="45">
        <f>SUM(AJ101:AJ102)</f>
        <v>0</v>
      </c>
      <c r="AK103" s="45">
        <f>SUM(AK101:AK102)</f>
        <v>0</v>
      </c>
      <c r="AL103" s="45">
        <f>SUM(AL101:AL102)</f>
        <v>0</v>
      </c>
      <c r="AM103" s="50">
        <f>Juin!AM103</f>
        <v>2.65</v>
      </c>
      <c r="AN103" s="51">
        <f>IF(A102="","",IF(A102&gt;NomMois,0,IF(A102&lt;$A$3,2.08,(NETWORKDAYS(A102,$A$2)/21.66667)*2.08)))</f>
        <v>2.08</v>
      </c>
      <c r="AO103" s="51">
        <f>IF( AN103="",0,+AN103+Avril!AO103)</f>
        <v>24.959999999999994</v>
      </c>
      <c r="AP103" s="50"/>
      <c r="AQ103" s="45">
        <f>+AM103-AI103</f>
        <v>-7.35</v>
      </c>
      <c r="AR103" s="45" t="str">
        <f>+IF(AP103="","",AP103-AJ103)</f>
        <v/>
      </c>
      <c r="AS103" s="102">
        <f t="shared" si="27"/>
        <v>17.609999999999992</v>
      </c>
    </row>
    <row r="104" spans="1:45" s="79" customFormat="1" ht="8.25" customHeight="1" x14ac:dyDescent="0.25">
      <c r="A104" s="64"/>
      <c r="B104" s="42"/>
      <c r="C104" s="64"/>
      <c r="D104" s="64"/>
      <c r="E104" s="64"/>
      <c r="F104" s="64"/>
      <c r="G104" s="64"/>
      <c r="H104" s="64"/>
      <c r="I104" s="64"/>
      <c r="J104" s="64"/>
      <c r="K104" s="64"/>
      <c r="L104" s="64"/>
      <c r="M104" s="64"/>
      <c r="N104" s="64"/>
      <c r="O104" s="64"/>
      <c r="P104" s="64"/>
      <c r="Q104" s="64"/>
      <c r="R104" s="64"/>
      <c r="S104" s="64"/>
      <c r="T104" s="64"/>
      <c r="U104" s="64"/>
      <c r="V104" s="64"/>
      <c r="W104" s="64"/>
      <c r="X104" s="64"/>
      <c r="Y104" s="64"/>
      <c r="Z104" s="64"/>
      <c r="AA104" s="64"/>
      <c r="AB104" s="64"/>
      <c r="AC104" s="64"/>
      <c r="AD104" s="64"/>
      <c r="AE104" s="64"/>
      <c r="AF104" s="64"/>
      <c r="AG104" s="64"/>
      <c r="AH104" s="65"/>
      <c r="AI104" s="65"/>
      <c r="AJ104" s="65"/>
      <c r="AK104" s="65"/>
      <c r="AL104" s="65"/>
      <c r="AM104" s="64"/>
      <c r="AN104" s="65"/>
      <c r="AO104" s="65"/>
      <c r="AP104" s="64"/>
      <c r="AQ104" s="69"/>
      <c r="AR104" s="69"/>
      <c r="AS104" s="65"/>
    </row>
    <row r="105" spans="1:45" s="79" customFormat="1" ht="12.95" customHeight="1" x14ac:dyDescent="0.25">
      <c r="A105" s="41"/>
      <c r="B105" s="42" t="s">
        <v>15</v>
      </c>
      <c r="C105" s="67"/>
      <c r="D105" s="43"/>
      <c r="E105" s="43"/>
      <c r="F105" s="43"/>
      <c r="G105" s="43"/>
      <c r="H105" s="43"/>
      <c r="I105" s="43"/>
      <c r="J105" s="43"/>
      <c r="K105" s="43"/>
      <c r="L105" s="43"/>
      <c r="M105" s="43"/>
      <c r="N105" s="43"/>
      <c r="O105" s="43"/>
      <c r="P105" s="43"/>
      <c r="Q105" s="43"/>
      <c r="R105" s="43"/>
      <c r="S105" s="43"/>
      <c r="T105" s="43"/>
      <c r="U105" s="43"/>
      <c r="V105" s="43"/>
      <c r="W105" s="43"/>
      <c r="X105" s="43"/>
      <c r="Y105" s="43"/>
      <c r="Z105" s="43"/>
      <c r="AA105" s="43"/>
      <c r="AB105" s="43"/>
      <c r="AC105" s="43"/>
      <c r="AD105" s="43"/>
      <c r="AE105" s="43"/>
      <c r="AF105" s="43"/>
      <c r="AG105" s="43"/>
      <c r="AH105" s="44">
        <f>COUNTA(Mai!$C105:$AG105)</f>
        <v>0</v>
      </c>
      <c r="AI105" s="45">
        <f>(COUNTIFS(Mai!$C105:$AG105,("cp")))/2+Avril!AI105</f>
        <v>0</v>
      </c>
      <c r="AJ105" s="45">
        <f>COUNTIFS(Mai!$C105:$AG105,"RTT")/2+Avril!AJ105</f>
        <v>0</v>
      </c>
      <c r="AK105" s="45">
        <f>COUNTIFS(Mai!$C105:$AG105,"m")/2+Avril!AK105</f>
        <v>0</v>
      </c>
      <c r="AL105" s="45">
        <f>COUNTIFS(Mai!$C105:$AG105,"a")/2+Avril!AL105</f>
        <v>0</v>
      </c>
      <c r="AM105" s="46"/>
      <c r="AN105" s="47"/>
      <c r="AO105" s="47"/>
      <c r="AP105" s="46"/>
      <c r="AQ105" s="47"/>
      <c r="AR105" s="47"/>
      <c r="AS105" s="47"/>
    </row>
    <row r="106" spans="1:45" s="79" customFormat="1" ht="12.95" customHeight="1" x14ac:dyDescent="0.25">
      <c r="A106" s="48">
        <v>43037</v>
      </c>
      <c r="B106" s="42" t="s">
        <v>16</v>
      </c>
      <c r="C106" s="67"/>
      <c r="D106" s="43"/>
      <c r="E106" s="43"/>
      <c r="F106" s="43"/>
      <c r="G106" s="43"/>
      <c r="H106" s="43"/>
      <c r="I106" s="43"/>
      <c r="J106" s="43"/>
      <c r="K106" s="43"/>
      <c r="L106" s="43"/>
      <c r="M106" s="43"/>
      <c r="N106" s="43"/>
      <c r="O106" s="43"/>
      <c r="P106" s="43"/>
      <c r="Q106" s="43"/>
      <c r="R106" s="43"/>
      <c r="S106" s="43"/>
      <c r="T106" s="43"/>
      <c r="U106" s="43"/>
      <c r="V106" s="43"/>
      <c r="W106" s="43"/>
      <c r="X106" s="43"/>
      <c r="Y106" s="43"/>
      <c r="Z106" s="43"/>
      <c r="AA106" s="43"/>
      <c r="AB106" s="43"/>
      <c r="AC106" s="43"/>
      <c r="AD106" s="43"/>
      <c r="AE106" s="43"/>
      <c r="AF106" s="43"/>
      <c r="AG106" s="43"/>
      <c r="AH106" s="44">
        <f>COUNTA(Mai!$C106:$AG106)</f>
        <v>0</v>
      </c>
      <c r="AI106" s="45">
        <f>(COUNTIFS(Mai!$C106:$AG106,("cp")))/2+Avril!AI106</f>
        <v>0</v>
      </c>
      <c r="AJ106" s="45">
        <f>COUNTIFS(Mai!$C106:$AG106,"RTT")/2+Avril!AJ106</f>
        <v>0</v>
      </c>
      <c r="AK106" s="45">
        <f>COUNTIFS(Mai!$C106:$AG106,"m")/2+Avril!AK106</f>
        <v>0</v>
      </c>
      <c r="AL106" s="45">
        <f>COUNTIFS(Mai!$C106:$AG106,"a")/2+Avril!AL106</f>
        <v>0</v>
      </c>
      <c r="AM106" s="46"/>
      <c r="AN106" s="47"/>
      <c r="AO106" s="47"/>
      <c r="AP106" s="46"/>
      <c r="AQ106" s="47"/>
      <c r="AR106" s="47"/>
      <c r="AS106" s="101"/>
    </row>
    <row r="107" spans="1:45" s="79" customFormat="1" ht="12.95" customHeight="1" x14ac:dyDescent="0.25">
      <c r="A107" s="41"/>
      <c r="B107" s="42"/>
      <c r="C107" s="49" t="str">
        <f t="shared" ref="C107:AG107" si="30">IF(C105&gt;0,C105,IF(C106&gt;0,C106,""))</f>
        <v/>
      </c>
      <c r="D107" s="49" t="str">
        <f t="shared" si="30"/>
        <v/>
      </c>
      <c r="E107" s="49" t="str">
        <f t="shared" si="30"/>
        <v/>
      </c>
      <c r="F107" s="49" t="str">
        <f t="shared" si="30"/>
        <v/>
      </c>
      <c r="G107" s="49" t="str">
        <f t="shared" si="30"/>
        <v/>
      </c>
      <c r="H107" s="49" t="str">
        <f t="shared" si="30"/>
        <v/>
      </c>
      <c r="I107" s="49" t="str">
        <f t="shared" si="30"/>
        <v/>
      </c>
      <c r="J107" s="49" t="str">
        <f t="shared" si="30"/>
        <v/>
      </c>
      <c r="K107" s="49" t="str">
        <f t="shared" si="30"/>
        <v/>
      </c>
      <c r="L107" s="49" t="str">
        <f t="shared" si="30"/>
        <v/>
      </c>
      <c r="M107" s="49" t="str">
        <f t="shared" si="30"/>
        <v/>
      </c>
      <c r="N107" s="49" t="str">
        <f t="shared" si="30"/>
        <v/>
      </c>
      <c r="O107" s="49" t="str">
        <f t="shared" si="30"/>
        <v/>
      </c>
      <c r="P107" s="49" t="str">
        <f t="shared" si="30"/>
        <v/>
      </c>
      <c r="Q107" s="49" t="str">
        <f t="shared" si="30"/>
        <v/>
      </c>
      <c r="R107" s="49" t="str">
        <f t="shared" si="30"/>
        <v/>
      </c>
      <c r="S107" s="49" t="str">
        <f t="shared" si="30"/>
        <v/>
      </c>
      <c r="T107" s="49" t="str">
        <f t="shared" si="30"/>
        <v/>
      </c>
      <c r="U107" s="49" t="str">
        <f t="shared" si="30"/>
        <v/>
      </c>
      <c r="V107" s="49" t="str">
        <f t="shared" si="30"/>
        <v/>
      </c>
      <c r="W107" s="49" t="str">
        <f t="shared" si="30"/>
        <v/>
      </c>
      <c r="X107" s="49" t="str">
        <f t="shared" si="30"/>
        <v/>
      </c>
      <c r="Y107" s="49" t="str">
        <f t="shared" si="30"/>
        <v/>
      </c>
      <c r="Z107" s="49" t="str">
        <f t="shared" si="30"/>
        <v/>
      </c>
      <c r="AA107" s="49" t="str">
        <f t="shared" si="30"/>
        <v/>
      </c>
      <c r="AB107" s="49" t="str">
        <f t="shared" si="30"/>
        <v/>
      </c>
      <c r="AC107" s="49" t="str">
        <f t="shared" si="30"/>
        <v/>
      </c>
      <c r="AD107" s="49" t="str">
        <f t="shared" si="30"/>
        <v/>
      </c>
      <c r="AE107" s="49" t="str">
        <f t="shared" si="30"/>
        <v/>
      </c>
      <c r="AF107" s="49" t="str">
        <f t="shared" si="30"/>
        <v/>
      </c>
      <c r="AG107" s="49" t="str">
        <f t="shared" si="30"/>
        <v/>
      </c>
      <c r="AH107" s="44">
        <f>SUM(AH105:AH106)</f>
        <v>0</v>
      </c>
      <c r="AI107" s="45">
        <f>SUM(AI105:AI106)</f>
        <v>0</v>
      </c>
      <c r="AJ107" s="45">
        <f>SUM(AJ105:AJ106)</f>
        <v>0</v>
      </c>
      <c r="AK107" s="45">
        <f>SUM(AK105:AK106)</f>
        <v>0</v>
      </c>
      <c r="AL107" s="45">
        <f>SUM(AL105:AL106)</f>
        <v>0</v>
      </c>
      <c r="AM107" s="50">
        <v>0</v>
      </c>
      <c r="AN107" s="51">
        <f>IF(A106="","",IF(A106&gt;NomMois,0,IF(A106&lt;$A$3,2.08,(NETWORKDAYS(A106,$A$2)/21.66667)*2.08)))</f>
        <v>2.08</v>
      </c>
      <c r="AO107" s="51">
        <f>IF( AN107="",0,+AN107+Avril!AO107)</f>
        <v>14.751999970461544</v>
      </c>
      <c r="AP107" s="50"/>
      <c r="AQ107" s="45">
        <f>+AM107-AI107</f>
        <v>0</v>
      </c>
      <c r="AR107" s="45" t="str">
        <f>+IF(AP107="","",AP107-AJ107)</f>
        <v/>
      </c>
      <c r="AS107" s="102">
        <f t="shared" si="27"/>
        <v>14.751999970461544</v>
      </c>
    </row>
    <row r="108" spans="1:45" s="79" customFormat="1" ht="6.75" customHeight="1" x14ac:dyDescent="0.25">
      <c r="A108" s="64"/>
      <c r="B108" s="42"/>
      <c r="C108" s="64"/>
      <c r="D108" s="64"/>
      <c r="E108" s="64"/>
      <c r="F108" s="64"/>
      <c r="G108" s="64"/>
      <c r="H108" s="64"/>
      <c r="I108" s="64"/>
      <c r="J108" s="64"/>
      <c r="K108" s="64"/>
      <c r="L108" s="64"/>
      <c r="M108" s="64"/>
      <c r="N108" s="64"/>
      <c r="O108" s="64"/>
      <c r="P108" s="64"/>
      <c r="Q108" s="64"/>
      <c r="R108" s="64"/>
      <c r="S108" s="64"/>
      <c r="T108" s="64"/>
      <c r="U108" s="64"/>
      <c r="V108" s="64"/>
      <c r="W108" s="64"/>
      <c r="X108" s="64"/>
      <c r="Y108" s="64"/>
      <c r="Z108" s="64"/>
      <c r="AA108" s="64"/>
      <c r="AB108" s="64"/>
      <c r="AC108" s="64"/>
      <c r="AD108" s="64"/>
      <c r="AE108" s="64"/>
      <c r="AF108" s="64"/>
      <c r="AG108" s="64"/>
      <c r="AH108" s="65"/>
      <c r="AI108" s="65"/>
      <c r="AJ108" s="65"/>
      <c r="AK108" s="65"/>
      <c r="AL108" s="65"/>
      <c r="AM108" s="64"/>
      <c r="AN108" s="65"/>
      <c r="AO108" s="65"/>
      <c r="AP108" s="64"/>
      <c r="AQ108" s="69"/>
      <c r="AR108" s="69"/>
      <c r="AS108" s="65"/>
    </row>
    <row r="109" spans="1:45" s="79" customFormat="1" ht="12.95" customHeight="1" x14ac:dyDescent="0.25">
      <c r="A109" s="41"/>
      <c r="B109" s="42" t="s">
        <v>15</v>
      </c>
      <c r="C109" s="67"/>
      <c r="D109" s="43"/>
      <c r="E109" s="43"/>
      <c r="F109" s="43"/>
      <c r="G109" s="43"/>
      <c r="H109" s="43"/>
      <c r="I109" s="43"/>
      <c r="J109" s="43"/>
      <c r="K109" s="43"/>
      <c r="L109" s="43"/>
      <c r="M109" s="43"/>
      <c r="N109" s="43"/>
      <c r="O109" s="43"/>
      <c r="P109" s="43"/>
      <c r="Q109" s="43"/>
      <c r="R109" s="43"/>
      <c r="S109" s="43"/>
      <c r="T109" s="43"/>
      <c r="U109" s="43"/>
      <c r="V109" s="43"/>
      <c r="W109" s="43"/>
      <c r="X109" s="43"/>
      <c r="Y109" s="43"/>
      <c r="Z109" s="43"/>
      <c r="AA109" s="43"/>
      <c r="AB109" s="43"/>
      <c r="AC109" s="43"/>
      <c r="AD109" s="43"/>
      <c r="AE109" s="43"/>
      <c r="AF109" s="43"/>
      <c r="AG109" s="43"/>
      <c r="AH109" s="44">
        <f>COUNTA(Mai!$C109:$AG109)</f>
        <v>0</v>
      </c>
      <c r="AI109" s="45">
        <f>(COUNTIFS(Mai!$C109:$AG109,("cp")))/2+Avril!AI109</f>
        <v>0</v>
      </c>
      <c r="AJ109" s="45">
        <f>COUNTIFS(Mai!$C109:$AG109,"RTT")/2+Avril!AJ109</f>
        <v>0</v>
      </c>
      <c r="AK109" s="45">
        <f>COUNTIFS(Mai!$C109:$AG109,"m")/2+Avril!AK109</f>
        <v>0</v>
      </c>
      <c r="AL109" s="45">
        <f>COUNTIFS(Mai!$C109:$AG109,"a")/2+Avril!AL109</f>
        <v>0</v>
      </c>
      <c r="AM109" s="46"/>
      <c r="AN109" s="47"/>
      <c r="AO109" s="47"/>
      <c r="AP109" s="46"/>
      <c r="AQ109" s="47"/>
      <c r="AR109" s="47"/>
      <c r="AS109" s="47"/>
    </row>
    <row r="110" spans="1:45" s="79" customFormat="1" ht="12.95" customHeight="1" x14ac:dyDescent="0.25">
      <c r="A110" s="48">
        <v>42991</v>
      </c>
      <c r="B110" s="42" t="s">
        <v>16</v>
      </c>
      <c r="C110" s="67"/>
      <c r="D110" s="43"/>
      <c r="E110" s="43"/>
      <c r="F110" s="43"/>
      <c r="G110" s="43"/>
      <c r="H110" s="43"/>
      <c r="I110" s="43"/>
      <c r="J110" s="43"/>
      <c r="K110" s="43"/>
      <c r="L110" s="43"/>
      <c r="M110" s="43"/>
      <c r="N110" s="43"/>
      <c r="O110" s="43"/>
      <c r="P110" s="43"/>
      <c r="Q110" s="43"/>
      <c r="R110" s="43"/>
      <c r="S110" s="43"/>
      <c r="T110" s="43"/>
      <c r="U110" s="43"/>
      <c r="V110" s="43"/>
      <c r="W110" s="43"/>
      <c r="X110" s="43"/>
      <c r="Y110" s="43"/>
      <c r="Z110" s="43"/>
      <c r="AA110" s="43"/>
      <c r="AB110" s="43"/>
      <c r="AC110" s="43"/>
      <c r="AD110" s="43"/>
      <c r="AE110" s="43"/>
      <c r="AF110" s="43"/>
      <c r="AG110" s="43"/>
      <c r="AH110" s="44">
        <f>COUNTA(Mai!$C110:$AG110)</f>
        <v>0</v>
      </c>
      <c r="AI110" s="45">
        <f>(COUNTIFS(Mai!$C110:$AG110,("cp")))/2+Avril!AI110</f>
        <v>0</v>
      </c>
      <c r="AJ110" s="45">
        <f>COUNTIFS(Mai!$C110:$AG110,"RTT")/2+Avril!AJ110</f>
        <v>0</v>
      </c>
      <c r="AK110" s="45">
        <f>COUNTIFS(Mai!$C110:$AG110,"m")/2+Avril!AK110</f>
        <v>0</v>
      </c>
      <c r="AL110" s="45">
        <f>COUNTIFS(Mai!$C110:$AG110,"a")/2+Avril!AL110</f>
        <v>0</v>
      </c>
      <c r="AM110" s="46"/>
      <c r="AN110" s="47"/>
      <c r="AO110" s="47"/>
      <c r="AP110" s="46"/>
      <c r="AQ110" s="47"/>
      <c r="AR110" s="47"/>
      <c r="AS110" s="101"/>
    </row>
    <row r="111" spans="1:45" s="79" customFormat="1" ht="12.95" customHeight="1" x14ac:dyDescent="0.25">
      <c r="A111" s="41"/>
      <c r="B111" s="42"/>
      <c r="C111" s="49" t="str">
        <f t="shared" ref="C111:AG111" si="31">IF(C109&gt;0,C109,IF(C110&gt;0,C110,""))</f>
        <v/>
      </c>
      <c r="D111" s="49" t="str">
        <f t="shared" si="31"/>
        <v/>
      </c>
      <c r="E111" s="49" t="str">
        <f t="shared" si="31"/>
        <v/>
      </c>
      <c r="F111" s="49" t="str">
        <f t="shared" si="31"/>
        <v/>
      </c>
      <c r="G111" s="49" t="str">
        <f t="shared" si="31"/>
        <v/>
      </c>
      <c r="H111" s="49" t="str">
        <f t="shared" si="31"/>
        <v/>
      </c>
      <c r="I111" s="49" t="str">
        <f t="shared" si="31"/>
        <v/>
      </c>
      <c r="J111" s="49" t="str">
        <f t="shared" si="31"/>
        <v/>
      </c>
      <c r="K111" s="49" t="str">
        <f t="shared" si="31"/>
        <v/>
      </c>
      <c r="L111" s="49" t="str">
        <f t="shared" si="31"/>
        <v/>
      </c>
      <c r="M111" s="49" t="str">
        <f t="shared" si="31"/>
        <v/>
      </c>
      <c r="N111" s="49" t="str">
        <f t="shared" si="31"/>
        <v/>
      </c>
      <c r="O111" s="49" t="str">
        <f t="shared" si="31"/>
        <v/>
      </c>
      <c r="P111" s="49" t="str">
        <f t="shared" si="31"/>
        <v/>
      </c>
      <c r="Q111" s="49" t="str">
        <f t="shared" si="31"/>
        <v/>
      </c>
      <c r="R111" s="49" t="str">
        <f t="shared" si="31"/>
        <v/>
      </c>
      <c r="S111" s="49" t="str">
        <f t="shared" si="31"/>
        <v/>
      </c>
      <c r="T111" s="49" t="str">
        <f t="shared" si="31"/>
        <v/>
      </c>
      <c r="U111" s="49" t="str">
        <f t="shared" si="31"/>
        <v/>
      </c>
      <c r="V111" s="49" t="str">
        <f t="shared" si="31"/>
        <v/>
      </c>
      <c r="W111" s="49" t="str">
        <f t="shared" si="31"/>
        <v/>
      </c>
      <c r="X111" s="49" t="str">
        <f t="shared" si="31"/>
        <v/>
      </c>
      <c r="Y111" s="49" t="str">
        <f t="shared" si="31"/>
        <v/>
      </c>
      <c r="Z111" s="49" t="str">
        <f t="shared" si="31"/>
        <v/>
      </c>
      <c r="AA111" s="49" t="str">
        <f t="shared" si="31"/>
        <v/>
      </c>
      <c r="AB111" s="49" t="str">
        <f t="shared" si="31"/>
        <v/>
      </c>
      <c r="AC111" s="49" t="str">
        <f t="shared" si="31"/>
        <v/>
      </c>
      <c r="AD111" s="49" t="str">
        <f t="shared" si="31"/>
        <v/>
      </c>
      <c r="AE111" s="49" t="str">
        <f t="shared" si="31"/>
        <v/>
      </c>
      <c r="AF111" s="49" t="str">
        <f t="shared" si="31"/>
        <v/>
      </c>
      <c r="AG111" s="49" t="str">
        <f t="shared" si="31"/>
        <v/>
      </c>
      <c r="AH111" s="44">
        <f>SUM(AH109:AH110)</f>
        <v>0</v>
      </c>
      <c r="AI111" s="45">
        <f>SUM(AI109:AI110)</f>
        <v>0</v>
      </c>
      <c r="AJ111" s="45">
        <f>SUM(AJ109:AJ110)</f>
        <v>0</v>
      </c>
      <c r="AK111" s="45">
        <f>SUM(AK109:AK110)</f>
        <v>0</v>
      </c>
      <c r="AL111" s="45">
        <f>SUM(AL109:AL110)</f>
        <v>0</v>
      </c>
      <c r="AM111" s="50">
        <v>0</v>
      </c>
      <c r="AN111" s="51">
        <f>IF(A110="","",IF(A110&gt;NomMois,0,IF(A110&lt;$A$3,2.08,(NETWORKDAYS(A110,$A$2)/21.66667)*2.08)))</f>
        <v>2.08</v>
      </c>
      <c r="AO111" s="51">
        <f>IF( AN111="",0,+AN111+Avril!AO111)</f>
        <v>17.887999808000032</v>
      </c>
      <c r="AP111" s="50"/>
      <c r="AQ111" s="45">
        <f>+AM111-AI111</f>
        <v>0</v>
      </c>
      <c r="AR111" s="45" t="str">
        <f>+IF(AP111="","",AP111-AJ111)</f>
        <v/>
      </c>
      <c r="AS111" s="102">
        <f t="shared" si="27"/>
        <v>17.887999808000032</v>
      </c>
    </row>
    <row r="112" spans="1:45" s="79" customFormat="1" ht="6.75" customHeight="1" x14ac:dyDescent="0.25">
      <c r="A112" s="64"/>
      <c r="B112" s="42"/>
      <c r="C112" s="64"/>
      <c r="D112" s="64"/>
      <c r="E112" s="64"/>
      <c r="F112" s="64"/>
      <c r="G112" s="64"/>
      <c r="H112" s="64"/>
      <c r="I112" s="64"/>
      <c r="J112" s="64"/>
      <c r="K112" s="64"/>
      <c r="L112" s="64"/>
      <c r="M112" s="64"/>
      <c r="N112" s="64"/>
      <c r="O112" s="64"/>
      <c r="P112" s="64"/>
      <c r="Q112" s="64"/>
      <c r="R112" s="64"/>
      <c r="S112" s="64"/>
      <c r="T112" s="64"/>
      <c r="U112" s="64"/>
      <c r="V112" s="64"/>
      <c r="W112" s="64"/>
      <c r="X112" s="64"/>
      <c r="Y112" s="64"/>
      <c r="Z112" s="64"/>
      <c r="AA112" s="64"/>
      <c r="AB112" s="64"/>
      <c r="AC112" s="64"/>
      <c r="AD112" s="64"/>
      <c r="AE112" s="64"/>
      <c r="AF112" s="64"/>
      <c r="AG112" s="64"/>
      <c r="AH112" s="65"/>
      <c r="AI112" s="65"/>
      <c r="AJ112" s="65"/>
      <c r="AK112" s="65"/>
      <c r="AL112" s="65"/>
      <c r="AM112" s="64"/>
      <c r="AN112" s="65"/>
      <c r="AO112" s="65"/>
      <c r="AP112" s="64"/>
      <c r="AQ112" s="69"/>
      <c r="AR112" s="69"/>
      <c r="AS112" s="65"/>
    </row>
    <row r="113" spans="1:45" s="79" customFormat="1" ht="12.95" customHeight="1" x14ac:dyDescent="0.25">
      <c r="A113" s="41"/>
      <c r="B113" s="42" t="s">
        <v>15</v>
      </c>
      <c r="C113" s="67"/>
      <c r="D113" s="43"/>
      <c r="E113" s="43"/>
      <c r="F113" s="43"/>
      <c r="G113" s="43"/>
      <c r="H113" s="43"/>
      <c r="I113" s="43"/>
      <c r="J113" s="43"/>
      <c r="K113" s="43"/>
      <c r="L113" s="43"/>
      <c r="M113" s="43"/>
      <c r="N113" s="43"/>
      <c r="O113" s="43"/>
      <c r="P113" s="43"/>
      <c r="Q113" s="43"/>
      <c r="R113" s="43"/>
      <c r="S113" s="43"/>
      <c r="T113" s="43"/>
      <c r="U113" s="43"/>
      <c r="V113" s="43"/>
      <c r="W113" s="43"/>
      <c r="X113" s="43"/>
      <c r="Y113" s="43"/>
      <c r="Z113" s="43"/>
      <c r="AA113" s="43"/>
      <c r="AB113" s="43"/>
      <c r="AC113" s="43"/>
      <c r="AD113" s="43"/>
      <c r="AE113" s="43"/>
      <c r="AF113" s="43"/>
      <c r="AG113" s="43"/>
      <c r="AH113" s="44">
        <f>COUNTA(Mai!$C113:$AG113)</f>
        <v>0</v>
      </c>
      <c r="AI113" s="45">
        <f>(COUNTIFS(Mai!$C113:$AG113,("cp")))/2+Avril!AI113</f>
        <v>0</v>
      </c>
      <c r="AJ113" s="45">
        <f>COUNTIFS(Mai!$C113:$AG113,"RTT")/2+Avril!AJ113</f>
        <v>0</v>
      </c>
      <c r="AK113" s="45">
        <f>COUNTIFS(Mai!$C113:$AG113,"m")/2+Avril!AK113</f>
        <v>0</v>
      </c>
      <c r="AL113" s="45">
        <f>COUNTIFS(Mai!$C113:$AG113,"a")/2+Avril!AL113</f>
        <v>0</v>
      </c>
      <c r="AM113" s="46"/>
      <c r="AN113" s="47"/>
      <c r="AO113" s="47"/>
      <c r="AP113" s="46"/>
      <c r="AQ113" s="47"/>
      <c r="AR113" s="47"/>
      <c r="AS113" s="47"/>
    </row>
    <row r="114" spans="1:45" s="79" customFormat="1" ht="12.95" customHeight="1" x14ac:dyDescent="0.25">
      <c r="A114" s="48">
        <v>43052</v>
      </c>
      <c r="B114" s="42" t="s">
        <v>16</v>
      </c>
      <c r="C114" s="67"/>
      <c r="D114" s="43"/>
      <c r="E114" s="43"/>
      <c r="F114" s="43"/>
      <c r="G114" s="43"/>
      <c r="H114" s="43"/>
      <c r="I114" s="43"/>
      <c r="J114" s="43"/>
      <c r="K114" s="43"/>
      <c r="L114" s="43"/>
      <c r="M114" s="43"/>
      <c r="N114" s="43"/>
      <c r="O114" s="43"/>
      <c r="P114" s="43"/>
      <c r="Q114" s="43"/>
      <c r="R114" s="43"/>
      <c r="S114" s="43"/>
      <c r="T114" s="43"/>
      <c r="U114" s="43"/>
      <c r="V114" s="43"/>
      <c r="W114" s="43"/>
      <c r="X114" s="43"/>
      <c r="Y114" s="43"/>
      <c r="Z114" s="43"/>
      <c r="AA114" s="43"/>
      <c r="AB114" s="43"/>
      <c r="AC114" s="43"/>
      <c r="AD114" s="43"/>
      <c r="AE114" s="43"/>
      <c r="AF114" s="43"/>
      <c r="AG114" s="43"/>
      <c r="AH114" s="44">
        <f>COUNTA(Mai!$C114:$AG114)</f>
        <v>0</v>
      </c>
      <c r="AI114" s="45">
        <f>(COUNTIFS(Mai!$C114:$AG114,("cp")))/2+Avril!AI114</f>
        <v>0</v>
      </c>
      <c r="AJ114" s="45">
        <f>COUNTIFS(Mai!$C114:$AG114,"RTT")/2+Avril!AJ114</f>
        <v>0</v>
      </c>
      <c r="AK114" s="45">
        <f>COUNTIFS(Mai!$C114:$AG114,"m")/2+Avril!AK114</f>
        <v>0</v>
      </c>
      <c r="AL114" s="45">
        <f>COUNTIFS(Mai!$C114:$AG114,"a")/2+Avril!AL114</f>
        <v>0</v>
      </c>
      <c r="AM114" s="46"/>
      <c r="AN114" s="47"/>
      <c r="AO114" s="47"/>
      <c r="AP114" s="46"/>
      <c r="AQ114" s="47"/>
      <c r="AR114" s="47"/>
      <c r="AS114" s="101"/>
    </row>
    <row r="115" spans="1:45" s="79" customFormat="1" ht="12.95" customHeight="1" x14ac:dyDescent="0.25">
      <c r="A115" s="41"/>
      <c r="B115" s="42"/>
      <c r="C115" s="49" t="str">
        <f t="shared" ref="C115:AG115" si="32">IF(C113&gt;0,C113,IF(C114&gt;0,C114,""))</f>
        <v/>
      </c>
      <c r="D115" s="49" t="str">
        <f t="shared" si="32"/>
        <v/>
      </c>
      <c r="E115" s="49" t="str">
        <f t="shared" si="32"/>
        <v/>
      </c>
      <c r="F115" s="49" t="str">
        <f t="shared" si="32"/>
        <v/>
      </c>
      <c r="G115" s="49" t="str">
        <f t="shared" si="32"/>
        <v/>
      </c>
      <c r="H115" s="49" t="str">
        <f t="shared" si="32"/>
        <v/>
      </c>
      <c r="I115" s="49" t="str">
        <f t="shared" si="32"/>
        <v/>
      </c>
      <c r="J115" s="49" t="str">
        <f t="shared" si="32"/>
        <v/>
      </c>
      <c r="K115" s="49" t="str">
        <f t="shared" si="32"/>
        <v/>
      </c>
      <c r="L115" s="49" t="str">
        <f t="shared" si="32"/>
        <v/>
      </c>
      <c r="M115" s="49" t="str">
        <f t="shared" si="32"/>
        <v/>
      </c>
      <c r="N115" s="49" t="str">
        <f t="shared" si="32"/>
        <v/>
      </c>
      <c r="O115" s="49" t="str">
        <f t="shared" si="32"/>
        <v/>
      </c>
      <c r="P115" s="49" t="str">
        <f t="shared" si="32"/>
        <v/>
      </c>
      <c r="Q115" s="49" t="str">
        <f t="shared" si="32"/>
        <v/>
      </c>
      <c r="R115" s="49" t="str">
        <f t="shared" si="32"/>
        <v/>
      </c>
      <c r="S115" s="49" t="str">
        <f t="shared" si="32"/>
        <v/>
      </c>
      <c r="T115" s="49" t="str">
        <f t="shared" si="32"/>
        <v/>
      </c>
      <c r="U115" s="49" t="str">
        <f t="shared" si="32"/>
        <v/>
      </c>
      <c r="V115" s="49" t="str">
        <f t="shared" si="32"/>
        <v/>
      </c>
      <c r="W115" s="49" t="str">
        <f t="shared" si="32"/>
        <v/>
      </c>
      <c r="X115" s="49" t="str">
        <f t="shared" si="32"/>
        <v/>
      </c>
      <c r="Y115" s="49" t="str">
        <f t="shared" si="32"/>
        <v/>
      </c>
      <c r="Z115" s="49" t="str">
        <f t="shared" si="32"/>
        <v/>
      </c>
      <c r="AA115" s="49" t="str">
        <f t="shared" si="32"/>
        <v/>
      </c>
      <c r="AB115" s="49" t="str">
        <f t="shared" si="32"/>
        <v/>
      </c>
      <c r="AC115" s="49" t="str">
        <f t="shared" si="32"/>
        <v/>
      </c>
      <c r="AD115" s="49" t="str">
        <f t="shared" si="32"/>
        <v/>
      </c>
      <c r="AE115" s="49" t="str">
        <f t="shared" si="32"/>
        <v/>
      </c>
      <c r="AF115" s="49" t="str">
        <f t="shared" si="32"/>
        <v/>
      </c>
      <c r="AG115" s="49" t="str">
        <f t="shared" si="32"/>
        <v/>
      </c>
      <c r="AH115" s="44">
        <f>SUM(AH113:AH114)</f>
        <v>0</v>
      </c>
      <c r="AI115" s="45">
        <f>SUM(AI113:AI114)</f>
        <v>0</v>
      </c>
      <c r="AJ115" s="45">
        <f>SUM(AJ113:AJ114)</f>
        <v>0</v>
      </c>
      <c r="AK115" s="45">
        <f>SUM(AK113:AK114)</f>
        <v>0</v>
      </c>
      <c r="AL115" s="45">
        <f>SUM(AL113:AL114)</f>
        <v>0</v>
      </c>
      <c r="AM115" s="50">
        <v>0</v>
      </c>
      <c r="AN115" s="51">
        <f>IF(A114="","",IF(A114&gt;NomMois,0,IF(A114&lt;$A$3,2.08,(NETWORKDAYS(A114,$A$2)/21.66667)*2.08)))</f>
        <v>2.08</v>
      </c>
      <c r="AO115" s="51">
        <f>IF( AN115="",0,+AN115+Avril!AO115)</f>
        <v>13.823999793230801</v>
      </c>
      <c r="AP115" s="50"/>
      <c r="AQ115" s="45">
        <f>+AM115-AI115</f>
        <v>0</v>
      </c>
      <c r="AR115" s="45" t="str">
        <f>+IF(AP115="","",AP115-AJ115)</f>
        <v/>
      </c>
      <c r="AS115" s="102">
        <f t="shared" si="27"/>
        <v>13.823999793230801</v>
      </c>
    </row>
    <row r="116" spans="1:45" s="79" customFormat="1" ht="6.75" customHeight="1" x14ac:dyDescent="0.25">
      <c r="A116" s="64"/>
      <c r="B116" s="42"/>
      <c r="C116" s="64"/>
      <c r="D116" s="64"/>
      <c r="E116" s="64"/>
      <c r="F116" s="64"/>
      <c r="G116" s="64"/>
      <c r="H116" s="64"/>
      <c r="I116" s="64"/>
      <c r="J116" s="64"/>
      <c r="K116" s="64"/>
      <c r="L116" s="64"/>
      <c r="M116" s="64"/>
      <c r="N116" s="64"/>
      <c r="O116" s="64"/>
      <c r="P116" s="64"/>
      <c r="Q116" s="64"/>
      <c r="R116" s="64"/>
      <c r="S116" s="64"/>
      <c r="T116" s="64"/>
      <c r="U116" s="64"/>
      <c r="V116" s="64"/>
      <c r="W116" s="64"/>
      <c r="X116" s="64"/>
      <c r="Y116" s="64"/>
      <c r="Z116" s="64"/>
      <c r="AA116" s="64"/>
      <c r="AB116" s="64"/>
      <c r="AC116" s="64"/>
      <c r="AD116" s="64"/>
      <c r="AE116" s="64"/>
      <c r="AF116" s="64"/>
      <c r="AG116" s="64"/>
      <c r="AH116" s="65"/>
      <c r="AI116" s="65"/>
      <c r="AJ116" s="65"/>
      <c r="AK116" s="65"/>
      <c r="AL116" s="65"/>
      <c r="AM116" s="64"/>
      <c r="AN116" s="65"/>
      <c r="AO116" s="65"/>
      <c r="AP116" s="64"/>
      <c r="AQ116" s="69"/>
      <c r="AR116" s="69"/>
      <c r="AS116" s="65"/>
    </row>
    <row r="117" spans="1:45" s="79" customFormat="1" ht="12.95" customHeight="1" x14ac:dyDescent="0.25">
      <c r="A117" s="41"/>
      <c r="B117" s="42" t="s">
        <v>15</v>
      </c>
      <c r="C117" s="67"/>
      <c r="D117" s="43"/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  <c r="S117" s="43"/>
      <c r="T117" s="43"/>
      <c r="U117" s="43"/>
      <c r="V117" s="43"/>
      <c r="W117" s="43"/>
      <c r="X117" s="43"/>
      <c r="Y117" s="43"/>
      <c r="Z117" s="43"/>
      <c r="AA117" s="43"/>
      <c r="AB117" s="43"/>
      <c r="AC117" s="43"/>
      <c r="AD117" s="43"/>
      <c r="AE117" s="43"/>
      <c r="AF117" s="43"/>
      <c r="AG117" s="43"/>
      <c r="AH117" s="44">
        <f>COUNTA(Mai!$C117:$AG117)</f>
        <v>0</v>
      </c>
      <c r="AI117" s="45">
        <f>(COUNTIFS(Mai!$C117:$AG117,("cp")))/2+Avril!AI117</f>
        <v>0</v>
      </c>
      <c r="AJ117" s="45">
        <f>COUNTIFS(Mai!$C117:$AG117,"RTT")/2+Avril!AJ117</f>
        <v>0</v>
      </c>
      <c r="AK117" s="45">
        <f>COUNTIFS(Mai!$C117:$AG117,"m")/2+Avril!AK117</f>
        <v>0</v>
      </c>
      <c r="AL117" s="45">
        <f>COUNTIFS(Mai!$C117:$AG117,"a")/2+Avril!AL117</f>
        <v>0</v>
      </c>
      <c r="AM117" s="46"/>
      <c r="AN117" s="47"/>
      <c r="AO117" s="47"/>
      <c r="AP117" s="46"/>
      <c r="AQ117" s="47"/>
      <c r="AR117" s="47"/>
      <c r="AS117" s="47"/>
    </row>
    <row r="118" spans="1:45" s="79" customFormat="1" ht="12.95" customHeight="1" x14ac:dyDescent="0.25">
      <c r="A118" s="48"/>
      <c r="B118" s="42" t="s">
        <v>16</v>
      </c>
      <c r="C118" s="67"/>
      <c r="D118" s="43"/>
      <c r="E118" s="43"/>
      <c r="F118" s="43"/>
      <c r="G118" s="43"/>
      <c r="H118" s="43"/>
      <c r="I118" s="43"/>
      <c r="J118" s="43"/>
      <c r="K118" s="43"/>
      <c r="L118" s="43"/>
      <c r="M118" s="43"/>
      <c r="N118" s="43"/>
      <c r="O118" s="43"/>
      <c r="P118" s="43"/>
      <c r="Q118" s="43"/>
      <c r="R118" s="43"/>
      <c r="S118" s="43"/>
      <c r="T118" s="43"/>
      <c r="U118" s="43"/>
      <c r="V118" s="43"/>
      <c r="W118" s="43"/>
      <c r="X118" s="43"/>
      <c r="Y118" s="43"/>
      <c r="Z118" s="43"/>
      <c r="AA118" s="43"/>
      <c r="AB118" s="43"/>
      <c r="AC118" s="43"/>
      <c r="AD118" s="43"/>
      <c r="AE118" s="43"/>
      <c r="AF118" s="43"/>
      <c r="AG118" s="43"/>
      <c r="AH118" s="44">
        <f>COUNTA(Mai!$C118:$AG118)</f>
        <v>0</v>
      </c>
      <c r="AI118" s="45">
        <f>(COUNTIFS(Mai!$C118:$AG118,("cp")))/2+Avril!AI118</f>
        <v>0</v>
      </c>
      <c r="AJ118" s="45">
        <f>COUNTIFS(Mai!$C118:$AG118,"RTT")/2+Avril!AJ118</f>
        <v>0</v>
      </c>
      <c r="AK118" s="45">
        <f>COUNTIFS(Mai!$C118:$AG118,"m")/2+Avril!AK118</f>
        <v>0</v>
      </c>
      <c r="AL118" s="45">
        <f>COUNTIFS(Mai!$C118:$AG118,"a")/2+Avril!AL118</f>
        <v>0</v>
      </c>
      <c r="AM118" s="46"/>
      <c r="AN118" s="47"/>
      <c r="AO118" s="47"/>
      <c r="AP118" s="46"/>
      <c r="AQ118" s="47"/>
      <c r="AR118" s="47"/>
      <c r="AS118" s="101"/>
    </row>
    <row r="119" spans="1:45" s="79" customFormat="1" ht="12.95" customHeight="1" x14ac:dyDescent="0.25">
      <c r="A119" s="41"/>
      <c r="B119" s="42"/>
      <c r="C119" s="49" t="str">
        <f t="shared" ref="C119:AG119" si="33">IF(C117&gt;0,C117,IF(C118&gt;0,C118,""))</f>
        <v/>
      </c>
      <c r="D119" s="49" t="str">
        <f t="shared" si="33"/>
        <v/>
      </c>
      <c r="E119" s="49" t="str">
        <f t="shared" si="33"/>
        <v/>
      </c>
      <c r="F119" s="49" t="str">
        <f t="shared" si="33"/>
        <v/>
      </c>
      <c r="G119" s="49" t="str">
        <f t="shared" si="33"/>
        <v/>
      </c>
      <c r="H119" s="49" t="str">
        <f t="shared" si="33"/>
        <v/>
      </c>
      <c r="I119" s="49" t="str">
        <f t="shared" si="33"/>
        <v/>
      </c>
      <c r="J119" s="49" t="str">
        <f t="shared" si="33"/>
        <v/>
      </c>
      <c r="K119" s="49" t="str">
        <f t="shared" si="33"/>
        <v/>
      </c>
      <c r="L119" s="49" t="str">
        <f t="shared" si="33"/>
        <v/>
      </c>
      <c r="M119" s="49" t="str">
        <f t="shared" si="33"/>
        <v/>
      </c>
      <c r="N119" s="49" t="str">
        <f t="shared" si="33"/>
        <v/>
      </c>
      <c r="O119" s="49" t="str">
        <f t="shared" si="33"/>
        <v/>
      </c>
      <c r="P119" s="49" t="str">
        <f t="shared" si="33"/>
        <v/>
      </c>
      <c r="Q119" s="49" t="str">
        <f t="shared" si="33"/>
        <v/>
      </c>
      <c r="R119" s="49" t="str">
        <f t="shared" si="33"/>
        <v/>
      </c>
      <c r="S119" s="49" t="str">
        <f t="shared" si="33"/>
        <v/>
      </c>
      <c r="T119" s="49" t="str">
        <f t="shared" si="33"/>
        <v/>
      </c>
      <c r="U119" s="49" t="str">
        <f t="shared" si="33"/>
        <v/>
      </c>
      <c r="V119" s="49" t="str">
        <f t="shared" si="33"/>
        <v/>
      </c>
      <c r="W119" s="49" t="str">
        <f t="shared" si="33"/>
        <v/>
      </c>
      <c r="X119" s="49" t="str">
        <f t="shared" si="33"/>
        <v/>
      </c>
      <c r="Y119" s="49" t="str">
        <f t="shared" si="33"/>
        <v/>
      </c>
      <c r="Z119" s="49" t="str">
        <f t="shared" si="33"/>
        <v/>
      </c>
      <c r="AA119" s="49" t="str">
        <f t="shared" si="33"/>
        <v/>
      </c>
      <c r="AB119" s="49" t="str">
        <f t="shared" si="33"/>
        <v/>
      </c>
      <c r="AC119" s="49" t="str">
        <f t="shared" si="33"/>
        <v/>
      </c>
      <c r="AD119" s="49" t="str">
        <f t="shared" si="33"/>
        <v/>
      </c>
      <c r="AE119" s="49" t="str">
        <f t="shared" si="33"/>
        <v/>
      </c>
      <c r="AF119" s="49" t="str">
        <f t="shared" si="33"/>
        <v/>
      </c>
      <c r="AG119" s="49" t="str">
        <f t="shared" si="33"/>
        <v/>
      </c>
      <c r="AH119" s="44">
        <f>SUM(AH117:AH118)</f>
        <v>0</v>
      </c>
      <c r="AI119" s="45">
        <f>SUM(AI117:AI118)</f>
        <v>0</v>
      </c>
      <c r="AJ119" s="45">
        <f>SUM(AJ117:AJ118)</f>
        <v>0</v>
      </c>
      <c r="AK119" s="45">
        <f>SUM(AK117:AK118)</f>
        <v>0</v>
      </c>
      <c r="AL119" s="45">
        <f>SUM(AL117:AL118)</f>
        <v>0</v>
      </c>
      <c r="AM119" s="50">
        <v>0</v>
      </c>
      <c r="AN119" s="51" t="str">
        <f>IF(A118="","",IF(A118&gt;NomMois,0,IF(A118&lt;$A$3,2.08,(NETWORKDAYS(A118,$A$2)/21.66667)*2.08)))</f>
        <v/>
      </c>
      <c r="AO119" s="51">
        <f>IF( AN119="",0,+AN119+Avril!AO119)</f>
        <v>0</v>
      </c>
      <c r="AP119" s="50"/>
      <c r="AQ119" s="45">
        <f>+AM119-AI119</f>
        <v>0</v>
      </c>
      <c r="AR119" s="45" t="str">
        <f>+IF(AP119="","",AP119-AJ119)</f>
        <v/>
      </c>
      <c r="AS119" s="102">
        <f t="shared" si="27"/>
        <v>0</v>
      </c>
    </row>
    <row r="120" spans="1:45" s="79" customFormat="1" ht="6.75" customHeight="1" x14ac:dyDescent="0.25">
      <c r="A120" s="64"/>
      <c r="B120" s="42"/>
      <c r="C120" s="64"/>
      <c r="D120" s="64"/>
      <c r="E120" s="64"/>
      <c r="F120" s="64"/>
      <c r="G120" s="64"/>
      <c r="H120" s="64"/>
      <c r="I120" s="64"/>
      <c r="J120" s="64"/>
      <c r="K120" s="64"/>
      <c r="L120" s="64"/>
      <c r="M120" s="64"/>
      <c r="N120" s="64"/>
      <c r="O120" s="64"/>
      <c r="P120" s="64"/>
      <c r="Q120" s="64"/>
      <c r="R120" s="64"/>
      <c r="S120" s="64"/>
      <c r="T120" s="64"/>
      <c r="U120" s="64"/>
      <c r="V120" s="64"/>
      <c r="W120" s="64"/>
      <c r="X120" s="64"/>
      <c r="Y120" s="64"/>
      <c r="Z120" s="64"/>
      <c r="AA120" s="64"/>
      <c r="AB120" s="64"/>
      <c r="AC120" s="64"/>
      <c r="AD120" s="64"/>
      <c r="AE120" s="64"/>
      <c r="AF120" s="64"/>
      <c r="AG120" s="64"/>
      <c r="AH120" s="65"/>
      <c r="AI120" s="65"/>
      <c r="AJ120" s="65"/>
      <c r="AK120" s="65"/>
      <c r="AL120" s="65"/>
      <c r="AM120" s="64"/>
      <c r="AN120" s="65"/>
      <c r="AO120" s="65"/>
      <c r="AP120" s="64"/>
      <c r="AQ120" s="69"/>
      <c r="AR120" s="69"/>
      <c r="AS120" s="65"/>
    </row>
    <row r="121" spans="1:45" s="79" customFormat="1" ht="12.95" customHeight="1" x14ac:dyDescent="0.25">
      <c r="A121" s="41"/>
      <c r="B121" s="42" t="s">
        <v>15</v>
      </c>
      <c r="C121" s="67"/>
      <c r="D121" s="43"/>
      <c r="E121" s="43"/>
      <c r="F121" s="43"/>
      <c r="G121" s="43"/>
      <c r="H121" s="43"/>
      <c r="I121" s="43"/>
      <c r="J121" s="43"/>
      <c r="K121" s="43"/>
      <c r="L121" s="43"/>
      <c r="M121" s="43"/>
      <c r="N121" s="43"/>
      <c r="O121" s="43"/>
      <c r="P121" s="43"/>
      <c r="Q121" s="43"/>
      <c r="R121" s="43"/>
      <c r="S121" s="43"/>
      <c r="T121" s="43"/>
      <c r="U121" s="43"/>
      <c r="V121" s="43"/>
      <c r="W121" s="43"/>
      <c r="X121" s="43"/>
      <c r="Y121" s="43"/>
      <c r="Z121" s="43"/>
      <c r="AA121" s="43"/>
      <c r="AB121" s="43"/>
      <c r="AC121" s="43"/>
      <c r="AD121" s="43"/>
      <c r="AE121" s="43"/>
      <c r="AF121" s="43"/>
      <c r="AG121" s="43"/>
      <c r="AH121" s="44">
        <f>COUNTA(Mai!$C121:$AG121)</f>
        <v>0</v>
      </c>
      <c r="AI121" s="45">
        <f>(COUNTIFS(Mai!$C121:$AG121,("cp")))/2+Avril!AI121</f>
        <v>0</v>
      </c>
      <c r="AJ121" s="45">
        <f>COUNTIFS(Mai!$C121:$AG121,"RTT")/2+Avril!AJ121</f>
        <v>0</v>
      </c>
      <c r="AK121" s="45">
        <f>COUNTIFS(Mai!$C121:$AG121,"m")/2+Avril!AK121</f>
        <v>0</v>
      </c>
      <c r="AL121" s="45">
        <f>COUNTIFS(Mai!$C121:$AG121,"a")/2+Avril!AL121</f>
        <v>0</v>
      </c>
      <c r="AM121" s="46"/>
      <c r="AN121" s="47"/>
      <c r="AO121" s="47"/>
      <c r="AP121" s="46"/>
      <c r="AQ121" s="47"/>
      <c r="AR121" s="47"/>
      <c r="AS121" s="47"/>
    </row>
    <row r="122" spans="1:45" s="79" customFormat="1" ht="12.95" customHeight="1" x14ac:dyDescent="0.25">
      <c r="A122" s="48"/>
      <c r="B122" s="42" t="s">
        <v>16</v>
      </c>
      <c r="C122" s="67"/>
      <c r="D122" s="43"/>
      <c r="E122" s="43"/>
      <c r="F122" s="43"/>
      <c r="G122" s="43"/>
      <c r="H122" s="43"/>
      <c r="I122" s="43"/>
      <c r="J122" s="43"/>
      <c r="K122" s="43"/>
      <c r="L122" s="43"/>
      <c r="M122" s="43"/>
      <c r="N122" s="43"/>
      <c r="O122" s="43"/>
      <c r="P122" s="43"/>
      <c r="Q122" s="43"/>
      <c r="R122" s="43"/>
      <c r="S122" s="43"/>
      <c r="T122" s="43"/>
      <c r="U122" s="43"/>
      <c r="V122" s="43"/>
      <c r="W122" s="43"/>
      <c r="X122" s="43"/>
      <c r="Y122" s="43"/>
      <c r="Z122" s="43"/>
      <c r="AA122" s="43"/>
      <c r="AB122" s="43"/>
      <c r="AC122" s="43"/>
      <c r="AD122" s="43"/>
      <c r="AE122" s="43"/>
      <c r="AF122" s="43"/>
      <c r="AG122" s="43"/>
      <c r="AH122" s="44">
        <f>COUNTA(Mai!$C122:$AG122)</f>
        <v>0</v>
      </c>
      <c r="AI122" s="45">
        <f>(COUNTIFS(Mai!$C122:$AG122,("cp")))/2+Avril!AI122</f>
        <v>0</v>
      </c>
      <c r="AJ122" s="45">
        <f>COUNTIFS(Mai!$C122:$AG122,"RTT")/2+Avril!AJ122</f>
        <v>0</v>
      </c>
      <c r="AK122" s="45">
        <f>COUNTIFS(Mai!$C122:$AG122,"m")/2+Avril!AK122</f>
        <v>0</v>
      </c>
      <c r="AL122" s="45">
        <f>COUNTIFS(Mai!$C122:$AG122,"a")/2+Avril!AL122</f>
        <v>0</v>
      </c>
      <c r="AM122" s="46"/>
      <c r="AN122" s="47"/>
      <c r="AO122" s="47"/>
      <c r="AP122" s="46"/>
      <c r="AQ122" s="47"/>
      <c r="AR122" s="47"/>
      <c r="AS122" s="101"/>
    </row>
    <row r="123" spans="1:45" s="79" customFormat="1" ht="12.95" customHeight="1" x14ac:dyDescent="0.25">
      <c r="A123" s="41"/>
      <c r="B123" s="42"/>
      <c r="C123" s="49" t="str">
        <f t="shared" ref="C123:AG123" si="34">IF(C121&gt;0,C121,IF(C122&gt;0,C122,""))</f>
        <v/>
      </c>
      <c r="D123" s="49" t="str">
        <f t="shared" si="34"/>
        <v/>
      </c>
      <c r="E123" s="49" t="str">
        <f t="shared" si="34"/>
        <v/>
      </c>
      <c r="F123" s="49" t="str">
        <f t="shared" si="34"/>
        <v/>
      </c>
      <c r="G123" s="49" t="str">
        <f t="shared" si="34"/>
        <v/>
      </c>
      <c r="H123" s="49" t="str">
        <f t="shared" si="34"/>
        <v/>
      </c>
      <c r="I123" s="49" t="str">
        <f t="shared" si="34"/>
        <v/>
      </c>
      <c r="J123" s="49" t="str">
        <f t="shared" si="34"/>
        <v/>
      </c>
      <c r="K123" s="49" t="str">
        <f t="shared" si="34"/>
        <v/>
      </c>
      <c r="L123" s="49" t="str">
        <f t="shared" si="34"/>
        <v/>
      </c>
      <c r="M123" s="49" t="str">
        <f t="shared" si="34"/>
        <v/>
      </c>
      <c r="N123" s="49" t="str">
        <f t="shared" si="34"/>
        <v/>
      </c>
      <c r="O123" s="49" t="str">
        <f t="shared" si="34"/>
        <v/>
      </c>
      <c r="P123" s="49" t="str">
        <f t="shared" si="34"/>
        <v/>
      </c>
      <c r="Q123" s="49" t="str">
        <f t="shared" si="34"/>
        <v/>
      </c>
      <c r="R123" s="49" t="str">
        <f t="shared" si="34"/>
        <v/>
      </c>
      <c r="S123" s="49" t="str">
        <f t="shared" si="34"/>
        <v/>
      </c>
      <c r="T123" s="49" t="str">
        <f t="shared" si="34"/>
        <v/>
      </c>
      <c r="U123" s="49" t="str">
        <f t="shared" si="34"/>
        <v/>
      </c>
      <c r="V123" s="49" t="str">
        <f t="shared" si="34"/>
        <v/>
      </c>
      <c r="W123" s="49" t="str">
        <f t="shared" si="34"/>
        <v/>
      </c>
      <c r="X123" s="49" t="str">
        <f t="shared" si="34"/>
        <v/>
      </c>
      <c r="Y123" s="49" t="str">
        <f t="shared" si="34"/>
        <v/>
      </c>
      <c r="Z123" s="49" t="str">
        <f t="shared" si="34"/>
        <v/>
      </c>
      <c r="AA123" s="49" t="str">
        <f t="shared" si="34"/>
        <v/>
      </c>
      <c r="AB123" s="49" t="str">
        <f t="shared" si="34"/>
        <v/>
      </c>
      <c r="AC123" s="49" t="str">
        <f t="shared" si="34"/>
        <v/>
      </c>
      <c r="AD123" s="49" t="str">
        <f t="shared" si="34"/>
        <v/>
      </c>
      <c r="AE123" s="49" t="str">
        <f t="shared" si="34"/>
        <v/>
      </c>
      <c r="AF123" s="49" t="str">
        <f t="shared" si="34"/>
        <v/>
      </c>
      <c r="AG123" s="49" t="str">
        <f t="shared" si="34"/>
        <v/>
      </c>
      <c r="AH123" s="44">
        <f>SUM(AH121:AH122)</f>
        <v>0</v>
      </c>
      <c r="AI123" s="45">
        <f>SUM(AI121:AI122)</f>
        <v>0</v>
      </c>
      <c r="AJ123" s="45">
        <f>SUM(AJ121:AJ122)</f>
        <v>0</v>
      </c>
      <c r="AK123" s="45">
        <f>SUM(AK121:AK122)</f>
        <v>0</v>
      </c>
      <c r="AL123" s="45">
        <f>SUM(AL121:AL122)</f>
        <v>0</v>
      </c>
      <c r="AM123" s="50">
        <v>0</v>
      </c>
      <c r="AN123" s="51" t="str">
        <f>IF(A122="","",IF(A122&gt;NomMois,0,IF(A122&lt;$A$3,2.08,(NETWORKDAYS(A122,$A$2)/21.66667)*2.08)))</f>
        <v/>
      </c>
      <c r="AO123" s="51">
        <f>IF( AN123="",0,+AN123+Avril!AO123)</f>
        <v>0</v>
      </c>
      <c r="AP123" s="50"/>
      <c r="AQ123" s="45">
        <f>+AM123-AI123</f>
        <v>0</v>
      </c>
      <c r="AR123" s="45" t="str">
        <f>+IF(AP123="","",AP123-AJ123)</f>
        <v/>
      </c>
      <c r="AS123" s="102">
        <f t="shared" si="27"/>
        <v>0</v>
      </c>
    </row>
    <row r="124" spans="1:45" s="79" customFormat="1" ht="6.75" customHeight="1" x14ac:dyDescent="0.25">
      <c r="A124" s="64"/>
      <c r="B124" s="64"/>
      <c r="C124" s="64"/>
      <c r="D124" s="64"/>
      <c r="E124" s="64"/>
      <c r="F124" s="64"/>
      <c r="G124" s="64"/>
      <c r="H124" s="64"/>
      <c r="I124" s="64"/>
      <c r="J124" s="64"/>
      <c r="K124" s="64"/>
      <c r="L124" s="64"/>
      <c r="M124" s="64"/>
      <c r="N124" s="64"/>
      <c r="O124" s="64"/>
      <c r="P124" s="64"/>
      <c r="Q124" s="64"/>
      <c r="R124" s="64"/>
      <c r="S124" s="64"/>
      <c r="T124" s="64"/>
      <c r="U124" s="64"/>
      <c r="V124" s="64"/>
      <c r="W124" s="64"/>
      <c r="X124" s="64"/>
      <c r="Y124" s="64"/>
      <c r="Z124" s="64"/>
      <c r="AA124" s="64"/>
      <c r="AB124" s="64"/>
      <c r="AC124" s="64"/>
      <c r="AD124" s="64"/>
      <c r="AE124" s="64"/>
      <c r="AF124" s="64"/>
      <c r="AG124" s="64"/>
      <c r="AH124" s="64"/>
      <c r="AI124" s="64"/>
      <c r="AJ124" s="64"/>
      <c r="AK124" s="64"/>
      <c r="AL124" s="64"/>
      <c r="AM124" s="64"/>
      <c r="AN124" s="64"/>
      <c r="AO124" s="64"/>
      <c r="AP124" s="64"/>
      <c r="AQ124" s="74"/>
      <c r="AR124" s="74"/>
      <c r="AS124" s="65"/>
    </row>
    <row r="125" spans="1:45" s="79" customFormat="1" x14ac:dyDescent="0.25">
      <c r="A125" s="100"/>
      <c r="B125" s="100"/>
      <c r="C125" s="100"/>
      <c r="D125" s="100"/>
      <c r="E125" s="100"/>
      <c r="F125" s="100"/>
      <c r="G125" s="100"/>
      <c r="H125" s="100"/>
      <c r="I125" s="100"/>
      <c r="J125" s="100"/>
      <c r="K125" s="100"/>
      <c r="L125" s="100"/>
      <c r="M125" s="100"/>
      <c r="N125" s="100"/>
      <c r="O125" s="100"/>
      <c r="P125" s="100"/>
      <c r="Q125" s="100"/>
      <c r="R125" s="100"/>
      <c r="S125" s="100"/>
      <c r="T125" s="100"/>
      <c r="U125" s="100"/>
      <c r="V125" s="100"/>
      <c r="W125" s="100"/>
      <c r="X125" s="100"/>
      <c r="Y125" s="100"/>
      <c r="Z125" s="100"/>
      <c r="AA125" s="100"/>
      <c r="AB125" s="100"/>
      <c r="AC125" s="100"/>
      <c r="AD125" s="100"/>
      <c r="AE125" s="100"/>
      <c r="AF125" s="100"/>
      <c r="AG125" s="100"/>
      <c r="AH125" s="100"/>
      <c r="AM125" s="8"/>
      <c r="AN125" s="8"/>
      <c r="AO125" s="8"/>
    </row>
    <row r="126" spans="1:45" s="79" customFormat="1" x14ac:dyDescent="0.25">
      <c r="A126" s="100"/>
      <c r="B126" s="100"/>
      <c r="C126" s="100"/>
      <c r="D126" s="100"/>
      <c r="E126" s="100"/>
      <c r="F126" s="100"/>
      <c r="G126" s="100"/>
      <c r="H126" s="100"/>
      <c r="I126" s="100"/>
      <c r="J126" s="100"/>
      <c r="K126" s="100"/>
      <c r="L126" s="100"/>
      <c r="M126" s="100"/>
      <c r="N126" s="100"/>
      <c r="O126" s="100"/>
      <c r="P126" s="100"/>
      <c r="Q126" s="100"/>
      <c r="R126" s="100"/>
      <c r="S126" s="100"/>
      <c r="T126" s="100"/>
      <c r="U126" s="100"/>
      <c r="V126" s="100"/>
      <c r="W126" s="100"/>
      <c r="X126" s="100"/>
      <c r="Y126" s="100"/>
      <c r="Z126" s="100"/>
      <c r="AA126" s="100"/>
      <c r="AB126" s="100"/>
      <c r="AC126" s="100"/>
      <c r="AD126" s="100"/>
      <c r="AE126" s="100"/>
      <c r="AF126" s="100"/>
      <c r="AG126" s="100"/>
      <c r="AH126" s="100"/>
      <c r="AM126" s="8"/>
      <c r="AN126" s="8"/>
      <c r="AO126" s="8"/>
    </row>
    <row r="127" spans="1:45" s="79" customFormat="1" x14ac:dyDescent="0.25">
      <c r="A127" s="80"/>
      <c r="B127" s="80"/>
      <c r="C127" s="82" t="s">
        <v>17</v>
      </c>
      <c r="D127" s="82"/>
      <c r="E127" s="82"/>
      <c r="F127" s="82"/>
      <c r="G127" s="83"/>
      <c r="H127" s="84" t="s">
        <v>7</v>
      </c>
      <c r="I127" s="85" t="s">
        <v>18</v>
      </c>
      <c r="J127" s="86"/>
      <c r="K127" s="86"/>
      <c r="L127" s="87" t="s">
        <v>8</v>
      </c>
      <c r="M127" s="85" t="s">
        <v>8</v>
      </c>
      <c r="N127" s="86"/>
      <c r="O127" s="86"/>
      <c r="P127" s="88" t="s">
        <v>9</v>
      </c>
      <c r="Q127" s="85" t="s">
        <v>19</v>
      </c>
      <c r="R127" s="86"/>
      <c r="S127" s="86"/>
      <c r="T127" s="89" t="s">
        <v>10</v>
      </c>
      <c r="U127" s="90" t="s">
        <v>20</v>
      </c>
      <c r="V127" s="91"/>
      <c r="W127" s="86"/>
      <c r="X127" s="93"/>
      <c r="Y127" s="92"/>
      <c r="Z127" s="90" t="s">
        <v>21</v>
      </c>
      <c r="AA127" s="86"/>
      <c r="AB127" s="91"/>
      <c r="AC127" s="93"/>
      <c r="AD127" s="93"/>
      <c r="AE127" s="93"/>
      <c r="AF127" s="93"/>
      <c r="AG127" s="93"/>
      <c r="AH127" s="94"/>
      <c r="AM127" s="8"/>
      <c r="AN127" s="8"/>
      <c r="AO127" s="8"/>
    </row>
    <row r="128" spans="1:45" s="79" customFormat="1" x14ac:dyDescent="0.25"/>
    <row r="129" s="79" customFormat="1" x14ac:dyDescent="0.25"/>
    <row r="130" s="79" customFormat="1" x14ac:dyDescent="0.25"/>
    <row r="131" s="79" customFormat="1" ht="15" customHeight="1" x14ac:dyDescent="0.25"/>
    <row r="132" s="79" customFormat="1" ht="15" customHeight="1" x14ac:dyDescent="0.25"/>
    <row r="133" s="79" customFormat="1" ht="15" customHeight="1" x14ac:dyDescent="0.25"/>
    <row r="134" s="79" customFormat="1" ht="15" customHeight="1" x14ac:dyDescent="0.25"/>
    <row r="135" s="79" customFormat="1" ht="15" customHeight="1" x14ac:dyDescent="0.25"/>
    <row r="136" s="79" customFormat="1" ht="15" customHeight="1" x14ac:dyDescent="0.25"/>
    <row r="137" s="79" customFormat="1" ht="15" customHeight="1" x14ac:dyDescent="0.25"/>
    <row r="138" s="79" customFormat="1" ht="15" customHeight="1" x14ac:dyDescent="0.25"/>
    <row r="139" s="79" customFormat="1" ht="15" customHeight="1" x14ac:dyDescent="0.25"/>
    <row r="140" s="79" customFormat="1" ht="15" customHeight="1" x14ac:dyDescent="0.25"/>
    <row r="141" s="79" customFormat="1" ht="15" customHeight="1" x14ac:dyDescent="0.25"/>
    <row r="142" s="79" customFormat="1" ht="15" customHeight="1" x14ac:dyDescent="0.25"/>
    <row r="143" s="79" customFormat="1" ht="15" customHeight="1" x14ac:dyDescent="0.25"/>
    <row r="144" s="79" customFormat="1" ht="15" customHeight="1" x14ac:dyDescent="0.25"/>
    <row r="145" s="79" customFormat="1" ht="15" customHeight="1" x14ac:dyDescent="0.25"/>
    <row r="146" s="79" customFormat="1" ht="15" customHeight="1" x14ac:dyDescent="0.25"/>
    <row r="147" s="79" customFormat="1" ht="15" customHeight="1" x14ac:dyDescent="0.25"/>
    <row r="148" s="79" customFormat="1" ht="15" customHeight="1" x14ac:dyDescent="0.25"/>
    <row r="149" s="79" customFormat="1" ht="15" customHeight="1" x14ac:dyDescent="0.25"/>
    <row r="150" s="79" customFormat="1" ht="15" customHeight="1" x14ac:dyDescent="0.25"/>
    <row r="151" s="79" customFormat="1" ht="15" customHeight="1" x14ac:dyDescent="0.25"/>
    <row r="152" s="79" customFormat="1" ht="15" customHeight="1" x14ac:dyDescent="0.25"/>
    <row r="153" s="79" customFormat="1" ht="15" customHeight="1" x14ac:dyDescent="0.25"/>
    <row r="154" s="79" customFormat="1" ht="15" customHeight="1" x14ac:dyDescent="0.25"/>
    <row r="155" s="79" customFormat="1" ht="15" customHeight="1" x14ac:dyDescent="0.25"/>
    <row r="156" s="79" customFormat="1" ht="15" customHeight="1" x14ac:dyDescent="0.25"/>
    <row r="157" s="79" customFormat="1" ht="15" customHeight="1" x14ac:dyDescent="0.25"/>
    <row r="158" s="79" customFormat="1" ht="15" customHeight="1" x14ac:dyDescent="0.25"/>
    <row r="159" s="79" customFormat="1" ht="15" customHeight="1" x14ac:dyDescent="0.25"/>
    <row r="160" s="79" customFormat="1" ht="15" customHeight="1" x14ac:dyDescent="0.25"/>
    <row r="161" s="79" customFormat="1" ht="15" customHeight="1" x14ac:dyDescent="0.25"/>
    <row r="162" s="79" customFormat="1" ht="15" customHeight="1" x14ac:dyDescent="0.25"/>
    <row r="163" s="79" customFormat="1" ht="15" customHeight="1" x14ac:dyDescent="0.25"/>
    <row r="164" s="79" customFormat="1" ht="15" customHeight="1" x14ac:dyDescent="0.25"/>
    <row r="165" s="79" customFormat="1" ht="15" customHeight="1" x14ac:dyDescent="0.25"/>
    <row r="166" s="79" customFormat="1" ht="15" customHeight="1" x14ac:dyDescent="0.25"/>
    <row r="167" s="79" customFormat="1" ht="15" customHeight="1" x14ac:dyDescent="0.25"/>
    <row r="168" s="79" customFormat="1" ht="15" customHeight="1" x14ac:dyDescent="0.25"/>
    <row r="169" s="79" customFormat="1" ht="15" customHeight="1" x14ac:dyDescent="0.25"/>
    <row r="170" s="79" customFormat="1" ht="15" customHeight="1" x14ac:dyDescent="0.25"/>
    <row r="171" s="79" customFormat="1" ht="15" customHeight="1" x14ac:dyDescent="0.25"/>
    <row r="172" s="79" customFormat="1" ht="15" customHeight="1" x14ac:dyDescent="0.25"/>
    <row r="173" s="79" customFormat="1" ht="15" customHeight="1" x14ac:dyDescent="0.25"/>
    <row r="174" s="79" customFormat="1" ht="15" customHeight="1" x14ac:dyDescent="0.25"/>
    <row r="175" s="79" customFormat="1" ht="15" customHeight="1" x14ac:dyDescent="0.25"/>
    <row r="176" s="79" customFormat="1" ht="15" customHeight="1" x14ac:dyDescent="0.25"/>
    <row r="177" s="79" customFormat="1" ht="15" customHeight="1" x14ac:dyDescent="0.25"/>
    <row r="178" s="79" customFormat="1" ht="15" customHeight="1" x14ac:dyDescent="0.25"/>
    <row r="179" s="79" customFormat="1" ht="15" customHeight="1" x14ac:dyDescent="0.25"/>
    <row r="180" s="79" customFormat="1" ht="15" customHeight="1" x14ac:dyDescent="0.25"/>
    <row r="181" s="79" customFormat="1" ht="15" customHeight="1" x14ac:dyDescent="0.25"/>
    <row r="182" s="79" customFormat="1" ht="15" customHeight="1" x14ac:dyDescent="0.25"/>
    <row r="183" s="79" customFormat="1" ht="15" customHeight="1" x14ac:dyDescent="0.25"/>
    <row r="184" s="79" customFormat="1" ht="15" customHeight="1" x14ac:dyDescent="0.25"/>
    <row r="185" s="79" customFormat="1" ht="15" customHeight="1" x14ac:dyDescent="0.25"/>
    <row r="186" s="79" customFormat="1" ht="15" customHeight="1" x14ac:dyDescent="0.25"/>
    <row r="187" s="79" customFormat="1" ht="15" customHeight="1" x14ac:dyDescent="0.25"/>
    <row r="188" s="79" customFormat="1" ht="15" customHeight="1" x14ac:dyDescent="0.25"/>
    <row r="189" s="79" customFormat="1" ht="15" customHeight="1" x14ac:dyDescent="0.25"/>
    <row r="190" s="79" customFormat="1" ht="15" customHeight="1" x14ac:dyDescent="0.25"/>
    <row r="191" s="79" customFormat="1" ht="15" customHeight="1" x14ac:dyDescent="0.25"/>
    <row r="192" s="79" customFormat="1" ht="15" customHeight="1" x14ac:dyDescent="0.25"/>
    <row r="193" s="79" customFormat="1" ht="15" customHeight="1" x14ac:dyDescent="0.25"/>
    <row r="194" s="79" customFormat="1" ht="15" customHeight="1" x14ac:dyDescent="0.25"/>
    <row r="195" s="79" customFormat="1" ht="15" customHeight="1" x14ac:dyDescent="0.25"/>
    <row r="196" s="79" customFormat="1" ht="15" customHeight="1" x14ac:dyDescent="0.25"/>
    <row r="197" s="79" customFormat="1" ht="15" customHeight="1" x14ac:dyDescent="0.25"/>
    <row r="198" s="79" customFormat="1" ht="15" customHeight="1" x14ac:dyDescent="0.25"/>
    <row r="199" s="79" customFormat="1" ht="15" customHeight="1" x14ac:dyDescent="0.25"/>
    <row r="200" s="79" customFormat="1" ht="15" customHeight="1" x14ac:dyDescent="0.25"/>
    <row r="201" s="79" customFormat="1" ht="15" customHeight="1" x14ac:dyDescent="0.25"/>
    <row r="202" s="79" customFormat="1" ht="15" customHeight="1" x14ac:dyDescent="0.25"/>
    <row r="203" s="79" customFormat="1" ht="15" customHeight="1" x14ac:dyDescent="0.25"/>
    <row r="204" s="79" customFormat="1" ht="15" customHeight="1" x14ac:dyDescent="0.25"/>
    <row r="205" s="79" customFormat="1" ht="15" customHeight="1" x14ac:dyDescent="0.25"/>
    <row r="206" s="79" customFormat="1" ht="15" customHeight="1" x14ac:dyDescent="0.25"/>
    <row r="207" s="79" customFormat="1" ht="15" customHeight="1" x14ac:dyDescent="0.25"/>
    <row r="208" s="79" customFormat="1" ht="15" customHeight="1" x14ac:dyDescent="0.25"/>
    <row r="209" s="79" customFormat="1" ht="15" customHeight="1" x14ac:dyDescent="0.25"/>
    <row r="210" s="79" customFormat="1" ht="15" customHeight="1" x14ac:dyDescent="0.25"/>
    <row r="211" s="79" customFormat="1" ht="15" customHeight="1" x14ac:dyDescent="0.25"/>
    <row r="212" s="79" customFormat="1" ht="15" customHeight="1" x14ac:dyDescent="0.25"/>
    <row r="213" s="79" customFormat="1" ht="15" customHeight="1" x14ac:dyDescent="0.25"/>
    <row r="214" s="79" customFormat="1" ht="15" customHeight="1" x14ac:dyDescent="0.25"/>
    <row r="215" s="79" customFormat="1" ht="15" customHeight="1" x14ac:dyDescent="0.25"/>
    <row r="216" s="79" customFormat="1" ht="15" customHeight="1" x14ac:dyDescent="0.25"/>
    <row r="217" s="79" customFormat="1" ht="15" customHeight="1" x14ac:dyDescent="0.25"/>
    <row r="218" s="79" customFormat="1" ht="15" customHeight="1" x14ac:dyDescent="0.25"/>
    <row r="219" s="79" customFormat="1" ht="15" customHeight="1" x14ac:dyDescent="0.25"/>
    <row r="220" s="79" customFormat="1" ht="15" customHeight="1" x14ac:dyDescent="0.25"/>
    <row r="221" s="79" customFormat="1" ht="15" customHeight="1" x14ac:dyDescent="0.25"/>
    <row r="222" s="79" customFormat="1" ht="15" customHeight="1" x14ac:dyDescent="0.25"/>
    <row r="223" s="79" customFormat="1" ht="15" customHeight="1" x14ac:dyDescent="0.25"/>
    <row r="224" s="79" customFormat="1" ht="15" customHeight="1" x14ac:dyDescent="0.25"/>
    <row r="225" s="79" customFormat="1" ht="15" customHeight="1" x14ac:dyDescent="0.25"/>
    <row r="226" s="79" customFormat="1" ht="15" customHeight="1" x14ac:dyDescent="0.25"/>
    <row r="227" s="79" customFormat="1" ht="15" customHeight="1" x14ac:dyDescent="0.25"/>
    <row r="228" s="79" customFormat="1" ht="15" customHeight="1" x14ac:dyDescent="0.25"/>
    <row r="229" s="79" customFormat="1" ht="15" customHeight="1" x14ac:dyDescent="0.25"/>
    <row r="230" s="79" customFormat="1" ht="15" customHeight="1" x14ac:dyDescent="0.25"/>
    <row r="231" s="79" customFormat="1" ht="15" customHeight="1" x14ac:dyDescent="0.25"/>
    <row r="232" s="79" customFormat="1" ht="15" customHeight="1" x14ac:dyDescent="0.25"/>
    <row r="233" s="79" customFormat="1" ht="15" customHeight="1" x14ac:dyDescent="0.25"/>
    <row r="234" s="79" customFormat="1" ht="15" customHeight="1" x14ac:dyDescent="0.25"/>
    <row r="235" s="79" customFormat="1" ht="15" customHeight="1" x14ac:dyDescent="0.25"/>
    <row r="236" s="79" customFormat="1" ht="15" customHeight="1" x14ac:dyDescent="0.25"/>
    <row r="237" s="79" customFormat="1" ht="15" customHeight="1" x14ac:dyDescent="0.25"/>
    <row r="238" s="79" customFormat="1" ht="15" customHeight="1" x14ac:dyDescent="0.25"/>
    <row r="239" s="79" customFormat="1" ht="15" customHeight="1" x14ac:dyDescent="0.25"/>
    <row r="240" s="79" customFormat="1" ht="15" customHeight="1" x14ac:dyDescent="0.25"/>
    <row r="241" s="79" customFormat="1" ht="15" customHeight="1" x14ac:dyDescent="0.25"/>
    <row r="242" s="79" customFormat="1" ht="15" customHeight="1" x14ac:dyDescent="0.25"/>
    <row r="243" s="79" customFormat="1" ht="15" customHeight="1" x14ac:dyDescent="0.25"/>
    <row r="244" s="79" customFormat="1" ht="15" customHeight="1" x14ac:dyDescent="0.25"/>
    <row r="245" s="79" customFormat="1" ht="15" customHeight="1" x14ac:dyDescent="0.25"/>
    <row r="246" s="79" customFormat="1" ht="15" customHeight="1" x14ac:dyDescent="0.25"/>
    <row r="247" s="79" customFormat="1" ht="15" customHeight="1" x14ac:dyDescent="0.25"/>
    <row r="248" s="79" customFormat="1" ht="15" customHeight="1" x14ac:dyDescent="0.25"/>
    <row r="249" s="79" customFormat="1" ht="15" customHeight="1" x14ac:dyDescent="0.25"/>
    <row r="250" s="79" customFormat="1" ht="15" customHeight="1" x14ac:dyDescent="0.25"/>
    <row r="251" s="79" customFormat="1" ht="15" customHeight="1" x14ac:dyDescent="0.25"/>
    <row r="252" s="79" customFormat="1" ht="15" customHeight="1" x14ac:dyDescent="0.25"/>
    <row r="253" s="79" customFormat="1" ht="15" customHeight="1" x14ac:dyDescent="0.25"/>
    <row r="254" s="79" customFormat="1" ht="15" customHeight="1" x14ac:dyDescent="0.25"/>
    <row r="255" s="79" customFormat="1" ht="15" customHeight="1" x14ac:dyDescent="0.25"/>
    <row r="256" s="79" customFormat="1" ht="15" customHeight="1" x14ac:dyDescent="0.25"/>
    <row r="257" s="79" customFormat="1" ht="15" customHeight="1" x14ac:dyDescent="0.25"/>
    <row r="258" s="79" customFormat="1" ht="15" customHeight="1" x14ac:dyDescent="0.25"/>
    <row r="259" s="79" customFormat="1" ht="15" customHeight="1" x14ac:dyDescent="0.25"/>
    <row r="260" s="79" customFormat="1" ht="15" customHeight="1" x14ac:dyDescent="0.25"/>
    <row r="261" s="79" customFormat="1" ht="15" customHeight="1" x14ac:dyDescent="0.25"/>
    <row r="262" s="79" customFormat="1" ht="15" customHeight="1" x14ac:dyDescent="0.25"/>
    <row r="263" s="79" customFormat="1" ht="15" customHeight="1" x14ac:dyDescent="0.25"/>
    <row r="264" s="79" customFormat="1" ht="15" customHeight="1" x14ac:dyDescent="0.25"/>
    <row r="265" s="79" customFormat="1" ht="15" customHeight="1" x14ac:dyDescent="0.25"/>
    <row r="266" s="79" customFormat="1" ht="15" customHeight="1" x14ac:dyDescent="0.25"/>
    <row r="267" s="79" customFormat="1" ht="15" customHeight="1" x14ac:dyDescent="0.25"/>
    <row r="268" s="79" customFormat="1" ht="15" customHeight="1" x14ac:dyDescent="0.25"/>
    <row r="269" s="79" customFormat="1" ht="15" customHeight="1" x14ac:dyDescent="0.25"/>
    <row r="270" s="79" customFormat="1" ht="15" customHeight="1" x14ac:dyDescent="0.25"/>
    <row r="271" s="79" customFormat="1" ht="15" customHeight="1" x14ac:dyDescent="0.25"/>
    <row r="272" s="79" customFormat="1" ht="15" customHeight="1" x14ac:dyDescent="0.25"/>
    <row r="273" s="79" customFormat="1" ht="15" customHeight="1" x14ac:dyDescent="0.25"/>
    <row r="274" s="79" customFormat="1" ht="15" customHeight="1" x14ac:dyDescent="0.25"/>
    <row r="275" s="79" customFormat="1" ht="15" customHeight="1" x14ac:dyDescent="0.25"/>
    <row r="276" s="79" customFormat="1" ht="15" customHeight="1" x14ac:dyDescent="0.25"/>
    <row r="277" s="79" customFormat="1" ht="15" customHeight="1" x14ac:dyDescent="0.25"/>
    <row r="278" s="79" customFormat="1" ht="15" customHeight="1" x14ac:dyDescent="0.25"/>
    <row r="279" s="79" customFormat="1" ht="15" customHeight="1" x14ac:dyDescent="0.25"/>
    <row r="280" s="79" customFormat="1" ht="15" customHeight="1" x14ac:dyDescent="0.25"/>
    <row r="281" s="79" customFormat="1" ht="15" customHeight="1" x14ac:dyDescent="0.25"/>
    <row r="282" s="79" customFormat="1" ht="15" customHeight="1" x14ac:dyDescent="0.25"/>
    <row r="283" s="79" customFormat="1" ht="15" customHeight="1" x14ac:dyDescent="0.25"/>
    <row r="284" s="79" customFormat="1" ht="15" customHeight="1" x14ac:dyDescent="0.25"/>
    <row r="285" s="79" customFormat="1" ht="15" customHeight="1" x14ac:dyDescent="0.25"/>
    <row r="286" s="79" customFormat="1" ht="15" customHeight="1" x14ac:dyDescent="0.25"/>
    <row r="287" s="79" customFormat="1" ht="15" customHeight="1" x14ac:dyDescent="0.25"/>
    <row r="288" s="79" customFormat="1" ht="15" customHeight="1" x14ac:dyDescent="0.25"/>
    <row r="289" s="79" customFormat="1" ht="15" customHeight="1" x14ac:dyDescent="0.25"/>
    <row r="290" s="79" customFormat="1" ht="15" customHeight="1" x14ac:dyDescent="0.25"/>
    <row r="291" s="79" customFormat="1" ht="15" customHeight="1" x14ac:dyDescent="0.25"/>
    <row r="292" s="79" customFormat="1" ht="15" customHeight="1" x14ac:dyDescent="0.25"/>
    <row r="293" s="79" customFormat="1" ht="15" customHeight="1" x14ac:dyDescent="0.25"/>
    <row r="294" s="79" customFormat="1" ht="15" customHeight="1" x14ac:dyDescent="0.25"/>
    <row r="295" s="79" customFormat="1" ht="15" customHeight="1" x14ac:dyDescent="0.25"/>
    <row r="296" s="79" customFormat="1" ht="15" customHeight="1" x14ac:dyDescent="0.25"/>
    <row r="297" s="79" customFormat="1" ht="15" customHeight="1" x14ac:dyDescent="0.25"/>
    <row r="298" s="79" customFormat="1" ht="15" customHeight="1" x14ac:dyDescent="0.25"/>
    <row r="299" s="79" customFormat="1" ht="15" customHeight="1" x14ac:dyDescent="0.25"/>
    <row r="300" s="79" customFormat="1" ht="15" customHeight="1" x14ac:dyDescent="0.25"/>
    <row r="301" s="79" customFormat="1" ht="15" customHeight="1" x14ac:dyDescent="0.25"/>
    <row r="302" s="79" customFormat="1" ht="15" customHeight="1" x14ac:dyDescent="0.25"/>
    <row r="303" s="79" customFormat="1" ht="15" customHeight="1" x14ac:dyDescent="0.25"/>
    <row r="304" s="79" customFormat="1" ht="15" customHeight="1" x14ac:dyDescent="0.25"/>
    <row r="305" s="79" customFormat="1" ht="15" customHeight="1" x14ac:dyDescent="0.25"/>
    <row r="306" s="79" customFormat="1" ht="15" customHeight="1" x14ac:dyDescent="0.25"/>
    <row r="307" s="79" customFormat="1" ht="15" customHeight="1" x14ac:dyDescent="0.25"/>
    <row r="308" s="79" customFormat="1" ht="15" customHeight="1" x14ac:dyDescent="0.25"/>
    <row r="309" s="79" customFormat="1" ht="15" customHeight="1" x14ac:dyDescent="0.25"/>
    <row r="310" s="79" customFormat="1" ht="15" customHeight="1" x14ac:dyDescent="0.25"/>
    <row r="311" s="79" customFormat="1" ht="15" customHeight="1" x14ac:dyDescent="0.25"/>
    <row r="312" s="79" customFormat="1" ht="15" customHeight="1" x14ac:dyDescent="0.25"/>
    <row r="313" s="79" customFormat="1" ht="15" customHeight="1" x14ac:dyDescent="0.25"/>
    <row r="314" s="79" customFormat="1" ht="15" customHeight="1" x14ac:dyDescent="0.25"/>
    <row r="315" s="79" customFormat="1" ht="15" customHeight="1" x14ac:dyDescent="0.25"/>
    <row r="316" s="79" customFormat="1" ht="15" customHeight="1" x14ac:dyDescent="0.25"/>
    <row r="317" s="79" customFormat="1" ht="15" customHeight="1" x14ac:dyDescent="0.25"/>
    <row r="318" s="79" customFormat="1" ht="15" customHeight="1" x14ac:dyDescent="0.25"/>
    <row r="319" s="79" customFormat="1" ht="15" customHeight="1" x14ac:dyDescent="0.25"/>
    <row r="320" s="79" customFormat="1" ht="15" customHeight="1" x14ac:dyDescent="0.25"/>
    <row r="321" s="79" customFormat="1" ht="15" customHeight="1" x14ac:dyDescent="0.25"/>
    <row r="322" s="79" customFormat="1" ht="15" customHeight="1" x14ac:dyDescent="0.25"/>
    <row r="323" s="79" customFormat="1" ht="15" customHeight="1" x14ac:dyDescent="0.25"/>
    <row r="324" s="79" customFormat="1" ht="15" customHeight="1" x14ac:dyDescent="0.25"/>
    <row r="325" s="79" customFormat="1" ht="15" customHeight="1" x14ac:dyDescent="0.25"/>
    <row r="326" s="79" customFormat="1" ht="15" customHeight="1" x14ac:dyDescent="0.25"/>
    <row r="327" s="79" customFormat="1" ht="15" customHeight="1" x14ac:dyDescent="0.25"/>
    <row r="328" s="79" customFormat="1" ht="15" customHeight="1" x14ac:dyDescent="0.25"/>
    <row r="329" s="79" customFormat="1" ht="15" customHeight="1" x14ac:dyDescent="0.25"/>
    <row r="330" s="79" customFormat="1" ht="15" customHeight="1" x14ac:dyDescent="0.25"/>
    <row r="331" s="79" customFormat="1" ht="15" customHeight="1" x14ac:dyDescent="0.25"/>
    <row r="332" s="79" customFormat="1" ht="15" customHeight="1" x14ac:dyDescent="0.25"/>
    <row r="333" s="79" customFormat="1" ht="15" customHeight="1" x14ac:dyDescent="0.25"/>
    <row r="334" s="79" customFormat="1" ht="15" customHeight="1" x14ac:dyDescent="0.25"/>
    <row r="335" s="79" customFormat="1" ht="15" customHeight="1" x14ac:dyDescent="0.25"/>
    <row r="336" s="79" customFormat="1" ht="15" customHeight="1" x14ac:dyDescent="0.25"/>
    <row r="337" s="79" customFormat="1" ht="15" customHeight="1" x14ac:dyDescent="0.25"/>
    <row r="338" s="79" customFormat="1" ht="15" customHeight="1" x14ac:dyDescent="0.25"/>
    <row r="339" s="79" customFormat="1" ht="15" customHeight="1" x14ac:dyDescent="0.25"/>
    <row r="340" s="79" customFormat="1" ht="15" customHeight="1" x14ac:dyDescent="0.25"/>
    <row r="341" s="79" customFormat="1" ht="15" customHeight="1" x14ac:dyDescent="0.25"/>
    <row r="342" s="79" customFormat="1" ht="15" customHeight="1" x14ac:dyDescent="0.25"/>
    <row r="343" s="79" customFormat="1" ht="15" customHeight="1" x14ac:dyDescent="0.25"/>
    <row r="344" s="79" customFormat="1" ht="15" customHeight="1" x14ac:dyDescent="0.25"/>
    <row r="345" s="79" customFormat="1" ht="15" customHeight="1" x14ac:dyDescent="0.25"/>
    <row r="346" s="79" customFormat="1" ht="15" customHeight="1" x14ac:dyDescent="0.25"/>
    <row r="347" s="79" customFormat="1" ht="15" customHeight="1" x14ac:dyDescent="0.25"/>
    <row r="348" s="79" customFormat="1" ht="15" customHeight="1" x14ac:dyDescent="0.25"/>
    <row r="349" s="79" customFormat="1" ht="15" customHeight="1" x14ac:dyDescent="0.25"/>
    <row r="350" s="79" customFormat="1" ht="15" customHeight="1" x14ac:dyDescent="0.25"/>
    <row r="351" s="79" customFormat="1" ht="15" customHeight="1" x14ac:dyDescent="0.25"/>
    <row r="352" s="79" customFormat="1" ht="15" customHeight="1" x14ac:dyDescent="0.25"/>
    <row r="353" s="79" customFormat="1" ht="15" customHeight="1" x14ac:dyDescent="0.25"/>
    <row r="354" s="79" customFormat="1" ht="15" customHeight="1" x14ac:dyDescent="0.25"/>
    <row r="355" s="79" customFormat="1" ht="15" customHeight="1" x14ac:dyDescent="0.25"/>
    <row r="356" s="79" customFormat="1" ht="15" customHeight="1" x14ac:dyDescent="0.25"/>
    <row r="357" s="79" customFormat="1" ht="15" customHeight="1" x14ac:dyDescent="0.25"/>
    <row r="358" s="79" customFormat="1" ht="15" customHeight="1" x14ac:dyDescent="0.25"/>
    <row r="359" s="79" customFormat="1" ht="15" customHeight="1" x14ac:dyDescent="0.25"/>
    <row r="360" s="79" customFormat="1" ht="15" customHeight="1" x14ac:dyDescent="0.25"/>
    <row r="361" s="79" customFormat="1" ht="15" customHeight="1" x14ac:dyDescent="0.25"/>
    <row r="362" s="79" customFormat="1" ht="15" customHeight="1" x14ac:dyDescent="0.25"/>
    <row r="363" s="79" customFormat="1" ht="15" customHeight="1" x14ac:dyDescent="0.25"/>
    <row r="364" s="79" customFormat="1" ht="15" customHeight="1" x14ac:dyDescent="0.25"/>
    <row r="365" s="79" customFormat="1" ht="15" customHeight="1" x14ac:dyDescent="0.25"/>
    <row r="366" s="79" customFormat="1" ht="15" customHeight="1" x14ac:dyDescent="0.25"/>
    <row r="367" s="79" customFormat="1" ht="15" customHeight="1" x14ac:dyDescent="0.25"/>
    <row r="368" s="79" customFormat="1" ht="15" customHeight="1" x14ac:dyDescent="0.25"/>
    <row r="369" s="79" customFormat="1" ht="15" customHeight="1" x14ac:dyDescent="0.25"/>
    <row r="370" s="79" customFormat="1" ht="15" customHeight="1" x14ac:dyDescent="0.25"/>
    <row r="371" s="79" customFormat="1" ht="15" customHeight="1" x14ac:dyDescent="0.25"/>
    <row r="372" s="79" customFormat="1" ht="15" customHeight="1" x14ac:dyDescent="0.25"/>
    <row r="373" s="79" customFormat="1" ht="15" customHeight="1" x14ac:dyDescent="0.25"/>
    <row r="374" s="79" customFormat="1" ht="15" customHeight="1" x14ac:dyDescent="0.25"/>
    <row r="375" s="79" customFormat="1" ht="15" customHeight="1" x14ac:dyDescent="0.25"/>
    <row r="376" s="79" customFormat="1" ht="15" customHeight="1" x14ac:dyDescent="0.25"/>
    <row r="377" s="79" customFormat="1" ht="15" customHeight="1" x14ac:dyDescent="0.25"/>
    <row r="378" s="79" customFormat="1" ht="15" customHeight="1" x14ac:dyDescent="0.25"/>
    <row r="379" s="79" customFormat="1" ht="15" customHeight="1" x14ac:dyDescent="0.25"/>
    <row r="380" s="79" customFormat="1" ht="15" customHeight="1" x14ac:dyDescent="0.25"/>
    <row r="381" s="79" customFormat="1" ht="15" customHeight="1" x14ac:dyDescent="0.25"/>
    <row r="382" s="79" customFormat="1" ht="15" customHeight="1" x14ac:dyDescent="0.25"/>
    <row r="383" s="79" customFormat="1" ht="15" customHeight="1" x14ac:dyDescent="0.25"/>
    <row r="384" s="79" customFormat="1" ht="15" customHeight="1" x14ac:dyDescent="0.25"/>
    <row r="385" s="79" customFormat="1" ht="15" customHeight="1" x14ac:dyDescent="0.25"/>
    <row r="386" s="79" customFormat="1" ht="15" customHeight="1" x14ac:dyDescent="0.25"/>
    <row r="387" s="79" customFormat="1" ht="15" customHeight="1" x14ac:dyDescent="0.25"/>
    <row r="388" s="79" customFormat="1" ht="15" customHeight="1" x14ac:dyDescent="0.25"/>
    <row r="389" s="79" customFormat="1" ht="15" customHeight="1" x14ac:dyDescent="0.25"/>
    <row r="390" s="79" customFormat="1" ht="15" customHeight="1" x14ac:dyDescent="0.25"/>
    <row r="391" s="79" customFormat="1" ht="15" customHeight="1" x14ac:dyDescent="0.25"/>
    <row r="392" s="79" customFormat="1" ht="15" customHeight="1" x14ac:dyDescent="0.25"/>
    <row r="393" s="79" customFormat="1" ht="15" customHeight="1" x14ac:dyDescent="0.25"/>
    <row r="394" s="79" customFormat="1" ht="15" customHeight="1" x14ac:dyDescent="0.25"/>
    <row r="395" s="79" customFormat="1" ht="15" customHeight="1" x14ac:dyDescent="0.25"/>
    <row r="396" s="79" customFormat="1" ht="15" customHeight="1" x14ac:dyDescent="0.25"/>
    <row r="397" s="79" customFormat="1" ht="15" customHeight="1" x14ac:dyDescent="0.25"/>
    <row r="398" s="79" customFormat="1" ht="15" customHeight="1" x14ac:dyDescent="0.25"/>
    <row r="399" s="79" customFormat="1" ht="15" customHeight="1" x14ac:dyDescent="0.25"/>
    <row r="400" s="79" customFormat="1" ht="15" customHeight="1" x14ac:dyDescent="0.25"/>
    <row r="401" s="79" customFormat="1" ht="15" customHeight="1" x14ac:dyDescent="0.25"/>
    <row r="402" s="79" customFormat="1" ht="15" customHeight="1" x14ac:dyDescent="0.25"/>
    <row r="403" s="79" customFormat="1" ht="15" customHeight="1" x14ac:dyDescent="0.25"/>
    <row r="404" s="79" customFormat="1" ht="15" customHeight="1" x14ac:dyDescent="0.25"/>
    <row r="405" s="79" customFormat="1" ht="15" customHeight="1" x14ac:dyDescent="0.25"/>
    <row r="406" s="79" customFormat="1" ht="15" customHeight="1" x14ac:dyDescent="0.25"/>
    <row r="407" s="79" customFormat="1" ht="15" customHeight="1" x14ac:dyDescent="0.25"/>
    <row r="408" s="79" customFormat="1" ht="15" customHeight="1" x14ac:dyDescent="0.25"/>
    <row r="409" s="79" customFormat="1" ht="15" customHeight="1" x14ac:dyDescent="0.25"/>
    <row r="410" s="79" customFormat="1" ht="15" customHeight="1" x14ac:dyDescent="0.25"/>
    <row r="411" s="79" customFormat="1" ht="15" customHeight="1" x14ac:dyDescent="0.25"/>
    <row r="412" s="79" customFormat="1" ht="15" customHeight="1" x14ac:dyDescent="0.25"/>
    <row r="413" s="79" customFormat="1" ht="15" customHeight="1" x14ac:dyDescent="0.25"/>
    <row r="414" s="79" customFormat="1" ht="15" customHeight="1" x14ac:dyDescent="0.25"/>
    <row r="415" s="79" customFormat="1" ht="15" customHeight="1" x14ac:dyDescent="0.25"/>
    <row r="416" s="79" customFormat="1" ht="15" customHeight="1" x14ac:dyDescent="0.25"/>
    <row r="417" s="79" customFormat="1" ht="15" customHeight="1" x14ac:dyDescent="0.25"/>
    <row r="418" s="79" customFormat="1" ht="15" customHeight="1" x14ac:dyDescent="0.25"/>
    <row r="419" s="79" customFormat="1" ht="15" customHeight="1" x14ac:dyDescent="0.25"/>
    <row r="420" s="79" customFormat="1" ht="15" customHeight="1" x14ac:dyDescent="0.25"/>
    <row r="421" s="79" customFormat="1" ht="15" customHeight="1" x14ac:dyDescent="0.25"/>
    <row r="422" s="79" customFormat="1" ht="15" customHeight="1" x14ac:dyDescent="0.25"/>
    <row r="423" s="79" customFormat="1" ht="15" customHeight="1" x14ac:dyDescent="0.25"/>
    <row r="424" s="79" customFormat="1" ht="15" customHeight="1" x14ac:dyDescent="0.25"/>
    <row r="425" s="79" customFormat="1" ht="15" customHeight="1" x14ac:dyDescent="0.25"/>
    <row r="426" s="79" customFormat="1" ht="15" customHeight="1" x14ac:dyDescent="0.25"/>
    <row r="427" s="79" customFormat="1" ht="15" customHeight="1" x14ac:dyDescent="0.25"/>
    <row r="428" s="79" customFormat="1" ht="15" customHeight="1" x14ac:dyDescent="0.25"/>
    <row r="429" s="79" customFormat="1" ht="15" customHeight="1" x14ac:dyDescent="0.25"/>
    <row r="430" s="79" customFormat="1" ht="15" customHeight="1" x14ac:dyDescent="0.25"/>
    <row r="431" s="79" customFormat="1" ht="15" customHeight="1" x14ac:dyDescent="0.25"/>
    <row r="432" s="79" customFormat="1" ht="15" customHeight="1" x14ac:dyDescent="0.25"/>
    <row r="433" s="79" customFormat="1" ht="15" customHeight="1" x14ac:dyDescent="0.25"/>
    <row r="434" s="79" customFormat="1" ht="15" customHeight="1" x14ac:dyDescent="0.25"/>
    <row r="435" s="79" customFormat="1" ht="15" customHeight="1" x14ac:dyDescent="0.25"/>
    <row r="436" s="79" customFormat="1" ht="15" customHeight="1" x14ac:dyDescent="0.25"/>
    <row r="437" s="79" customFormat="1" ht="15" customHeight="1" x14ac:dyDescent="0.25"/>
    <row r="438" s="79" customFormat="1" ht="15" customHeight="1" x14ac:dyDescent="0.25"/>
    <row r="439" s="79" customFormat="1" ht="15" customHeight="1" x14ac:dyDescent="0.25"/>
    <row r="440" s="79" customFormat="1" ht="15" customHeight="1" x14ac:dyDescent="0.25"/>
    <row r="441" s="79" customFormat="1" ht="15" customHeight="1" x14ac:dyDescent="0.25"/>
    <row r="442" s="79" customFormat="1" ht="15" customHeight="1" x14ac:dyDescent="0.25"/>
    <row r="443" s="79" customFormat="1" ht="15" customHeight="1" x14ac:dyDescent="0.25"/>
    <row r="444" s="79" customFormat="1" ht="15" customHeight="1" x14ac:dyDescent="0.25"/>
    <row r="445" s="79" customFormat="1" ht="15" customHeight="1" x14ac:dyDescent="0.25"/>
    <row r="446" s="79" customFormat="1" ht="15" customHeight="1" x14ac:dyDescent="0.25"/>
    <row r="447" s="79" customFormat="1" ht="15" customHeight="1" x14ac:dyDescent="0.25"/>
    <row r="448" s="79" customFormat="1" ht="15" customHeight="1" x14ac:dyDescent="0.25"/>
    <row r="449" s="79" customFormat="1" ht="15" customHeight="1" x14ac:dyDescent="0.25"/>
    <row r="450" s="79" customFormat="1" ht="15" customHeight="1" x14ac:dyDescent="0.25"/>
    <row r="451" s="79" customFormat="1" ht="15" customHeight="1" x14ac:dyDescent="0.25"/>
    <row r="452" s="79" customFormat="1" ht="15" customHeight="1" x14ac:dyDescent="0.25"/>
    <row r="453" s="79" customFormat="1" ht="15" customHeight="1" x14ac:dyDescent="0.25"/>
    <row r="454" s="79" customFormat="1" ht="15" customHeight="1" x14ac:dyDescent="0.25"/>
    <row r="455" s="79" customFormat="1" ht="15" customHeight="1" x14ac:dyDescent="0.25"/>
    <row r="456" s="79" customFormat="1" ht="15" customHeight="1" x14ac:dyDescent="0.25"/>
    <row r="457" s="79" customFormat="1" ht="15" customHeight="1" x14ac:dyDescent="0.25"/>
    <row r="458" s="79" customFormat="1" ht="15" customHeight="1" x14ac:dyDescent="0.25"/>
    <row r="459" s="79" customFormat="1" ht="15" customHeight="1" x14ac:dyDescent="0.25"/>
    <row r="460" s="79" customFormat="1" ht="15" customHeight="1" x14ac:dyDescent="0.25"/>
    <row r="461" s="79" customFormat="1" ht="15" customHeight="1" x14ac:dyDescent="0.25"/>
    <row r="462" s="79" customFormat="1" ht="15" customHeight="1" x14ac:dyDescent="0.25"/>
    <row r="463" s="79" customFormat="1" ht="15" customHeight="1" x14ac:dyDescent="0.25"/>
    <row r="464" s="79" customFormat="1" ht="15" customHeight="1" x14ac:dyDescent="0.25"/>
    <row r="465" s="79" customFormat="1" ht="15" customHeight="1" x14ac:dyDescent="0.25"/>
    <row r="466" s="79" customFormat="1" ht="15" customHeight="1" x14ac:dyDescent="0.25"/>
    <row r="467" s="79" customFormat="1" ht="15" customHeight="1" x14ac:dyDescent="0.25"/>
    <row r="468" s="79" customFormat="1" ht="15" customHeight="1" x14ac:dyDescent="0.25"/>
    <row r="469" s="79" customFormat="1" ht="15" customHeight="1" x14ac:dyDescent="0.25"/>
    <row r="470" s="79" customFormat="1" ht="15" customHeight="1" x14ac:dyDescent="0.25"/>
    <row r="471" s="79" customFormat="1" ht="15" customHeight="1" x14ac:dyDescent="0.25"/>
    <row r="472" s="79" customFormat="1" ht="15" customHeight="1" x14ac:dyDescent="0.25"/>
    <row r="473" s="79" customFormat="1" ht="15" customHeight="1" x14ac:dyDescent="0.25"/>
    <row r="474" s="79" customFormat="1" ht="15" customHeight="1" x14ac:dyDescent="0.25"/>
    <row r="475" s="79" customFormat="1" ht="15" customHeight="1" x14ac:dyDescent="0.25"/>
    <row r="476" s="79" customFormat="1" ht="15" customHeight="1" x14ac:dyDescent="0.25"/>
    <row r="477" s="79" customFormat="1" ht="15" customHeight="1" x14ac:dyDescent="0.25"/>
    <row r="478" s="79" customFormat="1" ht="15" customHeight="1" x14ac:dyDescent="0.25"/>
    <row r="479" s="79" customFormat="1" ht="15" customHeight="1" x14ac:dyDescent="0.25"/>
    <row r="480" s="79" customFormat="1" ht="15" customHeight="1" x14ac:dyDescent="0.25"/>
    <row r="481" s="79" customFormat="1" ht="15" customHeight="1" x14ac:dyDescent="0.25"/>
    <row r="482" s="79" customFormat="1" ht="15" customHeight="1" x14ac:dyDescent="0.25"/>
    <row r="483" s="79" customFormat="1" ht="15" customHeight="1" x14ac:dyDescent="0.25"/>
    <row r="484" s="79" customFormat="1" ht="15" customHeight="1" x14ac:dyDescent="0.25"/>
    <row r="485" s="79" customFormat="1" ht="15" customHeight="1" x14ac:dyDescent="0.25"/>
    <row r="486" s="79" customFormat="1" ht="15" customHeight="1" x14ac:dyDescent="0.25"/>
    <row r="487" s="79" customFormat="1" ht="15" customHeight="1" x14ac:dyDescent="0.25"/>
    <row r="488" s="79" customFormat="1" ht="15" customHeight="1" x14ac:dyDescent="0.25"/>
    <row r="489" s="79" customFormat="1" ht="15" customHeight="1" x14ac:dyDescent="0.25"/>
    <row r="490" s="79" customFormat="1" ht="15" customHeight="1" x14ac:dyDescent="0.25"/>
    <row r="491" s="79" customFormat="1" ht="15" customHeight="1" x14ac:dyDescent="0.25"/>
    <row r="492" s="79" customFormat="1" ht="15" customHeight="1" x14ac:dyDescent="0.25"/>
    <row r="493" s="79" customFormat="1" ht="15" customHeight="1" x14ac:dyDescent="0.25"/>
    <row r="494" s="79" customFormat="1" ht="15" customHeight="1" x14ac:dyDescent="0.25"/>
    <row r="495" s="79" customFormat="1" ht="15" customHeight="1" x14ac:dyDescent="0.25"/>
    <row r="496" s="79" customFormat="1" ht="15" customHeight="1" x14ac:dyDescent="0.25"/>
    <row r="497" s="79" customFormat="1" ht="15" customHeight="1" x14ac:dyDescent="0.25"/>
    <row r="498" s="79" customFormat="1" ht="15" customHeight="1" x14ac:dyDescent="0.25"/>
    <row r="499" s="79" customFormat="1" ht="15" customHeight="1" x14ac:dyDescent="0.25"/>
    <row r="500" s="79" customFormat="1" ht="15" customHeight="1" x14ac:dyDescent="0.25"/>
    <row r="501" s="79" customFormat="1" ht="15" customHeight="1" x14ac:dyDescent="0.25"/>
    <row r="502" s="79" customFormat="1" ht="15" customHeight="1" x14ac:dyDescent="0.25"/>
    <row r="503" s="79" customFormat="1" ht="15" customHeight="1" x14ac:dyDescent="0.25"/>
    <row r="504" s="79" customFormat="1" ht="15" customHeight="1" x14ac:dyDescent="0.25"/>
    <row r="505" s="79" customFormat="1" ht="15" customHeight="1" x14ac:dyDescent="0.25"/>
    <row r="506" s="79" customFormat="1" ht="15" customHeight="1" x14ac:dyDescent="0.25"/>
    <row r="507" s="79" customFormat="1" ht="15" customHeight="1" x14ac:dyDescent="0.25"/>
    <row r="508" s="79" customFormat="1" ht="15" customHeight="1" x14ac:dyDescent="0.25"/>
    <row r="509" s="79" customFormat="1" ht="15" customHeight="1" x14ac:dyDescent="0.25"/>
    <row r="510" s="79" customFormat="1" ht="15" customHeight="1" x14ac:dyDescent="0.25"/>
    <row r="511" s="79" customFormat="1" ht="15" customHeight="1" x14ac:dyDescent="0.25"/>
    <row r="512" s="79" customFormat="1" ht="15" customHeight="1" x14ac:dyDescent="0.25"/>
    <row r="513" s="79" customFormat="1" ht="15" customHeight="1" x14ac:dyDescent="0.25"/>
    <row r="514" s="79" customFormat="1" ht="15" customHeight="1" x14ac:dyDescent="0.25"/>
    <row r="515" s="79" customFormat="1" ht="15" customHeight="1" x14ac:dyDescent="0.25"/>
    <row r="516" s="79" customFormat="1" ht="15" customHeight="1" x14ac:dyDescent="0.25"/>
    <row r="517" s="79" customFormat="1" ht="15" customHeight="1" x14ac:dyDescent="0.25"/>
    <row r="518" s="79" customFormat="1" ht="15" customHeight="1" x14ac:dyDescent="0.25"/>
    <row r="519" s="79" customFormat="1" ht="15" customHeight="1" x14ac:dyDescent="0.25"/>
    <row r="520" s="79" customFormat="1" ht="15" customHeight="1" x14ac:dyDescent="0.25"/>
    <row r="521" s="79" customFormat="1" ht="15" customHeight="1" x14ac:dyDescent="0.25"/>
    <row r="522" s="79" customFormat="1" ht="15" customHeight="1" x14ac:dyDescent="0.25"/>
    <row r="523" s="79" customFormat="1" ht="15" customHeight="1" x14ac:dyDescent="0.25"/>
    <row r="524" s="79" customFormat="1" ht="15" customHeight="1" x14ac:dyDescent="0.25"/>
    <row r="525" s="79" customFormat="1" ht="15" customHeight="1" x14ac:dyDescent="0.25"/>
    <row r="526" s="79" customFormat="1" ht="15" customHeight="1" x14ac:dyDescent="0.25"/>
    <row r="527" s="79" customFormat="1" ht="15" customHeight="1" x14ac:dyDescent="0.25"/>
    <row r="528" s="79" customFormat="1" ht="15" customHeight="1" x14ac:dyDescent="0.25"/>
    <row r="529" s="79" customFormat="1" ht="15" customHeight="1" x14ac:dyDescent="0.25"/>
    <row r="530" s="79" customFormat="1" ht="15" customHeight="1" x14ac:dyDescent="0.25"/>
    <row r="531" s="79" customFormat="1" ht="15" customHeight="1" x14ac:dyDescent="0.25"/>
    <row r="532" s="79" customFormat="1" ht="15" customHeight="1" x14ac:dyDescent="0.25"/>
    <row r="533" s="79" customFormat="1" ht="15" customHeight="1" x14ac:dyDescent="0.25"/>
    <row r="534" s="79" customFormat="1" ht="15" customHeight="1" x14ac:dyDescent="0.25"/>
    <row r="535" s="79" customFormat="1" ht="15" customHeight="1" x14ac:dyDescent="0.25"/>
    <row r="536" s="79" customFormat="1" ht="15" customHeight="1" x14ac:dyDescent="0.25"/>
    <row r="537" s="79" customFormat="1" ht="15" customHeight="1" x14ac:dyDescent="0.25"/>
    <row r="538" s="79" customFormat="1" ht="15" customHeight="1" x14ac:dyDescent="0.25"/>
    <row r="539" s="79" customFormat="1" ht="15" customHeight="1" x14ac:dyDescent="0.25"/>
    <row r="540" s="79" customFormat="1" ht="15" customHeight="1" x14ac:dyDescent="0.25"/>
    <row r="541" s="79" customFormat="1" ht="15" customHeight="1" x14ac:dyDescent="0.25"/>
    <row r="542" s="79" customFormat="1" ht="15" customHeight="1" x14ac:dyDescent="0.25"/>
    <row r="543" s="79" customFormat="1" ht="15" customHeight="1" x14ac:dyDescent="0.25"/>
    <row r="544" s="79" customFormat="1" ht="15" customHeight="1" x14ac:dyDescent="0.25"/>
    <row r="545" s="79" customFormat="1" ht="15" customHeight="1" x14ac:dyDescent="0.25"/>
    <row r="546" s="79" customFormat="1" ht="15" customHeight="1" x14ac:dyDescent="0.25"/>
    <row r="547" s="79" customFormat="1" ht="15" customHeight="1" x14ac:dyDescent="0.25"/>
    <row r="548" s="79" customFormat="1" ht="15" customHeight="1" x14ac:dyDescent="0.25"/>
    <row r="549" s="79" customFormat="1" ht="15" customHeight="1" x14ac:dyDescent="0.25"/>
    <row r="550" s="79" customFormat="1" ht="15" customHeight="1" x14ac:dyDescent="0.25"/>
    <row r="551" s="79" customFormat="1" ht="15" customHeight="1" x14ac:dyDescent="0.25"/>
    <row r="552" s="79" customFormat="1" ht="15" customHeight="1" x14ac:dyDescent="0.25"/>
    <row r="553" s="79" customFormat="1" ht="15" customHeight="1" x14ac:dyDescent="0.25"/>
    <row r="554" s="79" customFormat="1" ht="15" customHeight="1" x14ac:dyDescent="0.25"/>
    <row r="555" s="79" customFormat="1" ht="15" customHeight="1" x14ac:dyDescent="0.25"/>
    <row r="556" s="79" customFormat="1" ht="15" customHeight="1" x14ac:dyDescent="0.25"/>
    <row r="557" s="79" customFormat="1" ht="15" customHeight="1" x14ac:dyDescent="0.25"/>
    <row r="558" s="79" customFormat="1" ht="15" customHeight="1" x14ac:dyDescent="0.25"/>
    <row r="559" s="79" customFormat="1" ht="15" customHeight="1" x14ac:dyDescent="0.25"/>
    <row r="560" s="79" customFormat="1" ht="15" customHeight="1" x14ac:dyDescent="0.25"/>
    <row r="561" s="79" customFormat="1" ht="15" customHeight="1" x14ac:dyDescent="0.25"/>
    <row r="562" s="79" customFormat="1" ht="15" customHeight="1" x14ac:dyDescent="0.25"/>
    <row r="563" s="79" customFormat="1" ht="15" customHeight="1" x14ac:dyDescent="0.25"/>
    <row r="564" s="79" customFormat="1" ht="15" customHeight="1" x14ac:dyDescent="0.25"/>
    <row r="565" s="79" customFormat="1" ht="15" customHeight="1" x14ac:dyDescent="0.25"/>
    <row r="566" s="79" customFormat="1" ht="15" customHeight="1" x14ac:dyDescent="0.25"/>
    <row r="567" s="79" customFormat="1" ht="15" customHeight="1" x14ac:dyDescent="0.25"/>
    <row r="568" s="79" customFormat="1" ht="15" customHeight="1" x14ac:dyDescent="0.25"/>
    <row r="569" s="79" customFormat="1" ht="15" customHeight="1" x14ac:dyDescent="0.25"/>
    <row r="570" s="79" customFormat="1" ht="15" customHeight="1" x14ac:dyDescent="0.25"/>
    <row r="571" s="79" customFormat="1" ht="15" customHeight="1" x14ac:dyDescent="0.25"/>
    <row r="572" s="79" customFormat="1" ht="15" customHeight="1" x14ac:dyDescent="0.25"/>
    <row r="573" s="79" customFormat="1" ht="15" customHeight="1" x14ac:dyDescent="0.25"/>
    <row r="574" s="79" customFormat="1" ht="15" customHeight="1" x14ac:dyDescent="0.25"/>
    <row r="575" s="79" customFormat="1" ht="15" customHeight="1" x14ac:dyDescent="0.25"/>
    <row r="576" s="79" customFormat="1" ht="15" customHeight="1" x14ac:dyDescent="0.25"/>
    <row r="577" s="79" customFormat="1" ht="15" customHeight="1" x14ac:dyDescent="0.25"/>
    <row r="578" s="79" customFormat="1" ht="15" customHeight="1" x14ac:dyDescent="0.25"/>
    <row r="579" s="79" customFormat="1" ht="15" customHeight="1" x14ac:dyDescent="0.25"/>
    <row r="580" s="79" customFormat="1" ht="15" customHeight="1" x14ac:dyDescent="0.25"/>
    <row r="581" s="79" customFormat="1" ht="15" customHeight="1" x14ac:dyDescent="0.25"/>
    <row r="582" s="79" customFormat="1" ht="15" customHeight="1" x14ac:dyDescent="0.25"/>
    <row r="583" s="79" customFormat="1" ht="15" customHeight="1" x14ac:dyDescent="0.25"/>
    <row r="584" s="79" customFormat="1" ht="15" customHeight="1" x14ac:dyDescent="0.25"/>
    <row r="585" s="79" customFormat="1" ht="15" customHeight="1" x14ac:dyDescent="0.25"/>
    <row r="586" s="79" customFormat="1" ht="15" customHeight="1" x14ac:dyDescent="0.25"/>
    <row r="587" s="79" customFormat="1" ht="15" customHeight="1" x14ac:dyDescent="0.25"/>
    <row r="588" s="79" customFormat="1" ht="15" customHeight="1" x14ac:dyDescent="0.25"/>
    <row r="589" s="79" customFormat="1" ht="15" customHeight="1" x14ac:dyDescent="0.25"/>
    <row r="590" s="79" customFormat="1" ht="15" customHeight="1" x14ac:dyDescent="0.25"/>
    <row r="591" s="79" customFormat="1" ht="15" customHeight="1" x14ac:dyDescent="0.25"/>
    <row r="592" s="79" customFormat="1" ht="15" customHeight="1" x14ac:dyDescent="0.25"/>
    <row r="593" s="79" customFormat="1" ht="15" customHeight="1" x14ac:dyDescent="0.25"/>
    <row r="594" s="79" customFormat="1" ht="15" customHeight="1" x14ac:dyDescent="0.25"/>
    <row r="595" s="79" customFormat="1" ht="15" customHeight="1" x14ac:dyDescent="0.25"/>
    <row r="596" s="79" customFormat="1" ht="15" customHeight="1" x14ac:dyDescent="0.25"/>
    <row r="597" s="79" customFormat="1" ht="15" customHeight="1" x14ac:dyDescent="0.25"/>
    <row r="598" s="79" customFormat="1" ht="15" customHeight="1" x14ac:dyDescent="0.25"/>
    <row r="599" s="79" customFormat="1" ht="15" customHeight="1" x14ac:dyDescent="0.25"/>
    <row r="600" s="79" customFormat="1" ht="15" customHeight="1" x14ac:dyDescent="0.25"/>
    <row r="601" s="79" customFormat="1" ht="15" customHeight="1" x14ac:dyDescent="0.25"/>
    <row r="602" s="79" customFormat="1" ht="15" customHeight="1" x14ac:dyDescent="0.25"/>
    <row r="603" s="79" customFormat="1" ht="15" customHeight="1" x14ac:dyDescent="0.25"/>
    <row r="604" s="79" customFormat="1" ht="15" customHeight="1" x14ac:dyDescent="0.25"/>
    <row r="605" s="79" customFormat="1" ht="15" customHeight="1" x14ac:dyDescent="0.25"/>
    <row r="606" s="79" customFormat="1" ht="15" customHeight="1" x14ac:dyDescent="0.25"/>
    <row r="607" s="79" customFormat="1" ht="15" customHeight="1" x14ac:dyDescent="0.25"/>
    <row r="608" s="79" customFormat="1" ht="15" customHeight="1" x14ac:dyDescent="0.25"/>
    <row r="609" s="79" customFormat="1" ht="15" customHeight="1" x14ac:dyDescent="0.25"/>
    <row r="610" s="79" customFormat="1" ht="15" customHeight="1" x14ac:dyDescent="0.25"/>
    <row r="611" s="79" customFormat="1" ht="15" customHeight="1" x14ac:dyDescent="0.25"/>
    <row r="612" s="79" customFormat="1" ht="15" customHeight="1" x14ac:dyDescent="0.25"/>
    <row r="613" s="79" customFormat="1" ht="15" customHeight="1" x14ac:dyDescent="0.25"/>
    <row r="614" s="79" customFormat="1" ht="15" customHeight="1" x14ac:dyDescent="0.25"/>
    <row r="615" s="79" customFormat="1" ht="15" customHeight="1" x14ac:dyDescent="0.25"/>
    <row r="616" s="79" customFormat="1" ht="15" customHeight="1" x14ac:dyDescent="0.25"/>
    <row r="617" s="79" customFormat="1" ht="15" customHeight="1" x14ac:dyDescent="0.25"/>
    <row r="618" s="79" customFormat="1" ht="15" customHeight="1" x14ac:dyDescent="0.25"/>
    <row r="619" s="79" customFormat="1" ht="15" customHeight="1" x14ac:dyDescent="0.25"/>
    <row r="620" s="79" customFormat="1" ht="15" customHeight="1" x14ac:dyDescent="0.25"/>
    <row r="621" s="79" customFormat="1" ht="15" customHeight="1" x14ac:dyDescent="0.25"/>
    <row r="622" s="79" customFormat="1" ht="15" customHeight="1" x14ac:dyDescent="0.25"/>
    <row r="623" s="79" customFormat="1" ht="15" customHeight="1" x14ac:dyDescent="0.25"/>
    <row r="624" s="79" customFormat="1" ht="15" customHeight="1" x14ac:dyDescent="0.25"/>
    <row r="625" s="79" customFormat="1" ht="15" customHeight="1" x14ac:dyDescent="0.25"/>
    <row r="626" s="79" customFormat="1" ht="15" customHeight="1" x14ac:dyDescent="0.25"/>
    <row r="627" s="79" customFormat="1" ht="15" customHeight="1" x14ac:dyDescent="0.25"/>
    <row r="628" s="79" customFormat="1" ht="15" customHeight="1" x14ac:dyDescent="0.25"/>
    <row r="629" s="79" customFormat="1" ht="15" customHeight="1" x14ac:dyDescent="0.25"/>
    <row r="630" s="79" customFormat="1" ht="15" customHeight="1" x14ac:dyDescent="0.25"/>
    <row r="631" s="79" customFormat="1" ht="15" customHeight="1" x14ac:dyDescent="0.25"/>
    <row r="632" s="79" customFormat="1" ht="15" customHeight="1" x14ac:dyDescent="0.25"/>
    <row r="633" s="79" customFormat="1" ht="15" customHeight="1" x14ac:dyDescent="0.25"/>
    <row r="634" s="79" customFormat="1" ht="15" customHeight="1" x14ac:dyDescent="0.25"/>
    <row r="635" s="79" customFormat="1" ht="15" customHeight="1" x14ac:dyDescent="0.25"/>
    <row r="636" s="79" customFormat="1" ht="15" customHeight="1" x14ac:dyDescent="0.25"/>
    <row r="637" s="79" customFormat="1" ht="15" customHeight="1" x14ac:dyDescent="0.25"/>
    <row r="638" s="79" customFormat="1" ht="15" customHeight="1" x14ac:dyDescent="0.25"/>
    <row r="639" s="79" customFormat="1" ht="15" customHeight="1" x14ac:dyDescent="0.25"/>
    <row r="640" s="79" customFormat="1" ht="15" customHeight="1" x14ac:dyDescent="0.25"/>
    <row r="641" s="79" customFormat="1" ht="15" customHeight="1" x14ac:dyDescent="0.25"/>
    <row r="642" s="79" customFormat="1" ht="15" customHeight="1" x14ac:dyDescent="0.25"/>
    <row r="643" s="79" customFormat="1" ht="15" customHeight="1" x14ac:dyDescent="0.25"/>
    <row r="644" s="79" customFormat="1" ht="15" customHeight="1" x14ac:dyDescent="0.25"/>
    <row r="645" s="79" customFormat="1" ht="15" customHeight="1" x14ac:dyDescent="0.25"/>
    <row r="646" s="79" customFormat="1" ht="15" customHeight="1" x14ac:dyDescent="0.25"/>
    <row r="647" s="79" customFormat="1" ht="15" customHeight="1" x14ac:dyDescent="0.25"/>
    <row r="648" s="79" customFormat="1" ht="15" customHeight="1" x14ac:dyDescent="0.25"/>
    <row r="649" s="79" customFormat="1" ht="15" customHeight="1" x14ac:dyDescent="0.25"/>
    <row r="650" s="79" customFormat="1" ht="15" customHeight="1" x14ac:dyDescent="0.25"/>
    <row r="651" s="79" customFormat="1" ht="15" customHeight="1" x14ac:dyDescent="0.25"/>
    <row r="652" s="79" customFormat="1" ht="15" customHeight="1" x14ac:dyDescent="0.25"/>
    <row r="653" s="79" customFormat="1" ht="15" customHeight="1" x14ac:dyDescent="0.25"/>
    <row r="654" s="79" customFormat="1" ht="15" customHeight="1" x14ac:dyDescent="0.25"/>
    <row r="655" s="79" customFormat="1" ht="15" customHeight="1" x14ac:dyDescent="0.25"/>
    <row r="656" s="79" customFormat="1" ht="15" customHeight="1" x14ac:dyDescent="0.25"/>
    <row r="657" s="79" customFormat="1" ht="15" customHeight="1" x14ac:dyDescent="0.25"/>
    <row r="658" s="79" customFormat="1" ht="15" customHeight="1" x14ac:dyDescent="0.25"/>
    <row r="659" s="79" customFormat="1" ht="15" customHeight="1" x14ac:dyDescent="0.25"/>
    <row r="660" s="79" customFormat="1" ht="15" customHeight="1" x14ac:dyDescent="0.25"/>
    <row r="661" s="79" customFormat="1" ht="15" customHeight="1" x14ac:dyDescent="0.25"/>
    <row r="662" s="79" customFormat="1" ht="15" customHeight="1" x14ac:dyDescent="0.25"/>
    <row r="663" s="79" customFormat="1" ht="15" customHeight="1" x14ac:dyDescent="0.25"/>
    <row r="664" s="79" customFormat="1" ht="15" customHeight="1" x14ac:dyDescent="0.25"/>
    <row r="665" s="79" customFormat="1" ht="15" customHeight="1" x14ac:dyDescent="0.25"/>
    <row r="666" s="79" customFormat="1" ht="15" customHeight="1" x14ac:dyDescent="0.25"/>
    <row r="667" s="79" customFormat="1" ht="15" customHeight="1" x14ac:dyDescent="0.25"/>
    <row r="668" s="79" customFormat="1" ht="15" customHeight="1" x14ac:dyDescent="0.25"/>
    <row r="669" s="79" customFormat="1" ht="15" customHeight="1" x14ac:dyDescent="0.25"/>
    <row r="670" s="79" customFormat="1" ht="15" customHeight="1" x14ac:dyDescent="0.25"/>
    <row r="671" s="79" customFormat="1" ht="15" customHeight="1" x14ac:dyDescent="0.25"/>
    <row r="672" s="79" customFormat="1" ht="15" customHeight="1" x14ac:dyDescent="0.25"/>
    <row r="673" s="79" customFormat="1" ht="15" customHeight="1" x14ac:dyDescent="0.25"/>
    <row r="674" s="79" customFormat="1" ht="15" customHeight="1" x14ac:dyDescent="0.25"/>
    <row r="675" s="79" customFormat="1" ht="15" customHeight="1" x14ac:dyDescent="0.25"/>
    <row r="676" s="79" customFormat="1" ht="15" customHeight="1" x14ac:dyDescent="0.25"/>
    <row r="677" s="79" customFormat="1" ht="15" customHeight="1" x14ac:dyDescent="0.25"/>
    <row r="678" s="79" customFormat="1" ht="15" customHeight="1" x14ac:dyDescent="0.25"/>
    <row r="679" s="79" customFormat="1" ht="15" customHeight="1" x14ac:dyDescent="0.25"/>
    <row r="680" s="79" customFormat="1" ht="15" customHeight="1" x14ac:dyDescent="0.25"/>
    <row r="681" s="79" customFormat="1" ht="15" customHeight="1" x14ac:dyDescent="0.25"/>
    <row r="682" s="79" customFormat="1" ht="15" customHeight="1" x14ac:dyDescent="0.25"/>
    <row r="683" s="79" customFormat="1" ht="15" customHeight="1" x14ac:dyDescent="0.25"/>
    <row r="684" s="79" customFormat="1" ht="15" customHeight="1" x14ac:dyDescent="0.25"/>
    <row r="685" s="79" customFormat="1" ht="15" customHeight="1" x14ac:dyDescent="0.25"/>
    <row r="686" s="79" customFormat="1" ht="15" customHeight="1" x14ac:dyDescent="0.25"/>
    <row r="687" s="79" customFormat="1" ht="15" customHeight="1" x14ac:dyDescent="0.25"/>
    <row r="688" s="79" customFormat="1" ht="15" customHeight="1" x14ac:dyDescent="0.25"/>
    <row r="689" s="79" customFormat="1" ht="15" customHeight="1" x14ac:dyDescent="0.25"/>
    <row r="690" s="79" customFormat="1" ht="15" customHeight="1" x14ac:dyDescent="0.25"/>
    <row r="691" s="79" customFormat="1" ht="15" customHeight="1" x14ac:dyDescent="0.25"/>
    <row r="692" s="79" customFormat="1" ht="15" customHeight="1" x14ac:dyDescent="0.25"/>
    <row r="693" s="79" customFormat="1" ht="15" customHeight="1" x14ac:dyDescent="0.25"/>
    <row r="694" s="79" customFormat="1" ht="15" customHeight="1" x14ac:dyDescent="0.25"/>
    <row r="695" s="79" customFormat="1" ht="15" customHeight="1" x14ac:dyDescent="0.25"/>
    <row r="696" s="79" customFormat="1" ht="15" customHeight="1" x14ac:dyDescent="0.25"/>
    <row r="697" s="79" customFormat="1" ht="15" customHeight="1" x14ac:dyDescent="0.25"/>
    <row r="698" s="79" customFormat="1" ht="15" customHeight="1" x14ac:dyDescent="0.25"/>
    <row r="699" s="79" customFormat="1" ht="15" customHeight="1" x14ac:dyDescent="0.25"/>
    <row r="700" s="79" customFormat="1" ht="15" customHeight="1" x14ac:dyDescent="0.25"/>
    <row r="701" s="79" customFormat="1" ht="15" customHeight="1" x14ac:dyDescent="0.25"/>
    <row r="702" s="79" customFormat="1" ht="15" customHeight="1" x14ac:dyDescent="0.25"/>
    <row r="703" s="79" customFormat="1" ht="15" customHeight="1" x14ac:dyDescent="0.25"/>
    <row r="704" s="79" customFormat="1" ht="15" customHeight="1" x14ac:dyDescent="0.25"/>
    <row r="705" s="79" customFormat="1" ht="15" customHeight="1" x14ac:dyDescent="0.25"/>
    <row r="706" s="79" customFormat="1" ht="15" customHeight="1" x14ac:dyDescent="0.25"/>
    <row r="707" s="79" customFormat="1" ht="15" customHeight="1" x14ac:dyDescent="0.25"/>
    <row r="708" s="79" customFormat="1" ht="15" customHeight="1" x14ac:dyDescent="0.25"/>
    <row r="709" s="79" customFormat="1" ht="15" customHeight="1" x14ac:dyDescent="0.25"/>
    <row r="710" s="79" customFormat="1" ht="15" customHeight="1" x14ac:dyDescent="0.25"/>
    <row r="711" s="79" customFormat="1" ht="15" customHeight="1" x14ac:dyDescent="0.25"/>
    <row r="712" s="79" customFormat="1" ht="15" customHeight="1" x14ac:dyDescent="0.25"/>
    <row r="713" s="79" customFormat="1" ht="15" customHeight="1" x14ac:dyDescent="0.25"/>
    <row r="714" s="79" customFormat="1" ht="15" customHeight="1" x14ac:dyDescent="0.25"/>
    <row r="715" s="79" customFormat="1" ht="15" customHeight="1" x14ac:dyDescent="0.25"/>
    <row r="716" s="79" customFormat="1" ht="15" customHeight="1" x14ac:dyDescent="0.25"/>
    <row r="717" s="79" customFormat="1" ht="15" customHeight="1" x14ac:dyDescent="0.25"/>
    <row r="718" s="79" customFormat="1" ht="15" customHeight="1" x14ac:dyDescent="0.25"/>
    <row r="719" s="79" customFormat="1" ht="15" customHeight="1" x14ac:dyDescent="0.25"/>
    <row r="720" s="79" customFormat="1" ht="15" customHeight="1" x14ac:dyDescent="0.25"/>
    <row r="721" s="79" customFormat="1" ht="15" customHeight="1" x14ac:dyDescent="0.25"/>
    <row r="722" s="79" customFormat="1" ht="15" customHeight="1" x14ac:dyDescent="0.25"/>
    <row r="723" s="79" customFormat="1" ht="15" customHeight="1" x14ac:dyDescent="0.25"/>
    <row r="724" s="79" customFormat="1" ht="15" customHeight="1" x14ac:dyDescent="0.25"/>
    <row r="725" s="79" customFormat="1" ht="15" customHeight="1" x14ac:dyDescent="0.25"/>
    <row r="726" s="79" customFormat="1" ht="15" customHeight="1" x14ac:dyDescent="0.25"/>
    <row r="727" s="79" customFormat="1" ht="15" customHeight="1" x14ac:dyDescent="0.25"/>
    <row r="728" s="79" customFormat="1" ht="15" customHeight="1" x14ac:dyDescent="0.25"/>
    <row r="729" s="79" customFormat="1" ht="15" customHeight="1" x14ac:dyDescent="0.25"/>
    <row r="730" s="79" customFormat="1" ht="15" customHeight="1" x14ac:dyDescent="0.25"/>
    <row r="731" s="79" customFormat="1" ht="15" customHeight="1" x14ac:dyDescent="0.25"/>
    <row r="732" s="79" customFormat="1" ht="15" customHeight="1" x14ac:dyDescent="0.25"/>
    <row r="733" s="79" customFormat="1" ht="15" customHeight="1" x14ac:dyDescent="0.25"/>
    <row r="734" s="79" customFormat="1" ht="15" customHeight="1" x14ac:dyDescent="0.25"/>
    <row r="735" s="79" customFormat="1" ht="15" customHeight="1" x14ac:dyDescent="0.25"/>
    <row r="736" s="79" customFormat="1" ht="15" customHeight="1" x14ac:dyDescent="0.25"/>
    <row r="737" s="79" customFormat="1" ht="15" customHeight="1" x14ac:dyDescent="0.25"/>
    <row r="738" s="79" customFormat="1" ht="15" customHeight="1" x14ac:dyDescent="0.25"/>
    <row r="739" s="79" customFormat="1" ht="15" customHeight="1" x14ac:dyDescent="0.25"/>
    <row r="740" s="79" customFormat="1" ht="15" customHeight="1" x14ac:dyDescent="0.25"/>
    <row r="741" s="79" customFormat="1" ht="15" customHeight="1" x14ac:dyDescent="0.25"/>
    <row r="742" s="79" customFormat="1" ht="15" customHeight="1" x14ac:dyDescent="0.25"/>
    <row r="743" s="79" customFormat="1" ht="15" customHeight="1" x14ac:dyDescent="0.25"/>
    <row r="744" s="79" customFormat="1" ht="15" customHeight="1" x14ac:dyDescent="0.25"/>
    <row r="745" s="79" customFormat="1" ht="15" customHeight="1" x14ac:dyDescent="0.25"/>
    <row r="746" s="79" customFormat="1" ht="15" customHeight="1" x14ac:dyDescent="0.25"/>
    <row r="747" s="79" customFormat="1" ht="15" customHeight="1" x14ac:dyDescent="0.25"/>
    <row r="748" s="79" customFormat="1" ht="15" customHeight="1" x14ac:dyDescent="0.25"/>
    <row r="749" s="79" customFormat="1" ht="15" customHeight="1" x14ac:dyDescent="0.25"/>
    <row r="750" s="79" customFormat="1" ht="15" customHeight="1" x14ac:dyDescent="0.25"/>
    <row r="751" s="79" customFormat="1" ht="15" customHeight="1" x14ac:dyDescent="0.25"/>
    <row r="752" s="79" customFormat="1" ht="15" customHeight="1" x14ac:dyDescent="0.25"/>
    <row r="753" s="79" customFormat="1" ht="15" customHeight="1" x14ac:dyDescent="0.25"/>
    <row r="754" s="79" customFormat="1" ht="15" customHeight="1" x14ac:dyDescent="0.25"/>
    <row r="755" s="79" customFormat="1" ht="15" customHeight="1" x14ac:dyDescent="0.25"/>
    <row r="756" s="79" customFormat="1" ht="15" customHeight="1" x14ac:dyDescent="0.25"/>
    <row r="757" s="79" customFormat="1" ht="15" customHeight="1" x14ac:dyDescent="0.25"/>
    <row r="758" s="79" customFormat="1" ht="15" customHeight="1" x14ac:dyDescent="0.25"/>
    <row r="759" s="79" customFormat="1" ht="15" customHeight="1" x14ac:dyDescent="0.25"/>
    <row r="760" s="79" customFormat="1" ht="15" customHeight="1" x14ac:dyDescent="0.25"/>
    <row r="761" s="79" customFormat="1" ht="15" customHeight="1" x14ac:dyDescent="0.25"/>
    <row r="762" s="79" customFormat="1" ht="15" customHeight="1" x14ac:dyDescent="0.25"/>
    <row r="763" s="79" customFormat="1" ht="15" customHeight="1" x14ac:dyDescent="0.25"/>
    <row r="764" s="79" customFormat="1" ht="15" customHeight="1" x14ac:dyDescent="0.25"/>
    <row r="765" s="79" customFormat="1" ht="15" customHeight="1" x14ac:dyDescent="0.25"/>
    <row r="766" s="79" customFormat="1" ht="15" customHeight="1" x14ac:dyDescent="0.25"/>
    <row r="767" s="79" customFormat="1" ht="15" customHeight="1" x14ac:dyDescent="0.25"/>
    <row r="768" s="79" customFormat="1" ht="15" customHeight="1" x14ac:dyDescent="0.25"/>
    <row r="769" s="79" customFormat="1" ht="15" customHeight="1" x14ac:dyDescent="0.25"/>
    <row r="770" s="79" customFormat="1" ht="15" customHeight="1" x14ac:dyDescent="0.25"/>
    <row r="771" s="79" customFormat="1" ht="15" customHeight="1" x14ac:dyDescent="0.25"/>
    <row r="772" s="79" customFormat="1" ht="15" customHeight="1" x14ac:dyDescent="0.25"/>
    <row r="773" s="79" customFormat="1" ht="15" customHeight="1" x14ac:dyDescent="0.25"/>
    <row r="774" s="79" customFormat="1" ht="15" customHeight="1" x14ac:dyDescent="0.25"/>
    <row r="775" s="79" customFormat="1" ht="15" customHeight="1" x14ac:dyDescent="0.25"/>
    <row r="776" s="79" customFormat="1" ht="15" customHeight="1" x14ac:dyDescent="0.25"/>
    <row r="777" s="79" customFormat="1" ht="15" customHeight="1" x14ac:dyDescent="0.25"/>
    <row r="778" s="79" customFormat="1" ht="15" customHeight="1" x14ac:dyDescent="0.25"/>
    <row r="779" s="79" customFormat="1" ht="15" customHeight="1" x14ac:dyDescent="0.25"/>
    <row r="780" s="79" customFormat="1" ht="15" customHeight="1" x14ac:dyDescent="0.25"/>
    <row r="781" s="79" customFormat="1" ht="15" customHeight="1" x14ac:dyDescent="0.25"/>
    <row r="782" s="79" customFormat="1" ht="15" customHeight="1" x14ac:dyDescent="0.25"/>
    <row r="783" s="79" customFormat="1" ht="15" customHeight="1" x14ac:dyDescent="0.25"/>
    <row r="784" s="79" customFormat="1" ht="15" customHeight="1" x14ac:dyDescent="0.25"/>
    <row r="785" s="79" customFormat="1" ht="15" customHeight="1" x14ac:dyDescent="0.25"/>
    <row r="786" s="79" customFormat="1" ht="15" customHeight="1" x14ac:dyDescent="0.25"/>
    <row r="787" s="79" customFormat="1" ht="15" customHeight="1" x14ac:dyDescent="0.25"/>
    <row r="788" s="79" customFormat="1" ht="15" customHeight="1" x14ac:dyDescent="0.25"/>
    <row r="789" s="79" customFormat="1" ht="15" customHeight="1" x14ac:dyDescent="0.25"/>
    <row r="790" s="79" customFormat="1" ht="15" customHeight="1" x14ac:dyDescent="0.25"/>
    <row r="791" s="79" customFormat="1" ht="15" customHeight="1" x14ac:dyDescent="0.25"/>
    <row r="792" s="79" customFormat="1" ht="15" customHeight="1" x14ac:dyDescent="0.25"/>
    <row r="793" s="79" customFormat="1" ht="15" customHeight="1" x14ac:dyDescent="0.25"/>
    <row r="794" s="79" customFormat="1" ht="15" customHeight="1" x14ac:dyDescent="0.25"/>
    <row r="795" s="79" customFormat="1" ht="15" customHeight="1" x14ac:dyDescent="0.25"/>
    <row r="796" s="79" customFormat="1" ht="15" customHeight="1" x14ac:dyDescent="0.25"/>
    <row r="797" s="79" customFormat="1" ht="15" customHeight="1" x14ac:dyDescent="0.25"/>
    <row r="798" s="79" customFormat="1" ht="15" customHeight="1" x14ac:dyDescent="0.25"/>
    <row r="799" s="79" customFormat="1" ht="15" customHeight="1" x14ac:dyDescent="0.25"/>
    <row r="800" s="79" customFormat="1" ht="15" customHeight="1" x14ac:dyDescent="0.25"/>
    <row r="801" s="79" customFormat="1" ht="15" customHeight="1" x14ac:dyDescent="0.25"/>
    <row r="802" s="79" customFormat="1" ht="15" customHeight="1" x14ac:dyDescent="0.25"/>
    <row r="803" s="79" customFormat="1" ht="15" customHeight="1" x14ac:dyDescent="0.25"/>
    <row r="804" s="79" customFormat="1" ht="15" customHeight="1" x14ac:dyDescent="0.25"/>
    <row r="805" s="79" customFormat="1" ht="15" customHeight="1" x14ac:dyDescent="0.25"/>
    <row r="806" s="79" customFormat="1" ht="15" customHeight="1" x14ac:dyDescent="0.25"/>
    <row r="807" s="79" customFormat="1" ht="15" customHeight="1" x14ac:dyDescent="0.25"/>
    <row r="808" s="79" customFormat="1" ht="15" customHeight="1" x14ac:dyDescent="0.25"/>
    <row r="809" s="79" customFormat="1" ht="15" customHeight="1" x14ac:dyDescent="0.25"/>
    <row r="810" s="79" customFormat="1" ht="15" customHeight="1" x14ac:dyDescent="0.25"/>
    <row r="811" s="79" customFormat="1" ht="15" customHeight="1" x14ac:dyDescent="0.25"/>
    <row r="812" s="79" customFormat="1" ht="15" customHeight="1" x14ac:dyDescent="0.25"/>
    <row r="813" s="79" customFormat="1" ht="15" customHeight="1" x14ac:dyDescent="0.25"/>
    <row r="814" s="79" customFormat="1" ht="15" customHeight="1" x14ac:dyDescent="0.25"/>
    <row r="815" s="79" customFormat="1" ht="15" customHeight="1" x14ac:dyDescent="0.25"/>
    <row r="816" s="79" customFormat="1" ht="15" customHeight="1" x14ac:dyDescent="0.25"/>
    <row r="817" s="79" customFormat="1" ht="15" customHeight="1" x14ac:dyDescent="0.25"/>
    <row r="818" s="79" customFormat="1" ht="15" customHeight="1" x14ac:dyDescent="0.25"/>
    <row r="819" s="79" customFormat="1" ht="15" customHeight="1" x14ac:dyDescent="0.25"/>
    <row r="820" s="79" customFormat="1" ht="15" customHeight="1" x14ac:dyDescent="0.25"/>
    <row r="821" s="79" customFormat="1" ht="15" customHeight="1" x14ac:dyDescent="0.25"/>
    <row r="822" s="79" customFormat="1" ht="15" customHeight="1" x14ac:dyDescent="0.25"/>
    <row r="823" s="79" customFormat="1" ht="15" customHeight="1" x14ac:dyDescent="0.25"/>
    <row r="824" s="79" customFormat="1" ht="15" customHeight="1" x14ac:dyDescent="0.25"/>
    <row r="825" s="79" customFormat="1" ht="15" customHeight="1" x14ac:dyDescent="0.25"/>
    <row r="826" s="79" customFormat="1" ht="15" customHeight="1" x14ac:dyDescent="0.25"/>
    <row r="827" s="79" customFormat="1" ht="15" customHeight="1" x14ac:dyDescent="0.25"/>
    <row r="828" s="79" customFormat="1" ht="15" customHeight="1" x14ac:dyDescent="0.25"/>
    <row r="829" s="79" customFormat="1" ht="15" customHeight="1" x14ac:dyDescent="0.25"/>
    <row r="830" s="79" customFormat="1" ht="15" customHeight="1" x14ac:dyDescent="0.25"/>
    <row r="831" s="79" customFormat="1" ht="15" customHeight="1" x14ac:dyDescent="0.25"/>
    <row r="832" s="79" customFormat="1" ht="15" customHeight="1" x14ac:dyDescent="0.25"/>
    <row r="833" s="79" customFormat="1" ht="15" customHeight="1" x14ac:dyDescent="0.25"/>
    <row r="834" s="79" customFormat="1" ht="15" customHeight="1" x14ac:dyDescent="0.25"/>
    <row r="835" s="79" customFormat="1" ht="15" customHeight="1" x14ac:dyDescent="0.25"/>
    <row r="836" s="79" customFormat="1" ht="15" customHeight="1" x14ac:dyDescent="0.25"/>
    <row r="837" s="79" customFormat="1" ht="15" customHeight="1" x14ac:dyDescent="0.25"/>
    <row r="838" s="79" customFormat="1" ht="15" customHeight="1" x14ac:dyDescent="0.25"/>
    <row r="839" s="79" customFormat="1" ht="15" customHeight="1" x14ac:dyDescent="0.25"/>
    <row r="840" s="79" customFormat="1" ht="15" customHeight="1" x14ac:dyDescent="0.25"/>
    <row r="841" s="79" customFormat="1" ht="15" customHeight="1" x14ac:dyDescent="0.25"/>
    <row r="842" s="79" customFormat="1" ht="15" customHeight="1" x14ac:dyDescent="0.25"/>
    <row r="843" s="79" customFormat="1" ht="15" customHeight="1" x14ac:dyDescent="0.25"/>
    <row r="844" s="79" customFormat="1" ht="15" customHeight="1" x14ac:dyDescent="0.25"/>
    <row r="845" s="79" customFormat="1" ht="15" customHeight="1" x14ac:dyDescent="0.25"/>
    <row r="846" s="79" customFormat="1" ht="15" customHeight="1" x14ac:dyDescent="0.25"/>
    <row r="847" s="79" customFormat="1" ht="15" customHeight="1" x14ac:dyDescent="0.25"/>
    <row r="848" s="79" customFormat="1" ht="15" customHeight="1" x14ac:dyDescent="0.25"/>
    <row r="849" s="79" customFormat="1" ht="15" customHeight="1" x14ac:dyDescent="0.25"/>
    <row r="850" s="79" customFormat="1" ht="15" customHeight="1" x14ac:dyDescent="0.25"/>
    <row r="851" s="79" customFormat="1" ht="15" customHeight="1" x14ac:dyDescent="0.25"/>
    <row r="852" s="79" customFormat="1" ht="15" customHeight="1" x14ac:dyDescent="0.25"/>
    <row r="853" s="79" customFormat="1" ht="15" customHeight="1" x14ac:dyDescent="0.25"/>
    <row r="854" s="79" customFormat="1" ht="15" customHeight="1" x14ac:dyDescent="0.25"/>
    <row r="855" s="79" customFormat="1" ht="15" customHeight="1" x14ac:dyDescent="0.25"/>
    <row r="856" s="79" customFormat="1" ht="15" customHeight="1" x14ac:dyDescent="0.25"/>
    <row r="857" s="79" customFormat="1" ht="15" customHeight="1" x14ac:dyDescent="0.25"/>
    <row r="858" s="79" customFormat="1" ht="15" customHeight="1" x14ac:dyDescent="0.25"/>
    <row r="859" s="79" customFormat="1" ht="15" customHeight="1" x14ac:dyDescent="0.25"/>
    <row r="860" s="79" customFormat="1" ht="15" customHeight="1" x14ac:dyDescent="0.25"/>
    <row r="861" s="79" customFormat="1" ht="15" customHeight="1" x14ac:dyDescent="0.25"/>
    <row r="862" s="79" customFormat="1" ht="15" customHeight="1" x14ac:dyDescent="0.25"/>
    <row r="863" s="79" customFormat="1" ht="15" customHeight="1" x14ac:dyDescent="0.25"/>
    <row r="864" s="79" customFormat="1" ht="15" customHeight="1" x14ac:dyDescent="0.25"/>
    <row r="865" s="79" customFormat="1" ht="15" customHeight="1" x14ac:dyDescent="0.25"/>
    <row r="866" s="79" customFormat="1" ht="15" customHeight="1" x14ac:dyDescent="0.25"/>
    <row r="867" s="79" customFormat="1" ht="15" customHeight="1" x14ac:dyDescent="0.25"/>
    <row r="868" s="79" customFormat="1" ht="15" customHeight="1" x14ac:dyDescent="0.25"/>
    <row r="869" s="79" customFormat="1" ht="15" customHeight="1" x14ac:dyDescent="0.25"/>
    <row r="870" s="79" customFormat="1" ht="15" customHeight="1" x14ac:dyDescent="0.25"/>
    <row r="871" s="79" customFormat="1" ht="15" customHeight="1" x14ac:dyDescent="0.25"/>
    <row r="872" s="79" customFormat="1" ht="15" customHeight="1" x14ac:dyDescent="0.25"/>
    <row r="873" s="79" customFormat="1" ht="15" customHeight="1" x14ac:dyDescent="0.25"/>
    <row r="874" s="79" customFormat="1" ht="15" customHeight="1" x14ac:dyDescent="0.25"/>
    <row r="875" s="79" customFormat="1" ht="15" customHeight="1" x14ac:dyDescent="0.25"/>
    <row r="876" s="79" customFormat="1" ht="15" customHeight="1" x14ac:dyDescent="0.25"/>
    <row r="877" s="79" customFormat="1" ht="15" customHeight="1" x14ac:dyDescent="0.25"/>
    <row r="878" s="79" customFormat="1" ht="15" customHeight="1" x14ac:dyDescent="0.25"/>
    <row r="879" s="79" customFormat="1" ht="15" customHeight="1" x14ac:dyDescent="0.25"/>
    <row r="880" s="79" customFormat="1" ht="15" customHeight="1" x14ac:dyDescent="0.25"/>
    <row r="881" s="79" customFormat="1" ht="15" customHeight="1" x14ac:dyDescent="0.25"/>
    <row r="882" s="79" customFormat="1" ht="15" customHeight="1" x14ac:dyDescent="0.25"/>
    <row r="883" s="79" customFormat="1" ht="15" customHeight="1" x14ac:dyDescent="0.25"/>
    <row r="884" s="79" customFormat="1" ht="15" customHeight="1" x14ac:dyDescent="0.25"/>
    <row r="885" s="79" customFormat="1" ht="15" customHeight="1" x14ac:dyDescent="0.25"/>
    <row r="886" s="79" customFormat="1" ht="15" customHeight="1" x14ac:dyDescent="0.25"/>
    <row r="887" s="79" customFormat="1" ht="15" customHeight="1" x14ac:dyDescent="0.25"/>
    <row r="888" s="79" customFormat="1" ht="15" customHeight="1" x14ac:dyDescent="0.25"/>
    <row r="889" s="79" customFormat="1" ht="15" customHeight="1" x14ac:dyDescent="0.25"/>
    <row r="890" s="79" customFormat="1" ht="15" customHeight="1" x14ac:dyDescent="0.25"/>
    <row r="891" s="79" customFormat="1" ht="15" customHeight="1" x14ac:dyDescent="0.25"/>
    <row r="892" s="79" customFormat="1" ht="15" customHeight="1" x14ac:dyDescent="0.25"/>
    <row r="893" s="79" customFormat="1" ht="15" customHeight="1" x14ac:dyDescent="0.25"/>
    <row r="894" s="79" customFormat="1" ht="15" customHeight="1" x14ac:dyDescent="0.25"/>
    <row r="895" s="79" customFormat="1" ht="15" customHeight="1" x14ac:dyDescent="0.25"/>
    <row r="896" s="79" customFormat="1" ht="15" customHeight="1" x14ac:dyDescent="0.25"/>
    <row r="897" s="79" customFormat="1" ht="15" customHeight="1" x14ac:dyDescent="0.25"/>
    <row r="898" s="79" customFormat="1" ht="15" customHeight="1" x14ac:dyDescent="0.25"/>
    <row r="899" s="79" customFormat="1" ht="15" customHeight="1" x14ac:dyDescent="0.25"/>
    <row r="900" s="79" customFormat="1" ht="15" customHeight="1" x14ac:dyDescent="0.25"/>
    <row r="901" s="79" customFormat="1" ht="15" customHeight="1" x14ac:dyDescent="0.25"/>
    <row r="902" s="79" customFormat="1" ht="15" customHeight="1" x14ac:dyDescent="0.25"/>
    <row r="903" s="79" customFormat="1" ht="15" customHeight="1" x14ac:dyDescent="0.25"/>
    <row r="904" s="79" customFormat="1" ht="15" customHeight="1" x14ac:dyDescent="0.25"/>
    <row r="905" s="79" customFormat="1" ht="15" customHeight="1" x14ac:dyDescent="0.25"/>
    <row r="906" s="79" customFormat="1" ht="15" customHeight="1" x14ac:dyDescent="0.25"/>
    <row r="907" s="79" customFormat="1" ht="15" customHeight="1" x14ac:dyDescent="0.25"/>
    <row r="908" s="79" customFormat="1" ht="15" customHeight="1" x14ac:dyDescent="0.25"/>
    <row r="909" s="79" customFormat="1" ht="15" customHeight="1" x14ac:dyDescent="0.25"/>
    <row r="910" s="79" customFormat="1" ht="15" customHeight="1" x14ac:dyDescent="0.25"/>
    <row r="911" s="79" customFormat="1" ht="15" customHeight="1" x14ac:dyDescent="0.25"/>
    <row r="912" s="79" customFormat="1" ht="15" customHeight="1" x14ac:dyDescent="0.25"/>
    <row r="913" s="79" customFormat="1" ht="15" customHeight="1" x14ac:dyDescent="0.25"/>
    <row r="914" s="79" customFormat="1" ht="15" customHeight="1" x14ac:dyDescent="0.25"/>
    <row r="915" s="79" customFormat="1" ht="15" customHeight="1" x14ac:dyDescent="0.25"/>
    <row r="916" s="79" customFormat="1" ht="15" customHeight="1" x14ac:dyDescent="0.25"/>
    <row r="917" s="79" customFormat="1" ht="15" customHeight="1" x14ac:dyDescent="0.25"/>
    <row r="918" s="79" customFormat="1" ht="15" customHeight="1" x14ac:dyDescent="0.25"/>
    <row r="919" s="79" customFormat="1" ht="15" customHeight="1" x14ac:dyDescent="0.25"/>
    <row r="920" s="79" customFormat="1" ht="15" customHeight="1" x14ac:dyDescent="0.25"/>
    <row r="921" s="79" customFormat="1" ht="15" customHeight="1" x14ac:dyDescent="0.25"/>
    <row r="922" s="79" customFormat="1" ht="15" customHeight="1" x14ac:dyDescent="0.25"/>
    <row r="923" s="79" customFormat="1" ht="15" customHeight="1" x14ac:dyDescent="0.25"/>
    <row r="924" s="79" customFormat="1" ht="15" customHeight="1" x14ac:dyDescent="0.25"/>
    <row r="925" s="79" customFormat="1" ht="15" customHeight="1" x14ac:dyDescent="0.25"/>
    <row r="926" s="79" customFormat="1" ht="15" customHeight="1" x14ac:dyDescent="0.25"/>
    <row r="927" s="79" customFormat="1" ht="15" customHeight="1" x14ac:dyDescent="0.25"/>
    <row r="928" s="79" customFormat="1" ht="15" customHeight="1" x14ac:dyDescent="0.25"/>
    <row r="929" s="79" customFormat="1" ht="15" customHeight="1" x14ac:dyDescent="0.25"/>
    <row r="930" s="79" customFormat="1" ht="15" customHeight="1" x14ac:dyDescent="0.25"/>
    <row r="931" s="79" customFormat="1" ht="15" customHeight="1" x14ac:dyDescent="0.25"/>
    <row r="932" s="79" customFormat="1" ht="15" customHeight="1" x14ac:dyDescent="0.25"/>
    <row r="933" s="79" customFormat="1" ht="15" customHeight="1" x14ac:dyDescent="0.25"/>
    <row r="934" s="79" customFormat="1" ht="15" customHeight="1" x14ac:dyDescent="0.25"/>
    <row r="935" s="79" customFormat="1" ht="15" customHeight="1" x14ac:dyDescent="0.25"/>
    <row r="936" s="79" customFormat="1" ht="15" customHeight="1" x14ac:dyDescent="0.25"/>
    <row r="937" s="79" customFormat="1" ht="15" customHeight="1" x14ac:dyDescent="0.25"/>
    <row r="938" s="79" customFormat="1" ht="15" customHeight="1" x14ac:dyDescent="0.25"/>
    <row r="939" s="79" customFormat="1" ht="15" customHeight="1" x14ac:dyDescent="0.25"/>
    <row r="940" s="79" customFormat="1" ht="15" customHeight="1" x14ac:dyDescent="0.25"/>
    <row r="941" s="79" customFormat="1" ht="15" customHeight="1" x14ac:dyDescent="0.25"/>
    <row r="942" s="79" customFormat="1" ht="15" customHeight="1" x14ac:dyDescent="0.25"/>
    <row r="943" s="79" customFormat="1" ht="15" customHeight="1" x14ac:dyDescent="0.25"/>
    <row r="944" s="79" customFormat="1" ht="15" customHeight="1" x14ac:dyDescent="0.25"/>
    <row r="945" s="79" customFormat="1" ht="15" customHeight="1" x14ac:dyDescent="0.25"/>
    <row r="946" s="79" customFormat="1" ht="15" customHeight="1" x14ac:dyDescent="0.25"/>
    <row r="947" s="79" customFormat="1" ht="15" customHeight="1" x14ac:dyDescent="0.25"/>
    <row r="948" s="79" customFormat="1" ht="15" customHeight="1" x14ac:dyDescent="0.25"/>
    <row r="949" s="79" customFormat="1" ht="15" customHeight="1" x14ac:dyDescent="0.25"/>
    <row r="950" s="79" customFormat="1" ht="15" customHeight="1" x14ac:dyDescent="0.25"/>
    <row r="951" s="79" customFormat="1" ht="15" customHeight="1" x14ac:dyDescent="0.25"/>
    <row r="952" s="79" customFormat="1" ht="15" customHeight="1" x14ac:dyDescent="0.25"/>
    <row r="953" s="79" customFormat="1" ht="15" customHeight="1" x14ac:dyDescent="0.25"/>
    <row r="954" s="79" customFormat="1" ht="15" customHeight="1" x14ac:dyDescent="0.25"/>
    <row r="955" s="79" customFormat="1" ht="15" customHeight="1" x14ac:dyDescent="0.25"/>
    <row r="956" s="79" customFormat="1" ht="15" customHeight="1" x14ac:dyDescent="0.25"/>
    <row r="957" s="79" customFormat="1" ht="15" customHeight="1" x14ac:dyDescent="0.25"/>
    <row r="958" s="79" customFormat="1" ht="15" customHeight="1" x14ac:dyDescent="0.25"/>
    <row r="959" s="79" customFormat="1" ht="15" customHeight="1" x14ac:dyDescent="0.25"/>
    <row r="960" s="79" customFormat="1" ht="15" customHeight="1" x14ac:dyDescent="0.25"/>
    <row r="961" s="79" customFormat="1" ht="15" customHeight="1" x14ac:dyDescent="0.25"/>
    <row r="962" s="79" customFormat="1" ht="15" customHeight="1" x14ac:dyDescent="0.25"/>
    <row r="963" s="79" customFormat="1" ht="15" customHeight="1" x14ac:dyDescent="0.25"/>
    <row r="964" s="79" customFormat="1" ht="15" customHeight="1" x14ac:dyDescent="0.25"/>
    <row r="965" s="79" customFormat="1" ht="15" customHeight="1" x14ac:dyDescent="0.25"/>
    <row r="966" s="79" customFormat="1" ht="15" customHeight="1" x14ac:dyDescent="0.25"/>
    <row r="967" s="79" customFormat="1" ht="15" customHeight="1" x14ac:dyDescent="0.25"/>
    <row r="968" s="79" customFormat="1" ht="15" customHeight="1" x14ac:dyDescent="0.25"/>
    <row r="969" s="79" customFormat="1" ht="15" customHeight="1" x14ac:dyDescent="0.25"/>
    <row r="970" s="79" customFormat="1" ht="15" customHeight="1" x14ac:dyDescent="0.25"/>
    <row r="971" s="79" customFormat="1" ht="15" customHeight="1" x14ac:dyDescent="0.25"/>
    <row r="972" s="79" customFormat="1" ht="15" customHeight="1" x14ac:dyDescent="0.25"/>
    <row r="973" s="79" customFormat="1" ht="15" customHeight="1" x14ac:dyDescent="0.25"/>
    <row r="974" s="79" customFormat="1" ht="15" customHeight="1" x14ac:dyDescent="0.25"/>
    <row r="975" s="79" customFormat="1" ht="15" customHeight="1" x14ac:dyDescent="0.25"/>
    <row r="976" s="79" customFormat="1" ht="15" customHeight="1" x14ac:dyDescent="0.25"/>
    <row r="977" s="79" customFormat="1" ht="15" customHeight="1" x14ac:dyDescent="0.25"/>
    <row r="978" s="79" customFormat="1" ht="15" customHeight="1" x14ac:dyDescent="0.25"/>
    <row r="979" s="79" customFormat="1" ht="15" customHeight="1" x14ac:dyDescent="0.25"/>
    <row r="980" s="79" customFormat="1" ht="15" customHeight="1" x14ac:dyDescent="0.25"/>
    <row r="981" s="79" customFormat="1" ht="15" customHeight="1" x14ac:dyDescent="0.25"/>
    <row r="982" s="79" customFormat="1" ht="15" customHeight="1" x14ac:dyDescent="0.25"/>
    <row r="983" s="79" customFormat="1" ht="15" customHeight="1" x14ac:dyDescent="0.25"/>
    <row r="984" s="79" customFormat="1" ht="15" customHeight="1" x14ac:dyDescent="0.25"/>
    <row r="985" s="79" customFormat="1" ht="15" customHeight="1" x14ac:dyDescent="0.25"/>
    <row r="986" s="79" customFormat="1" ht="15" customHeight="1" x14ac:dyDescent="0.25"/>
    <row r="987" s="79" customFormat="1" ht="15" customHeight="1" x14ac:dyDescent="0.25"/>
    <row r="988" s="79" customFormat="1" ht="15" customHeight="1" x14ac:dyDescent="0.25"/>
    <row r="989" s="79" customFormat="1" ht="15" customHeight="1" x14ac:dyDescent="0.25"/>
    <row r="990" s="79" customFormat="1" ht="15" customHeight="1" x14ac:dyDescent="0.25"/>
    <row r="991" s="79" customFormat="1" ht="15" customHeight="1" x14ac:dyDescent="0.25"/>
    <row r="992" s="79" customFormat="1" ht="15" customHeight="1" x14ac:dyDescent="0.25"/>
    <row r="993" s="79" customFormat="1" ht="15" customHeight="1" x14ac:dyDescent="0.25"/>
    <row r="994" s="79" customFormat="1" ht="15" customHeight="1" x14ac:dyDescent="0.25"/>
    <row r="995" s="79" customFormat="1" ht="15" customHeight="1" x14ac:dyDescent="0.25"/>
    <row r="996" s="79" customFormat="1" ht="15" customHeight="1" x14ac:dyDescent="0.25"/>
    <row r="997" s="79" customFormat="1" ht="15" customHeight="1" x14ac:dyDescent="0.25"/>
    <row r="998" s="79" customFormat="1" ht="15" customHeight="1" x14ac:dyDescent="0.25"/>
    <row r="999" s="79" customFormat="1" ht="15" customHeight="1" x14ac:dyDescent="0.25"/>
    <row r="1000" s="79" customFormat="1" ht="15" customHeight="1" x14ac:dyDescent="0.25"/>
    <row r="1001" s="79" customFormat="1" ht="15" customHeight="1" x14ac:dyDescent="0.25"/>
    <row r="1002" s="79" customFormat="1" ht="15" customHeight="1" x14ac:dyDescent="0.25"/>
    <row r="1003" s="79" customFormat="1" ht="15" customHeight="1" x14ac:dyDescent="0.25"/>
    <row r="1004" s="79" customFormat="1" ht="15" customHeight="1" x14ac:dyDescent="0.25"/>
    <row r="1005" s="79" customFormat="1" ht="15" customHeight="1" x14ac:dyDescent="0.25"/>
    <row r="1006" s="79" customFormat="1" ht="15" customHeight="1" x14ac:dyDescent="0.25"/>
    <row r="1007" s="79" customFormat="1" ht="15" customHeight="1" x14ac:dyDescent="0.25"/>
    <row r="1008" s="79" customFormat="1" ht="15" customHeight="1" x14ac:dyDescent="0.25"/>
    <row r="1009" s="79" customFormat="1" ht="15" customHeight="1" x14ac:dyDescent="0.25"/>
    <row r="1010" s="79" customFormat="1" ht="15" customHeight="1" x14ac:dyDescent="0.25"/>
    <row r="1011" s="79" customFormat="1" ht="15" customHeight="1" x14ac:dyDescent="0.25"/>
    <row r="1012" s="79" customFormat="1" ht="15" customHeight="1" x14ac:dyDescent="0.25"/>
    <row r="1013" s="79" customFormat="1" ht="15" customHeight="1" x14ac:dyDescent="0.25"/>
    <row r="1014" s="79" customFormat="1" ht="15" customHeight="1" x14ac:dyDescent="0.25"/>
    <row r="1015" s="79" customFormat="1" ht="15" customHeight="1" x14ac:dyDescent="0.25"/>
    <row r="1016" s="79" customFormat="1" ht="15" customHeight="1" x14ac:dyDescent="0.25"/>
    <row r="1017" s="79" customFormat="1" ht="15" customHeight="1" x14ac:dyDescent="0.25"/>
    <row r="1018" s="79" customFormat="1" ht="15" customHeight="1" x14ac:dyDescent="0.25"/>
    <row r="1019" s="79" customFormat="1" ht="15" customHeight="1" x14ac:dyDescent="0.25"/>
    <row r="1020" s="79" customFormat="1" ht="15" customHeight="1" x14ac:dyDescent="0.25"/>
    <row r="1021" s="79" customFormat="1" ht="15" customHeight="1" x14ac:dyDescent="0.25"/>
    <row r="1022" s="79" customFormat="1" ht="15" customHeight="1" x14ac:dyDescent="0.25"/>
    <row r="1023" s="79" customFormat="1" ht="15" customHeight="1" x14ac:dyDescent="0.25"/>
    <row r="1024" s="79" customFormat="1" ht="15" customHeight="1" x14ac:dyDescent="0.25"/>
    <row r="1025" s="79" customFormat="1" ht="15" customHeight="1" x14ac:dyDescent="0.25"/>
    <row r="1026" s="79" customFormat="1" ht="15" customHeight="1" x14ac:dyDescent="0.25"/>
    <row r="1027" s="79" customFormat="1" ht="15" customHeight="1" x14ac:dyDescent="0.25"/>
    <row r="1028" s="79" customFormat="1" ht="15" customHeight="1" x14ac:dyDescent="0.25"/>
    <row r="1029" s="79" customFormat="1" ht="15" customHeight="1" x14ac:dyDescent="0.25"/>
    <row r="1030" s="79" customFormat="1" ht="15" customHeight="1" x14ac:dyDescent="0.25"/>
    <row r="1031" s="79" customFormat="1" ht="15" customHeight="1" x14ac:dyDescent="0.25"/>
    <row r="1032" s="79" customFormat="1" ht="15" customHeight="1" x14ac:dyDescent="0.25"/>
    <row r="1033" s="79" customFormat="1" ht="15" customHeight="1" x14ac:dyDescent="0.25"/>
    <row r="1034" s="79" customFormat="1" ht="15" customHeight="1" x14ac:dyDescent="0.25"/>
    <row r="1035" s="79" customFormat="1" ht="15" customHeight="1" x14ac:dyDescent="0.25"/>
    <row r="1036" s="79" customFormat="1" ht="15" customHeight="1" x14ac:dyDescent="0.25"/>
    <row r="1037" s="79" customFormat="1" ht="15" customHeight="1" x14ac:dyDescent="0.25"/>
    <row r="1038" s="79" customFormat="1" ht="15" customHeight="1" x14ac:dyDescent="0.25"/>
    <row r="1039" s="79" customFormat="1" ht="15" customHeight="1" x14ac:dyDescent="0.25"/>
    <row r="1040" s="79" customFormat="1" ht="15" customHeight="1" x14ac:dyDescent="0.25"/>
    <row r="1041" s="79" customFormat="1" ht="15" customHeight="1" x14ac:dyDescent="0.25"/>
    <row r="1042" s="79" customFormat="1" ht="15" customHeight="1" x14ac:dyDescent="0.25"/>
    <row r="1043" s="79" customFormat="1" ht="15" customHeight="1" x14ac:dyDescent="0.25"/>
    <row r="1044" s="79" customFormat="1" ht="15" customHeight="1" x14ac:dyDescent="0.25"/>
    <row r="1045" s="79" customFormat="1" ht="15" customHeight="1" x14ac:dyDescent="0.25"/>
    <row r="1046" s="79" customFormat="1" ht="15" customHeight="1" x14ac:dyDescent="0.25"/>
    <row r="1047" s="79" customFormat="1" ht="15" customHeight="1" x14ac:dyDescent="0.25"/>
    <row r="1048" s="79" customFormat="1" ht="15" customHeight="1" x14ac:dyDescent="0.25"/>
    <row r="1049" s="79" customFormat="1" ht="15" customHeight="1" x14ac:dyDescent="0.25"/>
    <row r="1050" s="79" customFormat="1" ht="15" customHeight="1" x14ac:dyDescent="0.25"/>
    <row r="1051" s="79" customFormat="1" ht="15" customHeight="1" x14ac:dyDescent="0.25"/>
    <row r="1052" s="79" customFormat="1" ht="15" customHeight="1" x14ac:dyDescent="0.25"/>
    <row r="1053" s="79" customFormat="1" ht="15" customHeight="1" x14ac:dyDescent="0.25"/>
    <row r="1054" s="79" customFormat="1" ht="15" customHeight="1" x14ac:dyDescent="0.25"/>
    <row r="1055" s="79" customFormat="1" ht="15" customHeight="1" x14ac:dyDescent="0.25"/>
    <row r="1056" s="79" customFormat="1" ht="15" customHeight="1" x14ac:dyDescent="0.25"/>
    <row r="1057" s="79" customFormat="1" ht="15" customHeight="1" x14ac:dyDescent="0.25"/>
    <row r="1058" s="79" customFormat="1" ht="15" customHeight="1" x14ac:dyDescent="0.25"/>
    <row r="1059" s="79" customFormat="1" ht="15" customHeight="1" x14ac:dyDescent="0.25"/>
    <row r="1060" s="79" customFormat="1" ht="15" customHeight="1" x14ac:dyDescent="0.25"/>
    <row r="1061" s="79" customFormat="1" ht="15" customHeight="1" x14ac:dyDescent="0.25"/>
    <row r="1062" s="79" customFormat="1" ht="15" customHeight="1" x14ac:dyDescent="0.25"/>
    <row r="1063" s="79" customFormat="1" ht="15" customHeight="1" x14ac:dyDescent="0.25"/>
    <row r="1064" s="79" customFormat="1" ht="15" customHeight="1" x14ac:dyDescent="0.25"/>
    <row r="1065" s="79" customFormat="1" ht="15" customHeight="1" x14ac:dyDescent="0.25"/>
    <row r="1066" s="79" customFormat="1" ht="15" customHeight="1" x14ac:dyDescent="0.25"/>
    <row r="1067" s="79" customFormat="1" ht="15" customHeight="1" x14ac:dyDescent="0.25"/>
    <row r="1068" s="79" customFormat="1" ht="15" customHeight="1" x14ac:dyDescent="0.25"/>
    <row r="1069" s="79" customFormat="1" ht="15" customHeight="1" x14ac:dyDescent="0.25"/>
    <row r="1070" s="79" customFormat="1" ht="15" customHeight="1" x14ac:dyDescent="0.25"/>
    <row r="1071" s="79" customFormat="1" ht="15" customHeight="1" x14ac:dyDescent="0.25"/>
    <row r="1072" s="79" customFormat="1" ht="15" customHeight="1" x14ac:dyDescent="0.25"/>
    <row r="1073" s="79" customFormat="1" ht="15" customHeight="1" x14ac:dyDescent="0.25"/>
    <row r="1074" s="79" customFormat="1" ht="15" customHeight="1" x14ac:dyDescent="0.25"/>
    <row r="1075" s="79" customFormat="1" ht="15" customHeight="1" x14ac:dyDescent="0.25"/>
    <row r="1076" s="79" customFormat="1" ht="15" customHeight="1" x14ac:dyDescent="0.25"/>
    <row r="1077" s="79" customFormat="1" ht="15" customHeight="1" x14ac:dyDescent="0.25"/>
    <row r="1078" s="79" customFormat="1" ht="15" customHeight="1" x14ac:dyDescent="0.25"/>
    <row r="1079" s="79" customFormat="1" ht="15" customHeight="1" x14ac:dyDescent="0.25"/>
    <row r="1080" s="79" customFormat="1" ht="15" customHeight="1" x14ac:dyDescent="0.25"/>
    <row r="1081" s="79" customFormat="1" ht="15" customHeight="1" x14ac:dyDescent="0.25"/>
    <row r="1082" s="79" customFormat="1" ht="15" customHeight="1" x14ac:dyDescent="0.25"/>
    <row r="1083" s="79" customFormat="1" ht="15" customHeight="1" x14ac:dyDescent="0.25"/>
    <row r="1084" s="79" customFormat="1" ht="15" customHeight="1" x14ac:dyDescent="0.25"/>
    <row r="1085" s="79" customFormat="1" ht="15" customHeight="1" x14ac:dyDescent="0.25"/>
    <row r="1086" s="79" customFormat="1" ht="15" customHeight="1" x14ac:dyDescent="0.25"/>
    <row r="1087" s="79" customFormat="1" ht="15" customHeight="1" x14ac:dyDescent="0.25"/>
    <row r="1088" s="79" customFormat="1" ht="15" customHeight="1" x14ac:dyDescent="0.25"/>
    <row r="1089" s="79" customFormat="1" ht="15" customHeight="1" x14ac:dyDescent="0.25"/>
    <row r="1090" s="79" customFormat="1" ht="15" customHeight="1" x14ac:dyDescent="0.25"/>
    <row r="1091" s="79" customFormat="1" ht="15" customHeight="1" x14ac:dyDescent="0.25"/>
    <row r="1092" s="79" customFormat="1" ht="15" customHeight="1" x14ac:dyDescent="0.25"/>
    <row r="1093" s="79" customFormat="1" ht="15" customHeight="1" x14ac:dyDescent="0.25"/>
    <row r="1094" s="79" customFormat="1" ht="15" customHeight="1" x14ac:dyDescent="0.25"/>
    <row r="1095" s="79" customFormat="1" ht="15" customHeight="1" x14ac:dyDescent="0.25"/>
    <row r="1096" s="79" customFormat="1" ht="15" customHeight="1" x14ac:dyDescent="0.25"/>
    <row r="1097" s="79" customFormat="1" ht="15" customHeight="1" x14ac:dyDescent="0.25"/>
    <row r="1098" s="79" customFormat="1" ht="15" customHeight="1" x14ac:dyDescent="0.25"/>
    <row r="1099" s="79" customFormat="1" ht="15" customHeight="1" x14ac:dyDescent="0.25"/>
    <row r="1100" s="79" customFormat="1" ht="15" customHeight="1" x14ac:dyDescent="0.25"/>
    <row r="1101" s="79" customFormat="1" ht="15" customHeight="1" x14ac:dyDescent="0.25"/>
    <row r="1102" s="79" customFormat="1" ht="15" customHeight="1" x14ac:dyDescent="0.25"/>
    <row r="1103" s="79" customFormat="1" ht="15" customHeight="1" x14ac:dyDescent="0.25"/>
    <row r="1104" s="79" customFormat="1" ht="15" customHeight="1" x14ac:dyDescent="0.25"/>
    <row r="1105" s="79" customFormat="1" ht="15" customHeight="1" x14ac:dyDescent="0.25"/>
    <row r="1106" s="79" customFormat="1" ht="15" customHeight="1" x14ac:dyDescent="0.25"/>
    <row r="1107" s="79" customFormat="1" ht="15" customHeight="1" x14ac:dyDescent="0.25"/>
    <row r="1108" s="79" customFormat="1" ht="15" customHeight="1" x14ac:dyDescent="0.25"/>
    <row r="1109" s="79" customFormat="1" ht="15" customHeight="1" x14ac:dyDescent="0.25"/>
    <row r="1110" s="79" customFormat="1" ht="15" customHeight="1" x14ac:dyDescent="0.25"/>
    <row r="1111" s="79" customFormat="1" ht="15" customHeight="1" x14ac:dyDescent="0.25"/>
    <row r="1112" s="79" customFormat="1" ht="15" customHeight="1" x14ac:dyDescent="0.25"/>
    <row r="1113" s="79" customFormat="1" ht="15" customHeight="1" x14ac:dyDescent="0.25"/>
    <row r="1114" s="79" customFormat="1" ht="15" customHeight="1" x14ac:dyDescent="0.25"/>
    <row r="1115" s="79" customFormat="1" ht="15" customHeight="1" x14ac:dyDescent="0.25"/>
    <row r="1116" s="79" customFormat="1" ht="15" customHeight="1" x14ac:dyDescent="0.25"/>
    <row r="1117" s="79" customFormat="1" ht="15" customHeight="1" x14ac:dyDescent="0.25"/>
    <row r="1118" s="79" customFormat="1" ht="15" customHeight="1" x14ac:dyDescent="0.25"/>
    <row r="1119" s="79" customFormat="1" ht="15" customHeight="1" x14ac:dyDescent="0.25"/>
    <row r="1120" s="79" customFormat="1" ht="15" customHeight="1" x14ac:dyDescent="0.25"/>
    <row r="1121" s="79" customFormat="1" ht="15" customHeight="1" x14ac:dyDescent="0.25"/>
    <row r="1122" s="79" customFormat="1" ht="15" customHeight="1" x14ac:dyDescent="0.25"/>
    <row r="1123" s="79" customFormat="1" ht="15" customHeight="1" x14ac:dyDescent="0.25"/>
    <row r="1124" s="79" customFormat="1" ht="15" customHeight="1" x14ac:dyDescent="0.25"/>
    <row r="1125" s="79" customFormat="1" ht="15" customHeight="1" x14ac:dyDescent="0.25"/>
    <row r="1126" s="79" customFormat="1" ht="15" customHeight="1" x14ac:dyDescent="0.25"/>
    <row r="1127" s="79" customFormat="1" ht="15" customHeight="1" x14ac:dyDescent="0.25"/>
    <row r="1128" s="79" customFormat="1" ht="15" customHeight="1" x14ac:dyDescent="0.25"/>
    <row r="1129" s="79" customFormat="1" ht="15" customHeight="1" x14ac:dyDescent="0.25"/>
    <row r="1130" s="79" customFormat="1" ht="15" customHeight="1" x14ac:dyDescent="0.25"/>
    <row r="1131" s="79" customFormat="1" ht="15" customHeight="1" x14ac:dyDescent="0.25"/>
    <row r="1132" s="79" customFormat="1" ht="15" customHeight="1" x14ac:dyDescent="0.25"/>
    <row r="1133" s="79" customFormat="1" ht="15" customHeight="1" x14ac:dyDescent="0.25"/>
    <row r="1134" s="79" customFormat="1" ht="15" customHeight="1" x14ac:dyDescent="0.25"/>
    <row r="1135" s="79" customFormat="1" ht="15" customHeight="1" x14ac:dyDescent="0.25"/>
    <row r="1136" s="79" customFormat="1" ht="15" customHeight="1" x14ac:dyDescent="0.25"/>
    <row r="1137" s="79" customFormat="1" ht="15" customHeight="1" x14ac:dyDescent="0.25"/>
    <row r="1138" s="79" customFormat="1" ht="15" customHeight="1" x14ac:dyDescent="0.25"/>
    <row r="1139" s="79" customFormat="1" ht="15" customHeight="1" x14ac:dyDescent="0.25"/>
    <row r="1140" s="79" customFormat="1" ht="15" customHeight="1" x14ac:dyDescent="0.25"/>
    <row r="1141" s="79" customFormat="1" ht="15" customHeight="1" x14ac:dyDescent="0.25"/>
    <row r="1142" s="79" customFormat="1" ht="15" customHeight="1" x14ac:dyDescent="0.25"/>
    <row r="1143" s="79" customFormat="1" ht="15" customHeight="1" x14ac:dyDescent="0.25"/>
    <row r="1144" s="79" customFormat="1" ht="15" customHeight="1" x14ac:dyDescent="0.25"/>
    <row r="1145" s="79" customFormat="1" ht="15" customHeight="1" x14ac:dyDescent="0.25"/>
    <row r="1146" s="79" customFormat="1" ht="15" customHeight="1" x14ac:dyDescent="0.25"/>
    <row r="1147" s="79" customFormat="1" ht="15" customHeight="1" x14ac:dyDescent="0.25"/>
    <row r="1148" s="79" customFormat="1" ht="15" customHeight="1" x14ac:dyDescent="0.25"/>
    <row r="1149" s="79" customFormat="1" ht="15" customHeight="1" x14ac:dyDescent="0.25"/>
    <row r="1150" s="79" customFormat="1" ht="15" customHeight="1" x14ac:dyDescent="0.25"/>
    <row r="1151" s="79" customFormat="1" ht="15" customHeight="1" x14ac:dyDescent="0.25"/>
    <row r="1152" s="79" customFormat="1" ht="15" customHeight="1" x14ac:dyDescent="0.25"/>
    <row r="1153" s="79" customFormat="1" ht="15" customHeight="1" x14ac:dyDescent="0.25"/>
    <row r="1154" s="79" customFormat="1" ht="15" customHeight="1" x14ac:dyDescent="0.25"/>
    <row r="1155" s="79" customFormat="1" ht="15" customHeight="1" x14ac:dyDescent="0.25"/>
    <row r="1156" s="79" customFormat="1" ht="15" customHeight="1" x14ac:dyDescent="0.25"/>
    <row r="1157" s="79" customFormat="1" ht="15" customHeight="1" x14ac:dyDescent="0.25"/>
    <row r="1158" s="79" customFormat="1" ht="15" customHeight="1" x14ac:dyDescent="0.25"/>
    <row r="1159" s="79" customFormat="1" ht="15" customHeight="1" x14ac:dyDescent="0.25"/>
    <row r="1160" s="79" customFormat="1" ht="15" customHeight="1" x14ac:dyDescent="0.25"/>
    <row r="1161" s="79" customFormat="1" ht="15" customHeight="1" x14ac:dyDescent="0.25"/>
    <row r="1162" s="79" customFormat="1" ht="15" customHeight="1" x14ac:dyDescent="0.25"/>
    <row r="1163" s="79" customFormat="1" ht="15" customHeight="1" x14ac:dyDescent="0.25"/>
    <row r="1164" s="79" customFormat="1" ht="15" customHeight="1" x14ac:dyDescent="0.25"/>
    <row r="1165" s="79" customFormat="1" ht="15" customHeight="1" x14ac:dyDescent="0.25"/>
    <row r="1166" s="79" customFormat="1" ht="15" customHeight="1" x14ac:dyDescent="0.25"/>
    <row r="1167" s="79" customFormat="1" ht="15" customHeight="1" x14ac:dyDescent="0.25"/>
    <row r="1168" s="79" customFormat="1" ht="15" customHeight="1" x14ac:dyDescent="0.25"/>
    <row r="1169" s="79" customFormat="1" ht="15" customHeight="1" x14ac:dyDescent="0.25"/>
    <row r="1170" s="79" customFormat="1" ht="15" customHeight="1" x14ac:dyDescent="0.25"/>
    <row r="1171" s="79" customFormat="1" ht="15" customHeight="1" x14ac:dyDescent="0.25"/>
    <row r="1172" s="79" customFormat="1" ht="15" customHeight="1" x14ac:dyDescent="0.25"/>
    <row r="1173" s="79" customFormat="1" ht="15" customHeight="1" x14ac:dyDescent="0.25"/>
    <row r="1174" s="79" customFormat="1" ht="15" customHeight="1" x14ac:dyDescent="0.25"/>
    <row r="1175" s="79" customFormat="1" ht="15" customHeight="1" x14ac:dyDescent="0.25"/>
    <row r="1176" s="79" customFormat="1" ht="15" customHeight="1" x14ac:dyDescent="0.25"/>
    <row r="1177" s="79" customFormat="1" ht="15" customHeight="1" x14ac:dyDescent="0.25"/>
    <row r="1178" s="79" customFormat="1" ht="15" customHeight="1" x14ac:dyDescent="0.25"/>
    <row r="1179" s="79" customFormat="1" ht="15" customHeight="1" x14ac:dyDescent="0.25"/>
    <row r="1180" s="79" customFormat="1" ht="15" customHeight="1" x14ac:dyDescent="0.25"/>
    <row r="1181" s="79" customFormat="1" ht="15" customHeight="1" x14ac:dyDescent="0.25"/>
    <row r="1182" s="79" customFormat="1" ht="15" customHeight="1" x14ac:dyDescent="0.25"/>
    <row r="1183" s="79" customFormat="1" ht="15" customHeight="1" x14ac:dyDescent="0.25"/>
    <row r="1184" s="79" customFormat="1" ht="15" customHeight="1" x14ac:dyDescent="0.25"/>
    <row r="1185" s="79" customFormat="1" ht="15" customHeight="1" x14ac:dyDescent="0.25"/>
    <row r="1186" s="79" customFormat="1" ht="15" customHeight="1" x14ac:dyDescent="0.25"/>
    <row r="1187" s="79" customFormat="1" ht="15" customHeight="1" x14ac:dyDescent="0.25"/>
    <row r="1188" s="79" customFormat="1" ht="15" customHeight="1" x14ac:dyDescent="0.25"/>
    <row r="1189" s="79" customFormat="1" ht="15" customHeight="1" x14ac:dyDescent="0.25"/>
    <row r="1190" s="79" customFormat="1" ht="15" customHeight="1" x14ac:dyDescent="0.25"/>
    <row r="1191" s="79" customFormat="1" ht="15" customHeight="1" x14ac:dyDescent="0.25"/>
    <row r="1192" s="79" customFormat="1" ht="15" customHeight="1" x14ac:dyDescent="0.25"/>
    <row r="1193" s="79" customFormat="1" ht="15" customHeight="1" x14ac:dyDescent="0.25"/>
    <row r="1194" s="79" customFormat="1" ht="15" customHeight="1" x14ac:dyDescent="0.25"/>
    <row r="1195" s="79" customFormat="1" ht="15" customHeight="1" x14ac:dyDescent="0.25"/>
    <row r="1196" s="79" customFormat="1" ht="15" customHeight="1" x14ac:dyDescent="0.25"/>
    <row r="1197" s="79" customFormat="1" ht="15" customHeight="1" x14ac:dyDescent="0.25"/>
    <row r="1198" s="79" customFormat="1" ht="15" customHeight="1" x14ac:dyDescent="0.25"/>
    <row r="1199" s="79" customFormat="1" ht="15" customHeight="1" x14ac:dyDescent="0.25"/>
    <row r="1200" s="79" customFormat="1" ht="15" customHeight="1" x14ac:dyDescent="0.25"/>
    <row r="1201" s="79" customFormat="1" ht="15" customHeight="1" x14ac:dyDescent="0.25"/>
    <row r="1202" s="79" customFormat="1" ht="15" customHeight="1" x14ac:dyDescent="0.25"/>
    <row r="1203" s="79" customFormat="1" ht="15" customHeight="1" x14ac:dyDescent="0.25"/>
    <row r="1204" s="79" customFormat="1" ht="15" customHeight="1" x14ac:dyDescent="0.25"/>
    <row r="1205" s="79" customFormat="1" ht="15" customHeight="1" x14ac:dyDescent="0.25"/>
    <row r="1206" s="79" customFormat="1" ht="15" customHeight="1" x14ac:dyDescent="0.25"/>
    <row r="1207" s="79" customFormat="1" ht="15" customHeight="1" x14ac:dyDescent="0.25"/>
    <row r="1208" s="79" customFormat="1" ht="15" customHeight="1" x14ac:dyDescent="0.25"/>
    <row r="1209" s="79" customFormat="1" ht="15" customHeight="1" x14ac:dyDescent="0.25"/>
    <row r="1210" s="79" customFormat="1" ht="15" customHeight="1" x14ac:dyDescent="0.25"/>
    <row r="1211" s="79" customFormat="1" ht="15" customHeight="1" x14ac:dyDescent="0.25"/>
    <row r="1212" s="79" customFormat="1" ht="15" customHeight="1" x14ac:dyDescent="0.25"/>
    <row r="1213" s="79" customFormat="1" ht="15" customHeight="1" x14ac:dyDescent="0.25"/>
    <row r="1214" s="79" customFormat="1" ht="15" customHeight="1" x14ac:dyDescent="0.25"/>
    <row r="1215" s="79" customFormat="1" ht="15" customHeight="1" x14ac:dyDescent="0.25"/>
    <row r="1216" s="79" customFormat="1" ht="15" customHeight="1" x14ac:dyDescent="0.25"/>
    <row r="1217" s="79" customFormat="1" ht="15" customHeight="1" x14ac:dyDescent="0.25"/>
    <row r="1218" s="79" customFormat="1" ht="15" customHeight="1" x14ac:dyDescent="0.25"/>
    <row r="1219" s="79" customFormat="1" ht="15" customHeight="1" x14ac:dyDescent="0.25"/>
    <row r="1220" s="79" customFormat="1" ht="15" customHeight="1" x14ac:dyDescent="0.25"/>
    <row r="1221" s="79" customFormat="1" ht="15" customHeight="1" x14ac:dyDescent="0.25"/>
    <row r="1222" s="79" customFormat="1" ht="15" customHeight="1" x14ac:dyDescent="0.25"/>
    <row r="1223" s="79" customFormat="1" ht="15" customHeight="1" x14ac:dyDescent="0.25"/>
    <row r="1224" s="79" customFormat="1" ht="15" customHeight="1" x14ac:dyDescent="0.25"/>
    <row r="1225" s="79" customFormat="1" ht="15" customHeight="1" x14ac:dyDescent="0.25"/>
    <row r="1226" s="79" customFormat="1" ht="15" customHeight="1" x14ac:dyDescent="0.25"/>
    <row r="1227" s="79" customFormat="1" ht="15" customHeight="1" x14ac:dyDescent="0.25"/>
    <row r="1228" s="79" customFormat="1" ht="15" customHeight="1" x14ac:dyDescent="0.25"/>
    <row r="1229" s="79" customFormat="1" ht="15" customHeight="1" x14ac:dyDescent="0.25"/>
    <row r="1230" s="79" customFormat="1" ht="15" customHeight="1" x14ac:dyDescent="0.25"/>
    <row r="1231" s="79" customFormat="1" ht="15" customHeight="1" x14ac:dyDescent="0.25"/>
    <row r="1232" s="79" customFormat="1" ht="15" customHeight="1" x14ac:dyDescent="0.25"/>
    <row r="1233" s="79" customFormat="1" ht="15" customHeight="1" x14ac:dyDescent="0.25"/>
    <row r="1234" s="79" customFormat="1" ht="15" customHeight="1" x14ac:dyDescent="0.25"/>
    <row r="1235" s="79" customFormat="1" ht="15" customHeight="1" x14ac:dyDescent="0.25"/>
    <row r="1236" s="79" customFormat="1" ht="15" customHeight="1" x14ac:dyDescent="0.25"/>
    <row r="1237" s="79" customFormat="1" ht="15" customHeight="1" x14ac:dyDescent="0.25"/>
    <row r="1238" s="79" customFormat="1" ht="15" customHeight="1" x14ac:dyDescent="0.25"/>
    <row r="1239" s="79" customFormat="1" ht="15" customHeight="1" x14ac:dyDescent="0.25"/>
    <row r="1240" s="79" customFormat="1" ht="15" customHeight="1" x14ac:dyDescent="0.25"/>
    <row r="1241" s="79" customFormat="1" ht="15" customHeight="1" x14ac:dyDescent="0.25"/>
    <row r="1242" s="79" customFormat="1" ht="15" customHeight="1" x14ac:dyDescent="0.25"/>
    <row r="1243" s="79" customFormat="1" ht="15" customHeight="1" x14ac:dyDescent="0.25"/>
    <row r="1244" s="79" customFormat="1" ht="15" customHeight="1" x14ac:dyDescent="0.25"/>
    <row r="1245" s="79" customFormat="1" ht="15" customHeight="1" x14ac:dyDescent="0.25"/>
    <row r="1246" s="79" customFormat="1" ht="15" customHeight="1" x14ac:dyDescent="0.25"/>
    <row r="1247" s="79" customFormat="1" ht="15" customHeight="1" x14ac:dyDescent="0.25"/>
    <row r="1248" s="79" customFormat="1" ht="15" customHeight="1" x14ac:dyDescent="0.25"/>
    <row r="1249" s="79" customFormat="1" ht="15" customHeight="1" x14ac:dyDescent="0.25"/>
    <row r="1250" s="79" customFormat="1" ht="15" customHeight="1" x14ac:dyDescent="0.25"/>
    <row r="1251" s="79" customFormat="1" ht="15" customHeight="1" x14ac:dyDescent="0.25"/>
    <row r="1252" s="79" customFormat="1" ht="15" customHeight="1" x14ac:dyDescent="0.25"/>
    <row r="1253" s="79" customFormat="1" ht="15" customHeight="1" x14ac:dyDescent="0.25"/>
    <row r="1254" s="79" customFormat="1" ht="15" customHeight="1" x14ac:dyDescent="0.25"/>
    <row r="1255" s="79" customFormat="1" ht="15" customHeight="1" x14ac:dyDescent="0.25"/>
    <row r="1256" s="79" customFormat="1" ht="15" customHeight="1" x14ac:dyDescent="0.25"/>
    <row r="1257" s="79" customFormat="1" ht="15" customHeight="1" x14ac:dyDescent="0.25"/>
    <row r="1258" s="79" customFormat="1" ht="15" customHeight="1" x14ac:dyDescent="0.25"/>
    <row r="1259" s="79" customFormat="1" ht="15" customHeight="1" x14ac:dyDescent="0.25"/>
    <row r="1260" s="79" customFormat="1" ht="15" customHeight="1" x14ac:dyDescent="0.25"/>
    <row r="1261" s="79" customFormat="1" ht="15" customHeight="1" x14ac:dyDescent="0.25"/>
    <row r="1262" s="79" customFormat="1" ht="15" customHeight="1" x14ac:dyDescent="0.25"/>
    <row r="1263" s="79" customFormat="1" ht="15" customHeight="1" x14ac:dyDescent="0.25"/>
    <row r="1264" s="79" customFormat="1" ht="15" customHeight="1" x14ac:dyDescent="0.25"/>
    <row r="1265" s="79" customFormat="1" ht="15" customHeight="1" x14ac:dyDescent="0.25"/>
    <row r="1266" s="79" customFormat="1" ht="15" customHeight="1" x14ac:dyDescent="0.25"/>
    <row r="1267" s="79" customFormat="1" ht="15" customHeight="1" x14ac:dyDescent="0.25"/>
    <row r="1268" s="79" customFormat="1" ht="15" customHeight="1" x14ac:dyDescent="0.25"/>
    <row r="1269" s="79" customFormat="1" ht="15" customHeight="1" x14ac:dyDescent="0.25"/>
    <row r="1270" s="79" customFormat="1" ht="15" customHeight="1" x14ac:dyDescent="0.25"/>
    <row r="1271" s="79" customFormat="1" ht="15" customHeight="1" x14ac:dyDescent="0.25"/>
    <row r="1272" s="79" customFormat="1" ht="15" customHeight="1" x14ac:dyDescent="0.25"/>
    <row r="1273" s="79" customFormat="1" ht="15" customHeight="1" x14ac:dyDescent="0.25"/>
    <row r="1274" s="79" customFormat="1" ht="15" customHeight="1" x14ac:dyDescent="0.25"/>
    <row r="1275" s="79" customFormat="1" ht="15" customHeight="1" x14ac:dyDescent="0.25"/>
    <row r="1276" s="79" customFormat="1" ht="15" customHeight="1" x14ac:dyDescent="0.25"/>
    <row r="1277" s="79" customFormat="1" ht="15" customHeight="1" x14ac:dyDescent="0.25"/>
    <row r="1278" s="79" customFormat="1" ht="15" customHeight="1" x14ac:dyDescent="0.25"/>
    <row r="1279" s="79" customFormat="1" ht="15" customHeight="1" x14ac:dyDescent="0.25"/>
    <row r="1280" s="79" customFormat="1" ht="15" customHeight="1" x14ac:dyDescent="0.25"/>
    <row r="1281" s="79" customFormat="1" ht="15" customHeight="1" x14ac:dyDescent="0.25"/>
    <row r="1282" s="79" customFormat="1" ht="15" customHeight="1" x14ac:dyDescent="0.25"/>
    <row r="1283" s="79" customFormat="1" ht="15" customHeight="1" x14ac:dyDescent="0.25"/>
    <row r="1284" s="79" customFormat="1" ht="15" customHeight="1" x14ac:dyDescent="0.25"/>
    <row r="1285" s="79" customFormat="1" ht="15" customHeight="1" x14ac:dyDescent="0.25"/>
    <row r="1286" s="79" customFormat="1" ht="15" customHeight="1" x14ac:dyDescent="0.25"/>
    <row r="1287" s="79" customFormat="1" ht="15" customHeight="1" x14ac:dyDescent="0.25"/>
    <row r="1288" s="79" customFormat="1" ht="15" customHeight="1" x14ac:dyDescent="0.25"/>
    <row r="1289" s="79" customFormat="1" ht="15" customHeight="1" x14ac:dyDescent="0.25"/>
    <row r="1290" s="79" customFormat="1" ht="15" customHeight="1" x14ac:dyDescent="0.25"/>
    <row r="1291" s="79" customFormat="1" ht="15" customHeight="1" x14ac:dyDescent="0.25"/>
    <row r="1292" s="79" customFormat="1" ht="15" customHeight="1" x14ac:dyDescent="0.25"/>
    <row r="1293" s="79" customFormat="1" ht="15" customHeight="1" x14ac:dyDescent="0.25"/>
    <row r="1294" s="79" customFormat="1" ht="15" customHeight="1" x14ac:dyDescent="0.25"/>
    <row r="1295" s="79" customFormat="1" ht="15" customHeight="1" x14ac:dyDescent="0.25"/>
    <row r="1296" s="79" customFormat="1" ht="15" customHeight="1" x14ac:dyDescent="0.25"/>
    <row r="1297" s="79" customFormat="1" ht="15" customHeight="1" x14ac:dyDescent="0.25"/>
    <row r="1298" s="79" customFormat="1" ht="15" customHeight="1" x14ac:dyDescent="0.25"/>
    <row r="1299" s="79" customFormat="1" ht="15" customHeight="1" x14ac:dyDescent="0.25"/>
    <row r="1300" s="79" customFormat="1" ht="15" customHeight="1" x14ac:dyDescent="0.25"/>
    <row r="1301" s="79" customFormat="1" ht="15" customHeight="1" x14ac:dyDescent="0.25"/>
    <row r="1302" s="79" customFormat="1" ht="15" customHeight="1" x14ac:dyDescent="0.25"/>
    <row r="1303" s="79" customFormat="1" ht="15" customHeight="1" x14ac:dyDescent="0.25"/>
    <row r="1304" s="79" customFormat="1" ht="15" customHeight="1" x14ac:dyDescent="0.25"/>
    <row r="1305" s="79" customFormat="1" ht="15" customHeight="1" x14ac:dyDescent="0.25"/>
    <row r="1306" s="79" customFormat="1" ht="15" customHeight="1" x14ac:dyDescent="0.25"/>
    <row r="1307" s="79" customFormat="1" ht="15" customHeight="1" x14ac:dyDescent="0.25"/>
    <row r="1308" s="79" customFormat="1" ht="15" customHeight="1" x14ac:dyDescent="0.25"/>
    <row r="1309" s="79" customFormat="1" ht="15" customHeight="1" x14ac:dyDescent="0.25"/>
    <row r="1310" s="79" customFormat="1" ht="15" customHeight="1" x14ac:dyDescent="0.25"/>
    <row r="1311" s="79" customFormat="1" ht="15" customHeight="1" x14ac:dyDescent="0.25"/>
    <row r="1312" s="79" customFormat="1" ht="15" customHeight="1" x14ac:dyDescent="0.25"/>
    <row r="1313" s="79" customFormat="1" ht="15" customHeight="1" x14ac:dyDescent="0.25"/>
    <row r="1314" s="79" customFormat="1" ht="15" customHeight="1" x14ac:dyDescent="0.25"/>
    <row r="1315" s="79" customFormat="1" ht="15" customHeight="1" x14ac:dyDescent="0.25"/>
    <row r="1316" s="79" customFormat="1" ht="15" customHeight="1" x14ac:dyDescent="0.25"/>
    <row r="1317" s="79" customFormat="1" ht="15" customHeight="1" x14ac:dyDescent="0.25"/>
    <row r="1318" s="79" customFormat="1" ht="15" customHeight="1" x14ac:dyDescent="0.25"/>
    <row r="1319" s="79" customFormat="1" ht="15" customHeight="1" x14ac:dyDescent="0.25"/>
    <row r="1320" s="79" customFormat="1" ht="15" customHeight="1" x14ac:dyDescent="0.25"/>
    <row r="1321" s="79" customFormat="1" ht="15" customHeight="1" x14ac:dyDescent="0.25"/>
    <row r="1322" s="79" customFormat="1" ht="15" customHeight="1" x14ac:dyDescent="0.25"/>
    <row r="1323" s="79" customFormat="1" ht="15" customHeight="1" x14ac:dyDescent="0.25"/>
    <row r="1324" s="79" customFormat="1" ht="15" customHeight="1" x14ac:dyDescent="0.25"/>
    <row r="1325" s="79" customFormat="1" ht="15" customHeight="1" x14ac:dyDescent="0.25"/>
    <row r="1326" s="79" customFormat="1" ht="15" customHeight="1" x14ac:dyDescent="0.25"/>
    <row r="1327" s="79" customFormat="1" ht="15" customHeight="1" x14ac:dyDescent="0.25"/>
    <row r="1328" s="79" customFormat="1" ht="15" customHeight="1" x14ac:dyDescent="0.25"/>
    <row r="1329" s="79" customFormat="1" ht="15" customHeight="1" x14ac:dyDescent="0.25"/>
    <row r="1330" s="79" customFormat="1" ht="15" customHeight="1" x14ac:dyDescent="0.25"/>
    <row r="1331" s="79" customFormat="1" ht="15" customHeight="1" x14ac:dyDescent="0.25"/>
    <row r="1332" s="79" customFormat="1" ht="15" customHeight="1" x14ac:dyDescent="0.25"/>
    <row r="1333" s="79" customFormat="1" ht="15" customHeight="1" x14ac:dyDescent="0.25"/>
    <row r="1334" s="79" customFormat="1" ht="15" customHeight="1" x14ac:dyDescent="0.25"/>
    <row r="1335" s="79" customFormat="1" ht="15" customHeight="1" x14ac:dyDescent="0.25"/>
    <row r="1336" s="79" customFormat="1" ht="15" customHeight="1" x14ac:dyDescent="0.25"/>
    <row r="1337" s="79" customFormat="1" ht="15" customHeight="1" x14ac:dyDescent="0.25"/>
    <row r="1338" s="79" customFormat="1" ht="15" customHeight="1" x14ac:dyDescent="0.25"/>
    <row r="1339" s="79" customFormat="1" ht="15" customHeight="1" x14ac:dyDescent="0.25"/>
    <row r="1340" s="79" customFormat="1" ht="15" customHeight="1" x14ac:dyDescent="0.25"/>
    <row r="1341" s="79" customFormat="1" ht="15" customHeight="1" x14ac:dyDescent="0.25"/>
    <row r="1342" s="79" customFormat="1" ht="15" customHeight="1" x14ac:dyDescent="0.25"/>
    <row r="1343" s="79" customFormat="1" ht="15" customHeight="1" x14ac:dyDescent="0.25"/>
    <row r="1344" s="79" customFormat="1" ht="15" customHeight="1" x14ac:dyDescent="0.25"/>
    <row r="1345" s="79" customFormat="1" ht="15" customHeight="1" x14ac:dyDescent="0.25"/>
    <row r="1346" s="79" customFormat="1" ht="15" customHeight="1" x14ac:dyDescent="0.25"/>
    <row r="1347" s="79" customFormat="1" ht="15" customHeight="1" x14ac:dyDescent="0.25"/>
    <row r="1348" s="79" customFormat="1" ht="15" customHeight="1" x14ac:dyDescent="0.25"/>
    <row r="1349" s="79" customFormat="1" ht="15" customHeight="1" x14ac:dyDescent="0.25"/>
    <row r="1350" s="79" customFormat="1" ht="15" customHeight="1" x14ac:dyDescent="0.25"/>
    <row r="1351" s="79" customFormat="1" ht="15" customHeight="1" x14ac:dyDescent="0.25"/>
    <row r="1352" s="79" customFormat="1" ht="15" customHeight="1" x14ac:dyDescent="0.25"/>
    <row r="1353" s="79" customFormat="1" ht="15" customHeight="1" x14ac:dyDescent="0.25"/>
    <row r="1354" s="79" customFormat="1" ht="15" customHeight="1" x14ac:dyDescent="0.25"/>
    <row r="1355" s="79" customFormat="1" ht="15" customHeight="1" x14ac:dyDescent="0.25"/>
    <row r="1356" s="79" customFormat="1" ht="15" customHeight="1" x14ac:dyDescent="0.25"/>
    <row r="1357" s="79" customFormat="1" ht="15" customHeight="1" x14ac:dyDescent="0.25"/>
    <row r="1358" s="79" customFormat="1" ht="15" customHeight="1" x14ac:dyDescent="0.25"/>
    <row r="1359" s="79" customFormat="1" ht="15" customHeight="1" x14ac:dyDescent="0.25"/>
    <row r="1360" s="79" customFormat="1" ht="15" customHeight="1" x14ac:dyDescent="0.25"/>
    <row r="1361" s="79" customFormat="1" ht="15" customHeight="1" x14ac:dyDescent="0.25"/>
    <row r="1362" s="79" customFormat="1" ht="15" customHeight="1" x14ac:dyDescent="0.25"/>
    <row r="1363" s="79" customFormat="1" ht="15" customHeight="1" x14ac:dyDescent="0.25"/>
    <row r="1364" s="79" customFormat="1" ht="15" customHeight="1" x14ac:dyDescent="0.25"/>
    <row r="1365" s="79" customFormat="1" ht="15" customHeight="1" x14ac:dyDescent="0.25"/>
    <row r="1366" s="79" customFormat="1" ht="15" customHeight="1" x14ac:dyDescent="0.25"/>
    <row r="1367" s="79" customFormat="1" ht="15" customHeight="1" x14ac:dyDescent="0.25"/>
    <row r="1368" s="79" customFormat="1" ht="15" customHeight="1" x14ac:dyDescent="0.25"/>
    <row r="1369" s="79" customFormat="1" ht="15" customHeight="1" x14ac:dyDescent="0.25"/>
    <row r="1370" s="79" customFormat="1" ht="15" customHeight="1" x14ac:dyDescent="0.25"/>
    <row r="1371" s="79" customFormat="1" ht="15" customHeight="1" x14ac:dyDescent="0.25"/>
    <row r="1372" s="79" customFormat="1" ht="15" customHeight="1" x14ac:dyDescent="0.25"/>
    <row r="1373" s="79" customFormat="1" ht="15" customHeight="1" x14ac:dyDescent="0.25"/>
    <row r="1374" s="79" customFormat="1" ht="15" customHeight="1" x14ac:dyDescent="0.25"/>
    <row r="1375" s="79" customFormat="1" ht="15" customHeight="1" x14ac:dyDescent="0.25"/>
    <row r="1376" s="79" customFormat="1" ht="15" customHeight="1" x14ac:dyDescent="0.25"/>
    <row r="1377" s="79" customFormat="1" ht="15" customHeight="1" x14ac:dyDescent="0.25"/>
    <row r="1378" s="79" customFormat="1" ht="15" customHeight="1" x14ac:dyDescent="0.25"/>
    <row r="1379" s="79" customFormat="1" ht="15" customHeight="1" x14ac:dyDescent="0.25"/>
    <row r="1380" s="79" customFormat="1" ht="15" customHeight="1" x14ac:dyDescent="0.25"/>
    <row r="1381" s="79" customFormat="1" ht="15" customHeight="1" x14ac:dyDescent="0.25"/>
    <row r="1382" s="79" customFormat="1" ht="15" customHeight="1" x14ac:dyDescent="0.25"/>
    <row r="1383" s="79" customFormat="1" ht="15" customHeight="1" x14ac:dyDescent="0.25"/>
    <row r="1384" s="79" customFormat="1" ht="15" customHeight="1" x14ac:dyDescent="0.25"/>
    <row r="1385" s="79" customFormat="1" ht="15" customHeight="1" x14ac:dyDescent="0.25"/>
    <row r="1386" s="79" customFormat="1" ht="15" customHeight="1" x14ac:dyDescent="0.25"/>
    <row r="1387" s="79" customFormat="1" ht="15" customHeight="1" x14ac:dyDescent="0.25"/>
    <row r="1388" s="79" customFormat="1" ht="15" customHeight="1" x14ac:dyDescent="0.25"/>
    <row r="1389" s="79" customFormat="1" ht="15" customHeight="1" x14ac:dyDescent="0.25"/>
    <row r="1390" s="79" customFormat="1" ht="15" customHeight="1" x14ac:dyDescent="0.25"/>
    <row r="1391" s="79" customFormat="1" ht="15" customHeight="1" x14ac:dyDescent="0.25"/>
    <row r="1392" s="79" customFormat="1" ht="15" customHeight="1" x14ac:dyDescent="0.25"/>
    <row r="1393" s="79" customFormat="1" ht="15" customHeight="1" x14ac:dyDescent="0.25"/>
    <row r="1394" s="79" customFormat="1" ht="15" customHeight="1" x14ac:dyDescent="0.25"/>
    <row r="1395" s="79" customFormat="1" ht="15" customHeight="1" x14ac:dyDescent="0.25"/>
    <row r="1396" s="79" customFormat="1" ht="15" customHeight="1" x14ac:dyDescent="0.25"/>
    <row r="1397" s="79" customFormat="1" ht="15" customHeight="1" x14ac:dyDescent="0.25"/>
    <row r="1398" s="79" customFormat="1" ht="15" customHeight="1" x14ac:dyDescent="0.25"/>
    <row r="1399" s="79" customFormat="1" ht="15" customHeight="1" x14ac:dyDescent="0.25"/>
    <row r="1400" s="79" customFormat="1" ht="15" customHeight="1" x14ac:dyDescent="0.25"/>
    <row r="1401" s="79" customFormat="1" ht="15" customHeight="1" x14ac:dyDescent="0.25"/>
    <row r="1402" s="79" customFormat="1" ht="15" customHeight="1" x14ac:dyDescent="0.25"/>
    <row r="1403" s="79" customFormat="1" ht="15" customHeight="1" x14ac:dyDescent="0.25"/>
    <row r="1404" s="79" customFormat="1" ht="15" customHeight="1" x14ac:dyDescent="0.25"/>
    <row r="1405" s="79" customFormat="1" ht="15" customHeight="1" x14ac:dyDescent="0.25"/>
    <row r="1406" s="79" customFormat="1" ht="15" customHeight="1" x14ac:dyDescent="0.25"/>
    <row r="1407" s="79" customFormat="1" ht="15" customHeight="1" x14ac:dyDescent="0.25"/>
    <row r="1408" s="79" customFormat="1" ht="15" customHeight="1" x14ac:dyDescent="0.25"/>
    <row r="1409" s="79" customFormat="1" ht="15" customHeight="1" x14ac:dyDescent="0.25"/>
    <row r="1410" s="79" customFormat="1" ht="15" customHeight="1" x14ac:dyDescent="0.25"/>
    <row r="1411" s="79" customFormat="1" ht="15" customHeight="1" x14ac:dyDescent="0.25"/>
    <row r="1412" s="79" customFormat="1" ht="15" customHeight="1" x14ac:dyDescent="0.25"/>
    <row r="1413" s="79" customFormat="1" ht="15" customHeight="1" x14ac:dyDescent="0.25"/>
    <row r="1414" s="79" customFormat="1" ht="15" customHeight="1" x14ac:dyDescent="0.25"/>
    <row r="1415" s="79" customFormat="1" ht="15" customHeight="1" x14ac:dyDescent="0.25"/>
    <row r="1416" s="79" customFormat="1" ht="15" customHeight="1" x14ac:dyDescent="0.25"/>
    <row r="1417" s="79" customFormat="1" ht="15" customHeight="1" x14ac:dyDescent="0.25"/>
    <row r="1418" s="79" customFormat="1" ht="15" customHeight="1" x14ac:dyDescent="0.25"/>
    <row r="1419" s="79" customFormat="1" ht="15" customHeight="1" x14ac:dyDescent="0.25"/>
    <row r="1420" s="79" customFormat="1" ht="15" customHeight="1" x14ac:dyDescent="0.25"/>
    <row r="1421" s="79" customFormat="1" ht="15" customHeight="1" x14ac:dyDescent="0.25"/>
    <row r="1422" s="79" customFormat="1" ht="15" customHeight="1" x14ac:dyDescent="0.25"/>
    <row r="1423" s="79" customFormat="1" ht="15" customHeight="1" x14ac:dyDescent="0.25"/>
    <row r="1424" s="79" customFormat="1" ht="15" customHeight="1" x14ac:dyDescent="0.25"/>
    <row r="1425" s="79" customFormat="1" ht="15" customHeight="1" x14ac:dyDescent="0.25"/>
    <row r="1426" s="79" customFormat="1" ht="15" customHeight="1" x14ac:dyDescent="0.25"/>
    <row r="1427" s="79" customFormat="1" ht="15" customHeight="1" x14ac:dyDescent="0.25"/>
    <row r="1428" s="79" customFormat="1" ht="15" customHeight="1" x14ac:dyDescent="0.25"/>
    <row r="1429" s="79" customFormat="1" ht="15" customHeight="1" x14ac:dyDescent="0.25"/>
    <row r="1430" s="79" customFormat="1" ht="15" customHeight="1" x14ac:dyDescent="0.25"/>
    <row r="1431" s="79" customFormat="1" ht="15" customHeight="1" x14ac:dyDescent="0.25"/>
    <row r="1432" s="79" customFormat="1" ht="15" customHeight="1" x14ac:dyDescent="0.25"/>
    <row r="1433" s="79" customFormat="1" ht="15" customHeight="1" x14ac:dyDescent="0.25"/>
    <row r="1434" s="79" customFormat="1" ht="15" customHeight="1" x14ac:dyDescent="0.25"/>
    <row r="1435" s="79" customFormat="1" ht="15" customHeight="1" x14ac:dyDescent="0.25"/>
    <row r="1436" s="79" customFormat="1" ht="15" customHeight="1" x14ac:dyDescent="0.25"/>
    <row r="1437" s="79" customFormat="1" ht="15" customHeight="1" x14ac:dyDescent="0.25"/>
    <row r="1438" s="79" customFormat="1" ht="15" customHeight="1" x14ac:dyDescent="0.25"/>
    <row r="1439" s="79" customFormat="1" ht="15" customHeight="1" x14ac:dyDescent="0.25"/>
    <row r="1440" s="79" customFormat="1" ht="15" customHeight="1" x14ac:dyDescent="0.25"/>
    <row r="1441" s="79" customFormat="1" ht="15" customHeight="1" x14ac:dyDescent="0.25"/>
    <row r="1442" s="79" customFormat="1" ht="15" customHeight="1" x14ac:dyDescent="0.25"/>
    <row r="1443" s="79" customFormat="1" ht="15" customHeight="1" x14ac:dyDescent="0.25"/>
    <row r="1444" s="79" customFormat="1" ht="15" customHeight="1" x14ac:dyDescent="0.25"/>
    <row r="1445" s="79" customFormat="1" ht="15" customHeight="1" x14ac:dyDescent="0.25"/>
    <row r="1446" s="79" customFormat="1" ht="15" customHeight="1" x14ac:dyDescent="0.25"/>
    <row r="1447" s="79" customFormat="1" ht="15" customHeight="1" x14ac:dyDescent="0.25"/>
    <row r="1448" s="79" customFormat="1" ht="15" customHeight="1" x14ac:dyDescent="0.25"/>
    <row r="1449" s="79" customFormat="1" ht="15" customHeight="1" x14ac:dyDescent="0.25"/>
    <row r="1450" s="79" customFormat="1" ht="15" customHeight="1" x14ac:dyDescent="0.25"/>
    <row r="1451" s="79" customFormat="1" ht="15" customHeight="1" x14ac:dyDescent="0.25"/>
    <row r="1452" s="79" customFormat="1" ht="15" customHeight="1" x14ac:dyDescent="0.25"/>
    <row r="1453" s="79" customFormat="1" ht="15" customHeight="1" x14ac:dyDescent="0.25"/>
    <row r="1454" s="79" customFormat="1" ht="15" customHeight="1" x14ac:dyDescent="0.25"/>
    <row r="1455" s="79" customFormat="1" ht="15" customHeight="1" x14ac:dyDescent="0.25"/>
    <row r="1456" s="79" customFormat="1" ht="15" customHeight="1" x14ac:dyDescent="0.25"/>
    <row r="1457" s="79" customFormat="1" ht="15" customHeight="1" x14ac:dyDescent="0.25"/>
    <row r="1458" s="79" customFormat="1" ht="15" customHeight="1" x14ac:dyDescent="0.25"/>
    <row r="1459" s="79" customFormat="1" ht="15" customHeight="1" x14ac:dyDescent="0.25"/>
    <row r="1460" s="79" customFormat="1" ht="15" customHeight="1" x14ac:dyDescent="0.25"/>
    <row r="1461" s="79" customFormat="1" ht="15" customHeight="1" x14ac:dyDescent="0.25"/>
    <row r="1462" s="79" customFormat="1" ht="15" customHeight="1" x14ac:dyDescent="0.25"/>
    <row r="1463" s="79" customFormat="1" ht="15" customHeight="1" x14ac:dyDescent="0.25"/>
    <row r="1464" s="79" customFormat="1" ht="15" customHeight="1" x14ac:dyDescent="0.25"/>
    <row r="1465" s="79" customFormat="1" ht="15" customHeight="1" x14ac:dyDescent="0.25"/>
    <row r="1466" s="79" customFormat="1" ht="15" customHeight="1" x14ac:dyDescent="0.25"/>
    <row r="1467" s="79" customFormat="1" ht="15" customHeight="1" x14ac:dyDescent="0.25"/>
    <row r="1468" s="79" customFormat="1" ht="15" customHeight="1" x14ac:dyDescent="0.25"/>
    <row r="1469" s="79" customFormat="1" ht="15" customHeight="1" x14ac:dyDescent="0.25"/>
    <row r="1470" s="79" customFormat="1" ht="15" customHeight="1" x14ac:dyDescent="0.25"/>
    <row r="1471" s="79" customFormat="1" ht="15" customHeight="1" x14ac:dyDescent="0.25"/>
    <row r="1472" s="79" customFormat="1" ht="15" customHeight="1" x14ac:dyDescent="0.25"/>
    <row r="1473" s="79" customFormat="1" ht="15" customHeight="1" x14ac:dyDescent="0.25"/>
    <row r="1474" s="79" customFormat="1" ht="15" customHeight="1" x14ac:dyDescent="0.25"/>
    <row r="1475" s="79" customFormat="1" ht="15" customHeight="1" x14ac:dyDescent="0.25"/>
    <row r="1476" s="79" customFormat="1" ht="15" customHeight="1" x14ac:dyDescent="0.25"/>
    <row r="1477" s="79" customFormat="1" ht="15" customHeight="1" x14ac:dyDescent="0.25"/>
    <row r="1478" s="79" customFormat="1" ht="15" customHeight="1" x14ac:dyDescent="0.25"/>
    <row r="1479" s="79" customFormat="1" ht="15" customHeight="1" x14ac:dyDescent="0.25"/>
    <row r="1480" s="79" customFormat="1" ht="15" customHeight="1" x14ac:dyDescent="0.25"/>
    <row r="1481" s="79" customFormat="1" ht="15" customHeight="1" x14ac:dyDescent="0.25"/>
    <row r="1482" s="79" customFormat="1" ht="15" customHeight="1" x14ac:dyDescent="0.25"/>
    <row r="1483" s="79" customFormat="1" ht="15" customHeight="1" x14ac:dyDescent="0.25"/>
    <row r="1484" s="79" customFormat="1" ht="15" customHeight="1" x14ac:dyDescent="0.25"/>
    <row r="1485" s="79" customFormat="1" ht="15" customHeight="1" x14ac:dyDescent="0.25"/>
    <row r="1486" s="79" customFormat="1" ht="15" customHeight="1" x14ac:dyDescent="0.25"/>
    <row r="1487" s="79" customFormat="1" ht="15" customHeight="1" x14ac:dyDescent="0.25"/>
    <row r="1488" s="79" customFormat="1" ht="15" customHeight="1" x14ac:dyDescent="0.25"/>
    <row r="1489" s="79" customFormat="1" ht="15" customHeight="1" x14ac:dyDescent="0.25"/>
    <row r="1490" s="79" customFormat="1" ht="15" customHeight="1" x14ac:dyDescent="0.25"/>
    <row r="1491" s="79" customFormat="1" ht="15" customHeight="1" x14ac:dyDescent="0.25"/>
    <row r="1492" s="79" customFormat="1" ht="15" customHeight="1" x14ac:dyDescent="0.25"/>
    <row r="1493" s="79" customFormat="1" ht="15" customHeight="1" x14ac:dyDescent="0.25"/>
    <row r="1494" s="79" customFormat="1" ht="15" customHeight="1" x14ac:dyDescent="0.25"/>
    <row r="1495" s="79" customFormat="1" ht="15" customHeight="1" x14ac:dyDescent="0.25"/>
    <row r="1496" s="79" customFormat="1" ht="15" customHeight="1" x14ac:dyDescent="0.25"/>
    <row r="1497" s="79" customFormat="1" ht="15" customHeight="1" x14ac:dyDescent="0.25"/>
    <row r="1498" s="79" customFormat="1" ht="15" customHeight="1" x14ac:dyDescent="0.25"/>
    <row r="1499" s="79" customFormat="1" ht="15" customHeight="1" x14ac:dyDescent="0.25"/>
    <row r="1500" s="79" customFormat="1" ht="15" customHeight="1" x14ac:dyDescent="0.25"/>
    <row r="1501" s="79" customFormat="1" ht="15" customHeight="1" x14ac:dyDescent="0.25"/>
    <row r="1502" s="79" customFormat="1" ht="15" customHeight="1" x14ac:dyDescent="0.25"/>
    <row r="1503" s="79" customFormat="1" ht="15" customHeight="1" x14ac:dyDescent="0.25"/>
    <row r="1504" s="79" customFormat="1" ht="15" customHeight="1" x14ac:dyDescent="0.25"/>
    <row r="1505" s="79" customFormat="1" ht="15" customHeight="1" x14ac:dyDescent="0.25"/>
    <row r="1506" s="79" customFormat="1" ht="15" customHeight="1" x14ac:dyDescent="0.25"/>
    <row r="1507" s="79" customFormat="1" ht="15" customHeight="1" x14ac:dyDescent="0.25"/>
    <row r="1508" s="79" customFormat="1" ht="15" customHeight="1" x14ac:dyDescent="0.25"/>
    <row r="1509" s="79" customFormat="1" ht="15" customHeight="1" x14ac:dyDescent="0.25"/>
    <row r="1510" s="79" customFormat="1" ht="15" customHeight="1" x14ac:dyDescent="0.25"/>
    <row r="1511" s="79" customFormat="1" ht="15" customHeight="1" x14ac:dyDescent="0.25"/>
    <row r="1512" s="79" customFormat="1" ht="15" customHeight="1" x14ac:dyDescent="0.25"/>
    <row r="1513" s="79" customFormat="1" ht="15" customHeight="1" x14ac:dyDescent="0.25"/>
    <row r="1514" s="79" customFormat="1" ht="15" customHeight="1" x14ac:dyDescent="0.25"/>
  </sheetData>
  <sheetProtection selectLockedCells="1"/>
  <mergeCells count="5">
    <mergeCell ref="C2:AG2"/>
    <mergeCell ref="AH2:AH3"/>
    <mergeCell ref="AI2:AL3"/>
    <mergeCell ref="AM2:AP3"/>
    <mergeCell ref="AQ2:AR3"/>
  </mergeCells>
  <conditionalFormatting sqref="C17:C18 C9:AG11 C5:AG7">
    <cfRule type="expression" priority="1830" stopIfTrue="1">
      <formula>C5=""</formula>
    </cfRule>
    <cfRule type="expression" dxfId="1644" priority="1831" stopIfTrue="1">
      <formula>C5=CléPersonnalisée2</formula>
    </cfRule>
    <cfRule type="expression" dxfId="1643" priority="1832" stopIfTrue="1">
      <formula>C5=CléPersonnalisée1</formula>
    </cfRule>
    <cfRule type="expression" dxfId="1642" priority="1833" stopIfTrue="1">
      <formula>C5=CléMaladie</formula>
    </cfRule>
    <cfRule type="expression" dxfId="1641" priority="1834" stopIfTrue="1">
      <formula>C5=CléPersonnelle</formula>
    </cfRule>
    <cfRule type="expression" dxfId="1640" priority="1835" stopIfTrue="1">
      <formula>C5=CléCongés</formula>
    </cfRule>
  </conditionalFormatting>
  <conditionalFormatting sqref="AH5:AH6 AH9:AH11">
    <cfRule type="dataBar" priority="1836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{10C2CEAE-7509-4DB6-B3FB-5B985943CAEB}</x14:id>
        </ext>
      </extLst>
    </cfRule>
  </conditionalFormatting>
  <conditionalFormatting sqref="AI5:AL6 AI9:AL11">
    <cfRule type="expression" priority="1824" stopIfTrue="1">
      <formula>AI5=""</formula>
    </cfRule>
    <cfRule type="expression" dxfId="1639" priority="1825" stopIfTrue="1">
      <formula>AI5=CléPersonnalisée2</formula>
    </cfRule>
    <cfRule type="expression" dxfId="1638" priority="1826" stopIfTrue="1">
      <formula>AI5=CléPersonnalisée1</formula>
    </cfRule>
    <cfRule type="expression" dxfId="1637" priority="1827" stopIfTrue="1">
      <formula>AI5=CléMaladie</formula>
    </cfRule>
    <cfRule type="expression" dxfId="1636" priority="1828" stopIfTrue="1">
      <formula>AI5=CléPersonnelle</formula>
    </cfRule>
    <cfRule type="expression" dxfId="1635" priority="1829" stopIfTrue="1">
      <formula>AI5=CléCongés</formula>
    </cfRule>
  </conditionalFormatting>
  <conditionalFormatting sqref="AM5:AP6 AM9:AP10">
    <cfRule type="expression" priority="1818" stopIfTrue="1">
      <formula>AM5=""</formula>
    </cfRule>
    <cfRule type="expression" dxfId="1634" priority="1819" stopIfTrue="1">
      <formula>AM5=CléPersonnalisée2</formula>
    </cfRule>
    <cfRule type="expression" dxfId="1633" priority="1820" stopIfTrue="1">
      <formula>AM5=CléPersonnalisée1</formula>
    </cfRule>
    <cfRule type="expression" dxfId="1632" priority="1821" stopIfTrue="1">
      <formula>AM5=CléMaladie</formula>
    </cfRule>
    <cfRule type="expression" dxfId="1631" priority="1822" stopIfTrue="1">
      <formula>AM5=CléPersonnelle</formula>
    </cfRule>
    <cfRule type="expression" dxfId="1630" priority="1823" stopIfTrue="1">
      <formula>AM5=CléCongés</formula>
    </cfRule>
  </conditionalFormatting>
  <conditionalFormatting sqref="AQ5:AR6 AQ9:AR10 AQ32:AR32 AQ44:AR44">
    <cfRule type="expression" priority="1812" stopIfTrue="1">
      <formula>AQ5=""</formula>
    </cfRule>
    <cfRule type="expression" dxfId="1629" priority="1813" stopIfTrue="1">
      <formula>AQ5=CléPersonnalisée2</formula>
    </cfRule>
    <cfRule type="expression" dxfId="1628" priority="1814" stopIfTrue="1">
      <formula>AQ5=CléPersonnalisée1</formula>
    </cfRule>
    <cfRule type="expression" dxfId="1627" priority="1815" stopIfTrue="1">
      <formula>AQ5=CléMaladie</formula>
    </cfRule>
    <cfRule type="expression" dxfId="1626" priority="1816" stopIfTrue="1">
      <formula>AQ5=CléPersonnelle</formula>
    </cfRule>
    <cfRule type="expression" dxfId="1625" priority="1817" stopIfTrue="1">
      <formula>AQ5=CléCongés</formula>
    </cfRule>
  </conditionalFormatting>
  <conditionalFormatting sqref="AP7:AP8">
    <cfRule type="expression" priority="1806" stopIfTrue="1">
      <formula>AP7=""</formula>
    </cfRule>
    <cfRule type="expression" dxfId="1624" priority="1807" stopIfTrue="1">
      <formula>AP7=CléPersonnalisée2</formula>
    </cfRule>
    <cfRule type="expression" dxfId="1623" priority="1808" stopIfTrue="1">
      <formula>AP7=CléPersonnalisée1</formula>
    </cfRule>
    <cfRule type="expression" dxfId="1622" priority="1809" stopIfTrue="1">
      <formula>AP7=CléMaladie</formula>
    </cfRule>
    <cfRule type="expression" dxfId="1621" priority="1810" stopIfTrue="1">
      <formula>AP7=CléPersonnelle</formula>
    </cfRule>
    <cfRule type="expression" dxfId="1620" priority="1811" stopIfTrue="1">
      <formula>AP7=CléCongés</formula>
    </cfRule>
  </conditionalFormatting>
  <conditionalFormatting sqref="AQ8:AR8 AR7">
    <cfRule type="expression" priority="1800" stopIfTrue="1">
      <formula>AQ7=""</formula>
    </cfRule>
    <cfRule type="expression" dxfId="1619" priority="1801" stopIfTrue="1">
      <formula>AQ7=CléPersonnalisée2</formula>
    </cfRule>
    <cfRule type="expression" dxfId="1618" priority="1802" stopIfTrue="1">
      <formula>AQ7=CléPersonnalisée1</formula>
    </cfRule>
    <cfRule type="expression" dxfId="1617" priority="1803" stopIfTrue="1">
      <formula>AQ7=CléMaladie</formula>
    </cfRule>
    <cfRule type="expression" dxfId="1616" priority="1804" stopIfTrue="1">
      <formula>AQ7=CléPersonnelle</formula>
    </cfRule>
    <cfRule type="expression" dxfId="1615" priority="1805" stopIfTrue="1">
      <formula>AQ7=CléCongés</formula>
    </cfRule>
  </conditionalFormatting>
  <conditionalFormatting sqref="AM11 AP11">
    <cfRule type="expression" priority="1794" stopIfTrue="1">
      <formula>AM11=""</formula>
    </cfRule>
    <cfRule type="expression" dxfId="1614" priority="1795" stopIfTrue="1">
      <formula>AM11=CléPersonnalisée2</formula>
    </cfRule>
    <cfRule type="expression" dxfId="1613" priority="1796" stopIfTrue="1">
      <formula>AM11=CléPersonnalisée1</formula>
    </cfRule>
    <cfRule type="expression" dxfId="1612" priority="1797" stopIfTrue="1">
      <formula>AM11=CléMaladie</formula>
    </cfRule>
    <cfRule type="expression" dxfId="1611" priority="1798" stopIfTrue="1">
      <formula>AM11=CléPersonnelle</formula>
    </cfRule>
    <cfRule type="expression" dxfId="1610" priority="1799" stopIfTrue="1">
      <formula>AM11=CléCongés</formula>
    </cfRule>
  </conditionalFormatting>
  <conditionalFormatting sqref="AQ48:AR48">
    <cfRule type="expression" priority="1788" stopIfTrue="1">
      <formula>AQ48=""</formula>
    </cfRule>
    <cfRule type="expression" dxfId="1609" priority="1789" stopIfTrue="1">
      <formula>AQ48=CléPersonnalisée2</formula>
    </cfRule>
    <cfRule type="expression" dxfId="1608" priority="1790" stopIfTrue="1">
      <formula>AQ48=CléPersonnalisée1</formula>
    </cfRule>
    <cfRule type="expression" dxfId="1607" priority="1791" stopIfTrue="1">
      <formula>AQ48=CléMaladie</formula>
    </cfRule>
    <cfRule type="expression" dxfId="1606" priority="1792" stopIfTrue="1">
      <formula>AQ48=CléPersonnelle</formula>
    </cfRule>
    <cfRule type="expression" dxfId="1605" priority="1793" stopIfTrue="1">
      <formula>AQ48=CléCongés</formula>
    </cfRule>
  </conditionalFormatting>
  <conditionalFormatting sqref="AQ52:AR52">
    <cfRule type="expression" priority="1782" stopIfTrue="1">
      <formula>AQ52=""</formula>
    </cfRule>
    <cfRule type="expression" dxfId="1604" priority="1783" stopIfTrue="1">
      <formula>AQ52=CléPersonnalisée2</formula>
    </cfRule>
    <cfRule type="expression" dxfId="1603" priority="1784" stopIfTrue="1">
      <formula>AQ52=CléPersonnalisée1</formula>
    </cfRule>
    <cfRule type="expression" dxfId="1602" priority="1785" stopIfTrue="1">
      <formula>AQ52=CléMaladie</formula>
    </cfRule>
    <cfRule type="expression" dxfId="1601" priority="1786" stopIfTrue="1">
      <formula>AQ52=CléPersonnelle</formula>
    </cfRule>
    <cfRule type="expression" dxfId="1600" priority="1787" stopIfTrue="1">
      <formula>AQ52=CléCongés</formula>
    </cfRule>
  </conditionalFormatting>
  <conditionalFormatting sqref="AQ56:AR56 AQ60:AR60">
    <cfRule type="expression" priority="1776" stopIfTrue="1">
      <formula>AQ56=""</formula>
    </cfRule>
    <cfRule type="expression" dxfId="1599" priority="1777" stopIfTrue="1">
      <formula>AQ56=CléPersonnalisée2</formula>
    </cfRule>
    <cfRule type="expression" dxfId="1598" priority="1778" stopIfTrue="1">
      <formula>AQ56=CléPersonnalisée1</formula>
    </cfRule>
    <cfRule type="expression" dxfId="1597" priority="1779" stopIfTrue="1">
      <formula>AQ56=CléMaladie</formula>
    </cfRule>
    <cfRule type="expression" dxfId="1596" priority="1780" stopIfTrue="1">
      <formula>AQ56=CléPersonnelle</formula>
    </cfRule>
    <cfRule type="expression" dxfId="1595" priority="1781" stopIfTrue="1">
      <formula>AQ56=CléCongés</formula>
    </cfRule>
  </conditionalFormatting>
  <conditionalFormatting sqref="AQ64:AR64 AQ68:AR68">
    <cfRule type="expression" priority="1770" stopIfTrue="1">
      <formula>AQ64=""</formula>
    </cfRule>
    <cfRule type="expression" dxfId="1594" priority="1771" stopIfTrue="1">
      <formula>AQ64=CléPersonnalisée2</formula>
    </cfRule>
    <cfRule type="expression" dxfId="1593" priority="1772" stopIfTrue="1">
      <formula>AQ64=CléPersonnalisée1</formula>
    </cfRule>
    <cfRule type="expression" dxfId="1592" priority="1773" stopIfTrue="1">
      <formula>AQ64=CléMaladie</formula>
    </cfRule>
    <cfRule type="expression" dxfId="1591" priority="1774" stopIfTrue="1">
      <formula>AQ64=CléPersonnelle</formula>
    </cfRule>
    <cfRule type="expression" dxfId="1590" priority="1775" stopIfTrue="1">
      <formula>AQ64=CléCongés</formula>
    </cfRule>
  </conditionalFormatting>
  <conditionalFormatting sqref="AQ72:AR72 AQ76:AR76 AQ84:AR84 AQ88:AR88 AQ92:AR92 AQ80:AR80">
    <cfRule type="expression" priority="1764" stopIfTrue="1">
      <formula>AQ72=""</formula>
    </cfRule>
    <cfRule type="expression" dxfId="1589" priority="1765" stopIfTrue="1">
      <formula>AQ72=CléPersonnalisée2</formula>
    </cfRule>
    <cfRule type="expression" dxfId="1588" priority="1766" stopIfTrue="1">
      <formula>AQ72=CléPersonnalisée1</formula>
    </cfRule>
    <cfRule type="expression" dxfId="1587" priority="1767" stopIfTrue="1">
      <formula>AQ72=CléMaladie</formula>
    </cfRule>
    <cfRule type="expression" dxfId="1586" priority="1768" stopIfTrue="1">
      <formula>AQ72=CléPersonnelle</formula>
    </cfRule>
    <cfRule type="expression" dxfId="1585" priority="1769" stopIfTrue="1">
      <formula>AQ72=CléCongés</formula>
    </cfRule>
  </conditionalFormatting>
  <conditionalFormatting sqref="D17:AG18 C19:AG19">
    <cfRule type="expression" priority="1758" stopIfTrue="1">
      <formula>C17=""</formula>
    </cfRule>
    <cfRule type="expression" dxfId="1584" priority="1759" stopIfTrue="1">
      <formula>C17=CléPersonnalisée2</formula>
    </cfRule>
    <cfRule type="expression" dxfId="1583" priority="1760" stopIfTrue="1">
      <formula>C17=CléPersonnalisée1</formula>
    </cfRule>
    <cfRule type="expression" dxfId="1582" priority="1761" stopIfTrue="1">
      <formula>C17=CléMaladie</formula>
    </cfRule>
    <cfRule type="expression" dxfId="1581" priority="1762" stopIfTrue="1">
      <formula>C17=CléPersonnelle</formula>
    </cfRule>
    <cfRule type="expression" dxfId="1580" priority="1763" stopIfTrue="1">
      <formula>C17=CléCongés</formula>
    </cfRule>
  </conditionalFormatting>
  <conditionalFormatting sqref="AJ17:AL19">
    <cfRule type="expression" priority="1752" stopIfTrue="1">
      <formula>AJ17=""</formula>
    </cfRule>
    <cfRule type="expression" dxfId="1579" priority="1753" stopIfTrue="1">
      <formula>AJ17=CléPersonnalisée2</formula>
    </cfRule>
    <cfRule type="expression" dxfId="1578" priority="1754" stopIfTrue="1">
      <formula>AJ17=CléPersonnalisée1</formula>
    </cfRule>
    <cfRule type="expression" dxfId="1577" priority="1755" stopIfTrue="1">
      <formula>AJ17=CléMaladie</formula>
    </cfRule>
    <cfRule type="expression" dxfId="1576" priority="1756" stopIfTrue="1">
      <formula>AJ17=CléPersonnelle</formula>
    </cfRule>
    <cfRule type="expression" dxfId="1575" priority="1757" stopIfTrue="1">
      <formula>AJ17=CléCongés</formula>
    </cfRule>
  </conditionalFormatting>
  <conditionalFormatting sqref="C21:AG23">
    <cfRule type="expression" priority="1746" stopIfTrue="1">
      <formula>C21=""</formula>
    </cfRule>
    <cfRule type="expression" dxfId="1574" priority="1747" stopIfTrue="1">
      <formula>C21=CléPersonnalisée2</formula>
    </cfRule>
    <cfRule type="expression" dxfId="1573" priority="1748" stopIfTrue="1">
      <formula>C21=CléPersonnalisée1</formula>
    </cfRule>
    <cfRule type="expression" dxfId="1572" priority="1749" stopIfTrue="1">
      <formula>C21=CléMaladie</formula>
    </cfRule>
    <cfRule type="expression" dxfId="1571" priority="1750" stopIfTrue="1">
      <formula>C21=CléPersonnelle</formula>
    </cfRule>
    <cfRule type="expression" dxfId="1570" priority="1751" stopIfTrue="1">
      <formula>C21=CléCongés</formula>
    </cfRule>
  </conditionalFormatting>
  <conditionalFormatting sqref="AJ21:AL23">
    <cfRule type="expression" priority="1740" stopIfTrue="1">
      <formula>AJ21=""</formula>
    </cfRule>
    <cfRule type="expression" dxfId="1569" priority="1741" stopIfTrue="1">
      <formula>AJ21=CléPersonnalisée2</formula>
    </cfRule>
    <cfRule type="expression" dxfId="1568" priority="1742" stopIfTrue="1">
      <formula>AJ21=CléPersonnalisée1</formula>
    </cfRule>
    <cfRule type="expression" dxfId="1567" priority="1743" stopIfTrue="1">
      <formula>AJ21=CléMaladie</formula>
    </cfRule>
    <cfRule type="expression" dxfId="1566" priority="1744" stopIfTrue="1">
      <formula>AJ21=CléPersonnelle</formula>
    </cfRule>
    <cfRule type="expression" dxfId="1565" priority="1745" stopIfTrue="1">
      <formula>AJ21=CléCongés</formula>
    </cfRule>
  </conditionalFormatting>
  <conditionalFormatting sqref="C25:AG27">
    <cfRule type="expression" priority="1733" stopIfTrue="1">
      <formula>C25=""</formula>
    </cfRule>
    <cfRule type="expression" dxfId="1564" priority="1734" stopIfTrue="1">
      <formula>C25=CléPersonnalisée2</formula>
    </cfRule>
    <cfRule type="expression" dxfId="1563" priority="1735" stopIfTrue="1">
      <formula>C25=CléPersonnalisée1</formula>
    </cfRule>
    <cfRule type="expression" dxfId="1562" priority="1736" stopIfTrue="1">
      <formula>C25=CléMaladie</formula>
    </cfRule>
    <cfRule type="expression" dxfId="1561" priority="1737" stopIfTrue="1">
      <formula>C25=CléPersonnelle</formula>
    </cfRule>
    <cfRule type="expression" dxfId="1560" priority="1738" stopIfTrue="1">
      <formula>C25=CléCongés</formula>
    </cfRule>
  </conditionalFormatting>
  <conditionalFormatting sqref="AH27">
    <cfRule type="dataBar" priority="1739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{6EDC341D-B8DF-4FC2-9733-7EB5AA91D803}</x14:id>
        </ext>
      </extLst>
    </cfRule>
  </conditionalFormatting>
  <conditionalFormatting sqref="AI27:AL27 AJ25:AL26">
    <cfRule type="expression" priority="1727" stopIfTrue="1">
      <formula>AI25=""</formula>
    </cfRule>
    <cfRule type="expression" dxfId="1559" priority="1728" stopIfTrue="1">
      <formula>AI25=CléPersonnalisée2</formula>
    </cfRule>
    <cfRule type="expression" dxfId="1558" priority="1729" stopIfTrue="1">
      <formula>AI25=CléPersonnalisée1</formula>
    </cfRule>
    <cfRule type="expression" dxfId="1557" priority="1730" stopIfTrue="1">
      <formula>AI25=CléMaladie</formula>
    </cfRule>
    <cfRule type="expression" dxfId="1556" priority="1731" stopIfTrue="1">
      <formula>AI25=CléPersonnelle</formula>
    </cfRule>
    <cfRule type="expression" dxfId="1555" priority="1732" stopIfTrue="1">
      <formula>AI25=CléCongés</formula>
    </cfRule>
  </conditionalFormatting>
  <conditionalFormatting sqref="AM25:AP26">
    <cfRule type="expression" priority="1721" stopIfTrue="1">
      <formula>AM25=""</formula>
    </cfRule>
    <cfRule type="expression" dxfId="1554" priority="1722" stopIfTrue="1">
      <formula>AM25=CléPersonnalisée2</formula>
    </cfRule>
    <cfRule type="expression" dxfId="1553" priority="1723" stopIfTrue="1">
      <formula>AM25=CléPersonnalisée1</formula>
    </cfRule>
    <cfRule type="expression" dxfId="1552" priority="1724" stopIfTrue="1">
      <formula>AM25=CléMaladie</formula>
    </cfRule>
    <cfRule type="expression" dxfId="1551" priority="1725" stopIfTrue="1">
      <formula>AM25=CléPersonnelle</formula>
    </cfRule>
    <cfRule type="expression" dxfId="1550" priority="1726" stopIfTrue="1">
      <formula>AM25=CléCongés</formula>
    </cfRule>
  </conditionalFormatting>
  <conditionalFormatting sqref="AQ25:AR26">
    <cfRule type="expression" priority="1715" stopIfTrue="1">
      <formula>AQ25=""</formula>
    </cfRule>
    <cfRule type="expression" dxfId="1549" priority="1716" stopIfTrue="1">
      <formula>AQ25=CléPersonnalisée2</formula>
    </cfRule>
    <cfRule type="expression" dxfId="1548" priority="1717" stopIfTrue="1">
      <formula>AQ25=CléPersonnalisée1</formula>
    </cfRule>
    <cfRule type="expression" dxfId="1547" priority="1718" stopIfTrue="1">
      <formula>AQ25=CléMaladie</formula>
    </cfRule>
    <cfRule type="expression" dxfId="1546" priority="1719" stopIfTrue="1">
      <formula>AQ25=CléPersonnelle</formula>
    </cfRule>
    <cfRule type="expression" dxfId="1545" priority="1720" stopIfTrue="1">
      <formula>AQ25=CléCongés</formula>
    </cfRule>
  </conditionalFormatting>
  <conditionalFormatting sqref="AM27 AP27">
    <cfRule type="expression" priority="1709" stopIfTrue="1">
      <formula>AM27=""</formula>
    </cfRule>
    <cfRule type="expression" dxfId="1544" priority="1710" stopIfTrue="1">
      <formula>AM27=CléPersonnalisée2</formula>
    </cfRule>
    <cfRule type="expression" dxfId="1543" priority="1711" stopIfTrue="1">
      <formula>AM27=CléPersonnalisée1</formula>
    </cfRule>
    <cfRule type="expression" dxfId="1542" priority="1712" stopIfTrue="1">
      <formula>AM27=CléMaladie</formula>
    </cfRule>
    <cfRule type="expression" dxfId="1541" priority="1713" stopIfTrue="1">
      <formula>AM27=CléPersonnelle</formula>
    </cfRule>
    <cfRule type="expression" dxfId="1540" priority="1714" stopIfTrue="1">
      <formula>AM27=CléCongés</formula>
    </cfRule>
  </conditionalFormatting>
  <conditionalFormatting sqref="C29:AG31">
    <cfRule type="expression" priority="1702" stopIfTrue="1">
      <formula>C29=""</formula>
    </cfRule>
    <cfRule type="expression" dxfId="1539" priority="1703" stopIfTrue="1">
      <formula>C29=CléPersonnalisée2</formula>
    </cfRule>
    <cfRule type="expression" dxfId="1538" priority="1704" stopIfTrue="1">
      <formula>C29=CléPersonnalisée1</formula>
    </cfRule>
    <cfRule type="expression" dxfId="1537" priority="1705" stopIfTrue="1">
      <formula>C29=CléMaladie</formula>
    </cfRule>
    <cfRule type="expression" dxfId="1536" priority="1706" stopIfTrue="1">
      <formula>C29=CléPersonnelle</formula>
    </cfRule>
    <cfRule type="expression" dxfId="1535" priority="1707" stopIfTrue="1">
      <formula>C29=CléCongés</formula>
    </cfRule>
  </conditionalFormatting>
  <conditionalFormatting sqref="AH31">
    <cfRule type="dataBar" priority="1708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{D3D7810B-64A8-4906-BEBA-7B102A5FD257}</x14:id>
        </ext>
      </extLst>
    </cfRule>
  </conditionalFormatting>
  <conditionalFormatting sqref="AI31:AL31 AJ29:AL30">
    <cfRule type="expression" priority="1696" stopIfTrue="1">
      <formula>AI29=""</formula>
    </cfRule>
    <cfRule type="expression" dxfId="1534" priority="1697" stopIfTrue="1">
      <formula>AI29=CléPersonnalisée2</formula>
    </cfRule>
    <cfRule type="expression" dxfId="1533" priority="1698" stopIfTrue="1">
      <formula>AI29=CléPersonnalisée1</formula>
    </cfRule>
    <cfRule type="expression" dxfId="1532" priority="1699" stopIfTrue="1">
      <formula>AI29=CléMaladie</formula>
    </cfRule>
    <cfRule type="expression" dxfId="1531" priority="1700" stopIfTrue="1">
      <formula>AI29=CléPersonnelle</formula>
    </cfRule>
    <cfRule type="expression" dxfId="1530" priority="1701" stopIfTrue="1">
      <formula>AI29=CléCongés</formula>
    </cfRule>
  </conditionalFormatting>
  <conditionalFormatting sqref="AM29:AP30">
    <cfRule type="expression" priority="1690" stopIfTrue="1">
      <formula>AM29=""</formula>
    </cfRule>
    <cfRule type="expression" dxfId="1529" priority="1691" stopIfTrue="1">
      <formula>AM29=CléPersonnalisée2</formula>
    </cfRule>
    <cfRule type="expression" dxfId="1528" priority="1692" stopIfTrue="1">
      <formula>AM29=CléPersonnalisée1</formula>
    </cfRule>
    <cfRule type="expression" dxfId="1527" priority="1693" stopIfTrue="1">
      <formula>AM29=CléMaladie</formula>
    </cfRule>
    <cfRule type="expression" dxfId="1526" priority="1694" stopIfTrue="1">
      <formula>AM29=CléPersonnelle</formula>
    </cfRule>
    <cfRule type="expression" dxfId="1525" priority="1695" stopIfTrue="1">
      <formula>AM29=CléCongés</formula>
    </cfRule>
  </conditionalFormatting>
  <conditionalFormatting sqref="AQ29:AR30">
    <cfRule type="expression" priority="1684" stopIfTrue="1">
      <formula>AQ29=""</formula>
    </cfRule>
    <cfRule type="expression" dxfId="1524" priority="1685" stopIfTrue="1">
      <formula>AQ29=CléPersonnalisée2</formula>
    </cfRule>
    <cfRule type="expression" dxfId="1523" priority="1686" stopIfTrue="1">
      <formula>AQ29=CléPersonnalisée1</formula>
    </cfRule>
    <cfRule type="expression" dxfId="1522" priority="1687" stopIfTrue="1">
      <formula>AQ29=CléMaladie</formula>
    </cfRule>
    <cfRule type="expression" dxfId="1521" priority="1688" stopIfTrue="1">
      <formula>AQ29=CléPersonnelle</formula>
    </cfRule>
    <cfRule type="expression" dxfId="1520" priority="1689" stopIfTrue="1">
      <formula>AQ29=CléCongés</formula>
    </cfRule>
  </conditionalFormatting>
  <conditionalFormatting sqref="AM31 AP31">
    <cfRule type="expression" priority="1678" stopIfTrue="1">
      <formula>AM31=""</formula>
    </cfRule>
    <cfRule type="expression" dxfId="1519" priority="1679" stopIfTrue="1">
      <formula>AM31=CléPersonnalisée2</formula>
    </cfRule>
    <cfRule type="expression" dxfId="1518" priority="1680" stopIfTrue="1">
      <formula>AM31=CléPersonnalisée1</formula>
    </cfRule>
    <cfRule type="expression" dxfId="1517" priority="1681" stopIfTrue="1">
      <formula>AM31=CléMaladie</formula>
    </cfRule>
    <cfRule type="expression" dxfId="1516" priority="1682" stopIfTrue="1">
      <formula>AM31=CléPersonnelle</formula>
    </cfRule>
    <cfRule type="expression" dxfId="1515" priority="1683" stopIfTrue="1">
      <formula>AM31=CléCongés</formula>
    </cfRule>
  </conditionalFormatting>
  <conditionalFormatting sqref="C33:AG35">
    <cfRule type="expression" priority="1671" stopIfTrue="1">
      <formula>C33=""</formula>
    </cfRule>
    <cfRule type="expression" dxfId="1514" priority="1672" stopIfTrue="1">
      <formula>C33=CléPersonnalisée2</formula>
    </cfRule>
    <cfRule type="expression" dxfId="1513" priority="1673" stopIfTrue="1">
      <formula>C33=CléPersonnalisée1</formula>
    </cfRule>
    <cfRule type="expression" dxfId="1512" priority="1674" stopIfTrue="1">
      <formula>C33=CléMaladie</formula>
    </cfRule>
    <cfRule type="expression" dxfId="1511" priority="1675" stopIfTrue="1">
      <formula>C33=CléPersonnelle</formula>
    </cfRule>
    <cfRule type="expression" dxfId="1510" priority="1676" stopIfTrue="1">
      <formula>C33=CléCongés</formula>
    </cfRule>
  </conditionalFormatting>
  <conditionalFormatting sqref="AH35">
    <cfRule type="dataBar" priority="1677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{CFABD9B7-B0F0-4E11-A707-42F968BA821D}</x14:id>
        </ext>
      </extLst>
    </cfRule>
  </conditionalFormatting>
  <conditionalFormatting sqref="AI35:AL35 AJ33:AL34">
    <cfRule type="expression" priority="1665" stopIfTrue="1">
      <formula>AI33=""</formula>
    </cfRule>
    <cfRule type="expression" dxfId="1509" priority="1666" stopIfTrue="1">
      <formula>AI33=CléPersonnalisée2</formula>
    </cfRule>
    <cfRule type="expression" dxfId="1508" priority="1667" stopIfTrue="1">
      <formula>AI33=CléPersonnalisée1</formula>
    </cfRule>
    <cfRule type="expression" dxfId="1507" priority="1668" stopIfTrue="1">
      <formula>AI33=CléMaladie</formula>
    </cfRule>
    <cfRule type="expression" dxfId="1506" priority="1669" stopIfTrue="1">
      <formula>AI33=CléPersonnelle</formula>
    </cfRule>
    <cfRule type="expression" dxfId="1505" priority="1670" stopIfTrue="1">
      <formula>AI33=CléCongés</formula>
    </cfRule>
  </conditionalFormatting>
  <conditionalFormatting sqref="AM33:AP34">
    <cfRule type="expression" priority="1659" stopIfTrue="1">
      <formula>AM33=""</formula>
    </cfRule>
    <cfRule type="expression" dxfId="1504" priority="1660" stopIfTrue="1">
      <formula>AM33=CléPersonnalisée2</formula>
    </cfRule>
    <cfRule type="expression" dxfId="1503" priority="1661" stopIfTrue="1">
      <formula>AM33=CléPersonnalisée1</formula>
    </cfRule>
    <cfRule type="expression" dxfId="1502" priority="1662" stopIfTrue="1">
      <formula>AM33=CléMaladie</formula>
    </cfRule>
    <cfRule type="expression" dxfId="1501" priority="1663" stopIfTrue="1">
      <formula>AM33=CléPersonnelle</formula>
    </cfRule>
    <cfRule type="expression" dxfId="1500" priority="1664" stopIfTrue="1">
      <formula>AM33=CléCongés</formula>
    </cfRule>
  </conditionalFormatting>
  <conditionalFormatting sqref="AQ33:AR34">
    <cfRule type="expression" priority="1653" stopIfTrue="1">
      <formula>AQ33=""</formula>
    </cfRule>
    <cfRule type="expression" dxfId="1499" priority="1654" stopIfTrue="1">
      <formula>AQ33=CléPersonnalisée2</formula>
    </cfRule>
    <cfRule type="expression" dxfId="1498" priority="1655" stopIfTrue="1">
      <formula>AQ33=CléPersonnalisée1</formula>
    </cfRule>
    <cfRule type="expression" dxfId="1497" priority="1656" stopIfTrue="1">
      <formula>AQ33=CléMaladie</formula>
    </cfRule>
    <cfRule type="expression" dxfId="1496" priority="1657" stopIfTrue="1">
      <formula>AQ33=CléPersonnelle</formula>
    </cfRule>
    <cfRule type="expression" dxfId="1495" priority="1658" stopIfTrue="1">
      <formula>AQ33=CléCongés</formula>
    </cfRule>
  </conditionalFormatting>
  <conditionalFormatting sqref="AM35 AP35">
    <cfRule type="expression" priority="1647" stopIfTrue="1">
      <formula>AM35=""</formula>
    </cfRule>
    <cfRule type="expression" dxfId="1494" priority="1648" stopIfTrue="1">
      <formula>AM35=CléPersonnalisée2</formula>
    </cfRule>
    <cfRule type="expression" dxfId="1493" priority="1649" stopIfTrue="1">
      <formula>AM35=CléPersonnalisée1</formula>
    </cfRule>
    <cfRule type="expression" dxfId="1492" priority="1650" stopIfTrue="1">
      <formula>AM35=CléMaladie</formula>
    </cfRule>
    <cfRule type="expression" dxfId="1491" priority="1651" stopIfTrue="1">
      <formula>AM35=CléPersonnelle</formula>
    </cfRule>
    <cfRule type="expression" dxfId="1490" priority="1652" stopIfTrue="1">
      <formula>AM35=CléCongés</formula>
    </cfRule>
  </conditionalFormatting>
  <conditionalFormatting sqref="C37:AG39">
    <cfRule type="expression" priority="1640" stopIfTrue="1">
      <formula>C37=""</formula>
    </cfRule>
    <cfRule type="expression" dxfId="1489" priority="1641" stopIfTrue="1">
      <formula>C37=CléPersonnalisée2</formula>
    </cfRule>
    <cfRule type="expression" dxfId="1488" priority="1642" stopIfTrue="1">
      <formula>C37=CléPersonnalisée1</formula>
    </cfRule>
    <cfRule type="expression" dxfId="1487" priority="1643" stopIfTrue="1">
      <formula>C37=CléMaladie</formula>
    </cfRule>
    <cfRule type="expression" dxfId="1486" priority="1644" stopIfTrue="1">
      <formula>C37=CléPersonnelle</formula>
    </cfRule>
    <cfRule type="expression" dxfId="1485" priority="1645" stopIfTrue="1">
      <formula>C37=CléCongés</formula>
    </cfRule>
  </conditionalFormatting>
  <conditionalFormatting sqref="AH39">
    <cfRule type="dataBar" priority="1646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{4F069BE9-51BF-4A60-A506-D5AE16A9A5AA}</x14:id>
        </ext>
      </extLst>
    </cfRule>
  </conditionalFormatting>
  <conditionalFormatting sqref="AI39:AL39 AJ37:AL38">
    <cfRule type="expression" priority="1634" stopIfTrue="1">
      <formula>AI37=""</formula>
    </cfRule>
    <cfRule type="expression" dxfId="1484" priority="1635" stopIfTrue="1">
      <formula>AI37=CléPersonnalisée2</formula>
    </cfRule>
    <cfRule type="expression" dxfId="1483" priority="1636" stopIfTrue="1">
      <formula>AI37=CléPersonnalisée1</formula>
    </cfRule>
    <cfRule type="expression" dxfId="1482" priority="1637" stopIfTrue="1">
      <formula>AI37=CléMaladie</formula>
    </cfRule>
    <cfRule type="expression" dxfId="1481" priority="1638" stopIfTrue="1">
      <formula>AI37=CléPersonnelle</formula>
    </cfRule>
    <cfRule type="expression" dxfId="1480" priority="1639" stopIfTrue="1">
      <formula>AI37=CléCongés</formula>
    </cfRule>
  </conditionalFormatting>
  <conditionalFormatting sqref="AM37:AP38">
    <cfRule type="expression" priority="1628" stopIfTrue="1">
      <formula>AM37=""</formula>
    </cfRule>
    <cfRule type="expression" dxfId="1479" priority="1629" stopIfTrue="1">
      <formula>AM37=CléPersonnalisée2</formula>
    </cfRule>
    <cfRule type="expression" dxfId="1478" priority="1630" stopIfTrue="1">
      <formula>AM37=CléPersonnalisée1</formula>
    </cfRule>
    <cfRule type="expression" dxfId="1477" priority="1631" stopIfTrue="1">
      <formula>AM37=CléMaladie</formula>
    </cfRule>
    <cfRule type="expression" dxfId="1476" priority="1632" stopIfTrue="1">
      <formula>AM37=CléPersonnelle</formula>
    </cfRule>
    <cfRule type="expression" dxfId="1475" priority="1633" stopIfTrue="1">
      <formula>AM37=CléCongés</formula>
    </cfRule>
  </conditionalFormatting>
  <conditionalFormatting sqref="AQ37:AR38">
    <cfRule type="expression" priority="1622" stopIfTrue="1">
      <formula>AQ37=""</formula>
    </cfRule>
    <cfRule type="expression" dxfId="1474" priority="1623" stopIfTrue="1">
      <formula>AQ37=CléPersonnalisée2</formula>
    </cfRule>
    <cfRule type="expression" dxfId="1473" priority="1624" stopIfTrue="1">
      <formula>AQ37=CléPersonnalisée1</formula>
    </cfRule>
    <cfRule type="expression" dxfId="1472" priority="1625" stopIfTrue="1">
      <formula>AQ37=CléMaladie</formula>
    </cfRule>
    <cfRule type="expression" dxfId="1471" priority="1626" stopIfTrue="1">
      <formula>AQ37=CléPersonnelle</formula>
    </cfRule>
    <cfRule type="expression" dxfId="1470" priority="1627" stopIfTrue="1">
      <formula>AQ37=CléCongés</formula>
    </cfRule>
  </conditionalFormatting>
  <conditionalFormatting sqref="AM39 AP39">
    <cfRule type="expression" priority="1616" stopIfTrue="1">
      <formula>AM39=""</formula>
    </cfRule>
    <cfRule type="expression" dxfId="1469" priority="1617" stopIfTrue="1">
      <formula>AM39=CléPersonnalisée2</formula>
    </cfRule>
    <cfRule type="expression" dxfId="1468" priority="1618" stopIfTrue="1">
      <formula>AM39=CléPersonnalisée1</formula>
    </cfRule>
    <cfRule type="expression" dxfId="1467" priority="1619" stopIfTrue="1">
      <formula>AM39=CléMaladie</formula>
    </cfRule>
    <cfRule type="expression" dxfId="1466" priority="1620" stopIfTrue="1">
      <formula>AM39=CléPersonnelle</formula>
    </cfRule>
    <cfRule type="expression" dxfId="1465" priority="1621" stopIfTrue="1">
      <formula>AM39=CléCongés</formula>
    </cfRule>
  </conditionalFormatting>
  <conditionalFormatting sqref="C41:AG43">
    <cfRule type="expression" priority="1609" stopIfTrue="1">
      <formula>C41=""</formula>
    </cfRule>
    <cfRule type="expression" dxfId="1464" priority="1610" stopIfTrue="1">
      <formula>C41=CléPersonnalisée2</formula>
    </cfRule>
    <cfRule type="expression" dxfId="1463" priority="1611" stopIfTrue="1">
      <formula>C41=CléPersonnalisée1</formula>
    </cfRule>
    <cfRule type="expression" dxfId="1462" priority="1612" stopIfTrue="1">
      <formula>C41=CléMaladie</formula>
    </cfRule>
    <cfRule type="expression" dxfId="1461" priority="1613" stopIfTrue="1">
      <formula>C41=CléPersonnelle</formula>
    </cfRule>
    <cfRule type="expression" dxfId="1460" priority="1614" stopIfTrue="1">
      <formula>C41=CléCongés</formula>
    </cfRule>
  </conditionalFormatting>
  <conditionalFormatting sqref="AH43">
    <cfRule type="dataBar" priority="1615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{7E002875-9017-4804-AAE0-66E50CAB3E36}</x14:id>
        </ext>
      </extLst>
    </cfRule>
  </conditionalFormatting>
  <conditionalFormatting sqref="AI43:AL43 AJ41:AL42">
    <cfRule type="expression" priority="1603" stopIfTrue="1">
      <formula>AI41=""</formula>
    </cfRule>
    <cfRule type="expression" dxfId="1459" priority="1604" stopIfTrue="1">
      <formula>AI41=CléPersonnalisée2</formula>
    </cfRule>
    <cfRule type="expression" dxfId="1458" priority="1605" stopIfTrue="1">
      <formula>AI41=CléPersonnalisée1</formula>
    </cfRule>
    <cfRule type="expression" dxfId="1457" priority="1606" stopIfTrue="1">
      <formula>AI41=CléMaladie</formula>
    </cfRule>
    <cfRule type="expression" dxfId="1456" priority="1607" stopIfTrue="1">
      <formula>AI41=CléPersonnelle</formula>
    </cfRule>
    <cfRule type="expression" dxfId="1455" priority="1608" stopIfTrue="1">
      <formula>AI41=CléCongés</formula>
    </cfRule>
  </conditionalFormatting>
  <conditionalFormatting sqref="AM41:AP42">
    <cfRule type="expression" priority="1597" stopIfTrue="1">
      <formula>AM41=""</formula>
    </cfRule>
    <cfRule type="expression" dxfId="1454" priority="1598" stopIfTrue="1">
      <formula>AM41=CléPersonnalisée2</formula>
    </cfRule>
    <cfRule type="expression" dxfId="1453" priority="1599" stopIfTrue="1">
      <formula>AM41=CléPersonnalisée1</formula>
    </cfRule>
    <cfRule type="expression" dxfId="1452" priority="1600" stopIfTrue="1">
      <formula>AM41=CléMaladie</formula>
    </cfRule>
    <cfRule type="expression" dxfId="1451" priority="1601" stopIfTrue="1">
      <formula>AM41=CléPersonnelle</formula>
    </cfRule>
    <cfRule type="expression" dxfId="1450" priority="1602" stopIfTrue="1">
      <formula>AM41=CléCongés</formula>
    </cfRule>
  </conditionalFormatting>
  <conditionalFormatting sqref="AQ41:AR42">
    <cfRule type="expression" priority="1591" stopIfTrue="1">
      <formula>AQ41=""</formula>
    </cfRule>
    <cfRule type="expression" dxfId="1449" priority="1592" stopIfTrue="1">
      <formula>AQ41=CléPersonnalisée2</formula>
    </cfRule>
    <cfRule type="expression" dxfId="1448" priority="1593" stopIfTrue="1">
      <formula>AQ41=CléPersonnalisée1</formula>
    </cfRule>
    <cfRule type="expression" dxfId="1447" priority="1594" stopIfTrue="1">
      <formula>AQ41=CléMaladie</formula>
    </cfRule>
    <cfRule type="expression" dxfId="1446" priority="1595" stopIfTrue="1">
      <formula>AQ41=CléPersonnelle</formula>
    </cfRule>
    <cfRule type="expression" dxfId="1445" priority="1596" stopIfTrue="1">
      <formula>AQ41=CléCongés</formula>
    </cfRule>
  </conditionalFormatting>
  <conditionalFormatting sqref="AM43 AP43">
    <cfRule type="expression" priority="1585" stopIfTrue="1">
      <formula>AM43=""</formula>
    </cfRule>
    <cfRule type="expression" dxfId="1444" priority="1586" stopIfTrue="1">
      <formula>AM43=CléPersonnalisée2</formula>
    </cfRule>
    <cfRule type="expression" dxfId="1443" priority="1587" stopIfTrue="1">
      <formula>AM43=CléPersonnalisée1</formula>
    </cfRule>
    <cfRule type="expression" dxfId="1442" priority="1588" stopIfTrue="1">
      <formula>AM43=CléMaladie</formula>
    </cfRule>
    <cfRule type="expression" dxfId="1441" priority="1589" stopIfTrue="1">
      <formula>AM43=CléPersonnelle</formula>
    </cfRule>
    <cfRule type="expression" dxfId="1440" priority="1590" stopIfTrue="1">
      <formula>AM43=CléCongés</formula>
    </cfRule>
  </conditionalFormatting>
  <conditionalFormatting sqref="C45:AG47">
    <cfRule type="expression" priority="1578" stopIfTrue="1">
      <formula>C45=""</formula>
    </cfRule>
    <cfRule type="expression" dxfId="1439" priority="1579" stopIfTrue="1">
      <formula>C45=CléPersonnalisée2</formula>
    </cfRule>
    <cfRule type="expression" dxfId="1438" priority="1580" stopIfTrue="1">
      <formula>C45=CléPersonnalisée1</formula>
    </cfRule>
    <cfRule type="expression" dxfId="1437" priority="1581" stopIfTrue="1">
      <formula>C45=CléMaladie</formula>
    </cfRule>
    <cfRule type="expression" dxfId="1436" priority="1582" stopIfTrue="1">
      <formula>C45=CléPersonnelle</formula>
    </cfRule>
    <cfRule type="expression" dxfId="1435" priority="1583" stopIfTrue="1">
      <formula>C45=CléCongés</formula>
    </cfRule>
  </conditionalFormatting>
  <conditionalFormatting sqref="AH47">
    <cfRule type="dataBar" priority="1584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{95449779-6A98-4269-988B-5730DF5991F5}</x14:id>
        </ext>
      </extLst>
    </cfRule>
  </conditionalFormatting>
  <conditionalFormatting sqref="AI47:AL47 AJ45:AL46">
    <cfRule type="expression" priority="1572" stopIfTrue="1">
      <formula>AI45=""</formula>
    </cfRule>
    <cfRule type="expression" dxfId="1434" priority="1573" stopIfTrue="1">
      <formula>AI45=CléPersonnalisée2</formula>
    </cfRule>
    <cfRule type="expression" dxfId="1433" priority="1574" stopIfTrue="1">
      <formula>AI45=CléPersonnalisée1</formula>
    </cfRule>
    <cfRule type="expression" dxfId="1432" priority="1575" stopIfTrue="1">
      <formula>AI45=CléMaladie</formula>
    </cfRule>
    <cfRule type="expression" dxfId="1431" priority="1576" stopIfTrue="1">
      <formula>AI45=CléPersonnelle</formula>
    </cfRule>
    <cfRule type="expression" dxfId="1430" priority="1577" stopIfTrue="1">
      <formula>AI45=CléCongés</formula>
    </cfRule>
  </conditionalFormatting>
  <conditionalFormatting sqref="AM45:AP46">
    <cfRule type="expression" priority="1566" stopIfTrue="1">
      <formula>AM45=""</formula>
    </cfRule>
    <cfRule type="expression" dxfId="1429" priority="1567" stopIfTrue="1">
      <formula>AM45=CléPersonnalisée2</formula>
    </cfRule>
    <cfRule type="expression" dxfId="1428" priority="1568" stopIfTrue="1">
      <formula>AM45=CléPersonnalisée1</formula>
    </cfRule>
    <cfRule type="expression" dxfId="1427" priority="1569" stopIfTrue="1">
      <formula>AM45=CléMaladie</formula>
    </cfRule>
    <cfRule type="expression" dxfId="1426" priority="1570" stopIfTrue="1">
      <formula>AM45=CléPersonnelle</formula>
    </cfRule>
    <cfRule type="expression" dxfId="1425" priority="1571" stopIfTrue="1">
      <formula>AM45=CléCongés</formula>
    </cfRule>
  </conditionalFormatting>
  <conditionalFormatting sqref="AQ45:AR46">
    <cfRule type="expression" priority="1560" stopIfTrue="1">
      <formula>AQ45=""</formula>
    </cfRule>
    <cfRule type="expression" dxfId="1424" priority="1561" stopIfTrue="1">
      <formula>AQ45=CléPersonnalisée2</formula>
    </cfRule>
    <cfRule type="expression" dxfId="1423" priority="1562" stopIfTrue="1">
      <formula>AQ45=CléPersonnalisée1</formula>
    </cfRule>
    <cfRule type="expression" dxfId="1422" priority="1563" stopIfTrue="1">
      <formula>AQ45=CléMaladie</formula>
    </cfRule>
    <cfRule type="expression" dxfId="1421" priority="1564" stopIfTrue="1">
      <formula>AQ45=CléPersonnelle</formula>
    </cfRule>
    <cfRule type="expression" dxfId="1420" priority="1565" stopIfTrue="1">
      <formula>AQ45=CléCongés</formula>
    </cfRule>
  </conditionalFormatting>
  <conditionalFormatting sqref="AM47 AP47">
    <cfRule type="expression" priority="1554" stopIfTrue="1">
      <formula>AM47=""</formula>
    </cfRule>
    <cfRule type="expression" dxfId="1419" priority="1555" stopIfTrue="1">
      <formula>AM47=CléPersonnalisée2</formula>
    </cfRule>
    <cfRule type="expression" dxfId="1418" priority="1556" stopIfTrue="1">
      <formula>AM47=CléPersonnalisée1</formula>
    </cfRule>
    <cfRule type="expression" dxfId="1417" priority="1557" stopIfTrue="1">
      <formula>AM47=CléMaladie</formula>
    </cfRule>
    <cfRule type="expression" dxfId="1416" priority="1558" stopIfTrue="1">
      <formula>AM47=CléPersonnelle</formula>
    </cfRule>
    <cfRule type="expression" dxfId="1415" priority="1559" stopIfTrue="1">
      <formula>AM47=CléCongés</formula>
    </cfRule>
  </conditionalFormatting>
  <conditionalFormatting sqref="C49:AG51">
    <cfRule type="expression" priority="1547" stopIfTrue="1">
      <formula>C49=""</formula>
    </cfRule>
    <cfRule type="expression" dxfId="1414" priority="1548" stopIfTrue="1">
      <formula>C49=CléPersonnalisée2</formula>
    </cfRule>
    <cfRule type="expression" dxfId="1413" priority="1549" stopIfTrue="1">
      <formula>C49=CléPersonnalisée1</formula>
    </cfRule>
    <cfRule type="expression" dxfId="1412" priority="1550" stopIfTrue="1">
      <formula>C49=CléMaladie</formula>
    </cfRule>
    <cfRule type="expression" dxfId="1411" priority="1551" stopIfTrue="1">
      <formula>C49=CléPersonnelle</formula>
    </cfRule>
    <cfRule type="expression" dxfId="1410" priority="1552" stopIfTrue="1">
      <formula>C49=CléCongés</formula>
    </cfRule>
  </conditionalFormatting>
  <conditionalFormatting sqref="AH51">
    <cfRule type="dataBar" priority="1553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{480B2ED8-62AB-4127-8C1D-8EBD8EAA1B92}</x14:id>
        </ext>
      </extLst>
    </cfRule>
  </conditionalFormatting>
  <conditionalFormatting sqref="AI51:AL51 AJ49:AL50">
    <cfRule type="expression" priority="1541" stopIfTrue="1">
      <formula>AI49=""</formula>
    </cfRule>
    <cfRule type="expression" dxfId="1409" priority="1542" stopIfTrue="1">
      <formula>AI49=CléPersonnalisée2</formula>
    </cfRule>
    <cfRule type="expression" dxfId="1408" priority="1543" stopIfTrue="1">
      <formula>AI49=CléPersonnalisée1</formula>
    </cfRule>
    <cfRule type="expression" dxfId="1407" priority="1544" stopIfTrue="1">
      <formula>AI49=CléMaladie</formula>
    </cfRule>
    <cfRule type="expression" dxfId="1406" priority="1545" stopIfTrue="1">
      <formula>AI49=CléPersonnelle</formula>
    </cfRule>
    <cfRule type="expression" dxfId="1405" priority="1546" stopIfTrue="1">
      <formula>AI49=CléCongés</formula>
    </cfRule>
  </conditionalFormatting>
  <conditionalFormatting sqref="AM49:AP50">
    <cfRule type="expression" priority="1535" stopIfTrue="1">
      <formula>AM49=""</formula>
    </cfRule>
    <cfRule type="expression" dxfId="1404" priority="1536" stopIfTrue="1">
      <formula>AM49=CléPersonnalisée2</formula>
    </cfRule>
    <cfRule type="expression" dxfId="1403" priority="1537" stopIfTrue="1">
      <formula>AM49=CléPersonnalisée1</formula>
    </cfRule>
    <cfRule type="expression" dxfId="1402" priority="1538" stopIfTrue="1">
      <formula>AM49=CléMaladie</formula>
    </cfRule>
    <cfRule type="expression" dxfId="1401" priority="1539" stopIfTrue="1">
      <formula>AM49=CléPersonnelle</formula>
    </cfRule>
    <cfRule type="expression" dxfId="1400" priority="1540" stopIfTrue="1">
      <formula>AM49=CléCongés</formula>
    </cfRule>
  </conditionalFormatting>
  <conditionalFormatting sqref="AQ49:AR50">
    <cfRule type="expression" priority="1529" stopIfTrue="1">
      <formula>AQ49=""</formula>
    </cfRule>
    <cfRule type="expression" dxfId="1399" priority="1530" stopIfTrue="1">
      <formula>AQ49=CléPersonnalisée2</formula>
    </cfRule>
    <cfRule type="expression" dxfId="1398" priority="1531" stopIfTrue="1">
      <formula>AQ49=CléPersonnalisée1</formula>
    </cfRule>
    <cfRule type="expression" dxfId="1397" priority="1532" stopIfTrue="1">
      <formula>AQ49=CléMaladie</formula>
    </cfRule>
    <cfRule type="expression" dxfId="1396" priority="1533" stopIfTrue="1">
      <formula>AQ49=CléPersonnelle</formula>
    </cfRule>
    <cfRule type="expression" dxfId="1395" priority="1534" stopIfTrue="1">
      <formula>AQ49=CléCongés</formula>
    </cfRule>
  </conditionalFormatting>
  <conditionalFormatting sqref="AM51 AP51">
    <cfRule type="expression" priority="1523" stopIfTrue="1">
      <formula>AM51=""</formula>
    </cfRule>
    <cfRule type="expression" dxfId="1394" priority="1524" stopIfTrue="1">
      <formula>AM51=CléPersonnalisée2</formula>
    </cfRule>
    <cfRule type="expression" dxfId="1393" priority="1525" stopIfTrue="1">
      <formula>AM51=CléPersonnalisée1</formula>
    </cfRule>
    <cfRule type="expression" dxfId="1392" priority="1526" stopIfTrue="1">
      <formula>AM51=CléMaladie</formula>
    </cfRule>
    <cfRule type="expression" dxfId="1391" priority="1527" stopIfTrue="1">
      <formula>AM51=CléPersonnelle</formula>
    </cfRule>
    <cfRule type="expression" dxfId="1390" priority="1528" stopIfTrue="1">
      <formula>AM51=CléCongés</formula>
    </cfRule>
  </conditionalFormatting>
  <conditionalFormatting sqref="C53:AG55">
    <cfRule type="expression" priority="1516" stopIfTrue="1">
      <formula>C53=""</formula>
    </cfRule>
    <cfRule type="expression" dxfId="1389" priority="1517" stopIfTrue="1">
      <formula>C53=CléPersonnalisée2</formula>
    </cfRule>
    <cfRule type="expression" dxfId="1388" priority="1518" stopIfTrue="1">
      <formula>C53=CléPersonnalisée1</formula>
    </cfRule>
    <cfRule type="expression" dxfId="1387" priority="1519" stopIfTrue="1">
      <formula>C53=CléMaladie</formula>
    </cfRule>
    <cfRule type="expression" dxfId="1386" priority="1520" stopIfTrue="1">
      <formula>C53=CléPersonnelle</formula>
    </cfRule>
    <cfRule type="expression" dxfId="1385" priority="1521" stopIfTrue="1">
      <formula>C53=CléCongés</formula>
    </cfRule>
  </conditionalFormatting>
  <conditionalFormatting sqref="AH55">
    <cfRule type="dataBar" priority="1522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{7EA0F0EC-2940-4356-9A84-E4E358A6B432}</x14:id>
        </ext>
      </extLst>
    </cfRule>
  </conditionalFormatting>
  <conditionalFormatting sqref="AI55:AL55 AJ53:AL54">
    <cfRule type="expression" priority="1510" stopIfTrue="1">
      <formula>AI53=""</formula>
    </cfRule>
    <cfRule type="expression" dxfId="1384" priority="1511" stopIfTrue="1">
      <formula>AI53=CléPersonnalisée2</formula>
    </cfRule>
    <cfRule type="expression" dxfId="1383" priority="1512" stopIfTrue="1">
      <formula>AI53=CléPersonnalisée1</formula>
    </cfRule>
    <cfRule type="expression" dxfId="1382" priority="1513" stopIfTrue="1">
      <formula>AI53=CléMaladie</formula>
    </cfRule>
    <cfRule type="expression" dxfId="1381" priority="1514" stopIfTrue="1">
      <formula>AI53=CléPersonnelle</formula>
    </cfRule>
    <cfRule type="expression" dxfId="1380" priority="1515" stopIfTrue="1">
      <formula>AI53=CléCongés</formula>
    </cfRule>
  </conditionalFormatting>
  <conditionalFormatting sqref="AM53:AP54">
    <cfRule type="expression" priority="1504" stopIfTrue="1">
      <formula>AM53=""</formula>
    </cfRule>
    <cfRule type="expression" dxfId="1379" priority="1505" stopIfTrue="1">
      <formula>AM53=CléPersonnalisée2</formula>
    </cfRule>
    <cfRule type="expression" dxfId="1378" priority="1506" stopIfTrue="1">
      <formula>AM53=CléPersonnalisée1</formula>
    </cfRule>
    <cfRule type="expression" dxfId="1377" priority="1507" stopIfTrue="1">
      <formula>AM53=CléMaladie</formula>
    </cfRule>
    <cfRule type="expression" dxfId="1376" priority="1508" stopIfTrue="1">
      <formula>AM53=CléPersonnelle</formula>
    </cfRule>
    <cfRule type="expression" dxfId="1375" priority="1509" stopIfTrue="1">
      <formula>AM53=CléCongés</formula>
    </cfRule>
  </conditionalFormatting>
  <conditionalFormatting sqref="AQ53:AR54">
    <cfRule type="expression" priority="1498" stopIfTrue="1">
      <formula>AQ53=""</formula>
    </cfRule>
    <cfRule type="expression" dxfId="1374" priority="1499" stopIfTrue="1">
      <formula>AQ53=CléPersonnalisée2</formula>
    </cfRule>
    <cfRule type="expression" dxfId="1373" priority="1500" stopIfTrue="1">
      <formula>AQ53=CléPersonnalisée1</formula>
    </cfRule>
    <cfRule type="expression" dxfId="1372" priority="1501" stopIfTrue="1">
      <formula>AQ53=CléMaladie</formula>
    </cfRule>
    <cfRule type="expression" dxfId="1371" priority="1502" stopIfTrue="1">
      <formula>AQ53=CléPersonnelle</formula>
    </cfRule>
    <cfRule type="expression" dxfId="1370" priority="1503" stopIfTrue="1">
      <formula>AQ53=CléCongés</formula>
    </cfRule>
  </conditionalFormatting>
  <conditionalFormatting sqref="AM55 AP55">
    <cfRule type="expression" priority="1492" stopIfTrue="1">
      <formula>AM55=""</formula>
    </cfRule>
    <cfRule type="expression" dxfId="1369" priority="1493" stopIfTrue="1">
      <formula>AM55=CléPersonnalisée2</formula>
    </cfRule>
    <cfRule type="expression" dxfId="1368" priority="1494" stopIfTrue="1">
      <formula>AM55=CléPersonnalisée1</formula>
    </cfRule>
    <cfRule type="expression" dxfId="1367" priority="1495" stopIfTrue="1">
      <formula>AM55=CléMaladie</formula>
    </cfRule>
    <cfRule type="expression" dxfId="1366" priority="1496" stopIfTrue="1">
      <formula>AM55=CléPersonnelle</formula>
    </cfRule>
    <cfRule type="expression" dxfId="1365" priority="1497" stopIfTrue="1">
      <formula>AM55=CléCongés</formula>
    </cfRule>
  </conditionalFormatting>
  <conditionalFormatting sqref="C61:AG63">
    <cfRule type="expression" priority="1485" stopIfTrue="1">
      <formula>C61=""</formula>
    </cfRule>
    <cfRule type="expression" dxfId="1364" priority="1486" stopIfTrue="1">
      <formula>C61=CléPersonnalisée2</formula>
    </cfRule>
    <cfRule type="expression" dxfId="1363" priority="1487" stopIfTrue="1">
      <formula>C61=CléPersonnalisée1</formula>
    </cfRule>
    <cfRule type="expression" dxfId="1362" priority="1488" stopIfTrue="1">
      <formula>C61=CléMaladie</formula>
    </cfRule>
    <cfRule type="expression" dxfId="1361" priority="1489" stopIfTrue="1">
      <formula>C61=CléPersonnelle</formula>
    </cfRule>
    <cfRule type="expression" dxfId="1360" priority="1490" stopIfTrue="1">
      <formula>C61=CléCongés</formula>
    </cfRule>
  </conditionalFormatting>
  <conditionalFormatting sqref="AH63">
    <cfRule type="dataBar" priority="1491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{EFDBFF1A-A307-4F68-877E-1D172A7C8048}</x14:id>
        </ext>
      </extLst>
    </cfRule>
  </conditionalFormatting>
  <conditionalFormatting sqref="AI63:AL63 AJ61:AL62">
    <cfRule type="expression" priority="1479" stopIfTrue="1">
      <formula>AI61=""</formula>
    </cfRule>
    <cfRule type="expression" dxfId="1359" priority="1480" stopIfTrue="1">
      <formula>AI61=CléPersonnalisée2</formula>
    </cfRule>
    <cfRule type="expression" dxfId="1358" priority="1481" stopIfTrue="1">
      <formula>AI61=CléPersonnalisée1</formula>
    </cfRule>
    <cfRule type="expression" dxfId="1357" priority="1482" stopIfTrue="1">
      <formula>AI61=CléMaladie</formula>
    </cfRule>
    <cfRule type="expression" dxfId="1356" priority="1483" stopIfTrue="1">
      <formula>AI61=CléPersonnelle</formula>
    </cfRule>
    <cfRule type="expression" dxfId="1355" priority="1484" stopIfTrue="1">
      <formula>AI61=CléCongés</formula>
    </cfRule>
  </conditionalFormatting>
  <conditionalFormatting sqref="AM61:AP62">
    <cfRule type="expression" priority="1473" stopIfTrue="1">
      <formula>AM61=""</formula>
    </cfRule>
    <cfRule type="expression" dxfId="1354" priority="1474" stopIfTrue="1">
      <formula>AM61=CléPersonnalisée2</formula>
    </cfRule>
    <cfRule type="expression" dxfId="1353" priority="1475" stopIfTrue="1">
      <formula>AM61=CléPersonnalisée1</formula>
    </cfRule>
    <cfRule type="expression" dxfId="1352" priority="1476" stopIfTrue="1">
      <formula>AM61=CléMaladie</formula>
    </cfRule>
    <cfRule type="expression" dxfId="1351" priority="1477" stopIfTrue="1">
      <formula>AM61=CléPersonnelle</formula>
    </cfRule>
    <cfRule type="expression" dxfId="1350" priority="1478" stopIfTrue="1">
      <formula>AM61=CléCongés</formula>
    </cfRule>
  </conditionalFormatting>
  <conditionalFormatting sqref="AQ61:AR62">
    <cfRule type="expression" priority="1467" stopIfTrue="1">
      <formula>AQ61=""</formula>
    </cfRule>
    <cfRule type="expression" dxfId="1349" priority="1468" stopIfTrue="1">
      <formula>AQ61=CléPersonnalisée2</formula>
    </cfRule>
    <cfRule type="expression" dxfId="1348" priority="1469" stopIfTrue="1">
      <formula>AQ61=CléPersonnalisée1</formula>
    </cfRule>
    <cfRule type="expression" dxfId="1347" priority="1470" stopIfTrue="1">
      <formula>AQ61=CléMaladie</formula>
    </cfRule>
    <cfRule type="expression" dxfId="1346" priority="1471" stopIfTrue="1">
      <formula>AQ61=CléPersonnelle</formula>
    </cfRule>
    <cfRule type="expression" dxfId="1345" priority="1472" stopIfTrue="1">
      <formula>AQ61=CléCongés</formula>
    </cfRule>
  </conditionalFormatting>
  <conditionalFormatting sqref="AM63 AP63">
    <cfRule type="expression" priority="1461" stopIfTrue="1">
      <formula>AM63=""</formula>
    </cfRule>
    <cfRule type="expression" dxfId="1344" priority="1462" stopIfTrue="1">
      <formula>AM63=CléPersonnalisée2</formula>
    </cfRule>
    <cfRule type="expression" dxfId="1343" priority="1463" stopIfTrue="1">
      <formula>AM63=CléPersonnalisée1</formula>
    </cfRule>
    <cfRule type="expression" dxfId="1342" priority="1464" stopIfTrue="1">
      <formula>AM63=CléMaladie</formula>
    </cfRule>
    <cfRule type="expression" dxfId="1341" priority="1465" stopIfTrue="1">
      <formula>AM63=CléPersonnelle</formula>
    </cfRule>
    <cfRule type="expression" dxfId="1340" priority="1466" stopIfTrue="1">
      <formula>AM63=CléCongés</formula>
    </cfRule>
  </conditionalFormatting>
  <conditionalFormatting sqref="AO39">
    <cfRule type="expression" priority="1326" stopIfTrue="1">
      <formula>AO39=""</formula>
    </cfRule>
    <cfRule type="expression" dxfId="1339" priority="1327" stopIfTrue="1">
      <formula>AO39=CléPersonnalisée2</formula>
    </cfRule>
    <cfRule type="expression" dxfId="1338" priority="1328" stopIfTrue="1">
      <formula>AO39=CléPersonnalisée1</formula>
    </cfRule>
    <cfRule type="expression" dxfId="1337" priority="1329" stopIfTrue="1">
      <formula>AO39=CléMaladie</formula>
    </cfRule>
    <cfRule type="expression" dxfId="1336" priority="1330" stopIfTrue="1">
      <formula>AO39=CléPersonnelle</formula>
    </cfRule>
    <cfRule type="expression" dxfId="1335" priority="1331" stopIfTrue="1">
      <formula>AO39=CléCongés</formula>
    </cfRule>
  </conditionalFormatting>
  <conditionalFormatting sqref="C69:AG71">
    <cfRule type="expression" priority="1454" stopIfTrue="1">
      <formula>C69=""</formula>
    </cfRule>
    <cfRule type="expression" dxfId="1334" priority="1455" stopIfTrue="1">
      <formula>C69=CléPersonnalisée2</formula>
    </cfRule>
    <cfRule type="expression" dxfId="1333" priority="1456" stopIfTrue="1">
      <formula>C69=CléPersonnalisée1</formula>
    </cfRule>
    <cfRule type="expression" dxfId="1332" priority="1457" stopIfTrue="1">
      <formula>C69=CléMaladie</formula>
    </cfRule>
    <cfRule type="expression" dxfId="1331" priority="1458" stopIfTrue="1">
      <formula>C69=CléPersonnelle</formula>
    </cfRule>
    <cfRule type="expression" dxfId="1330" priority="1459" stopIfTrue="1">
      <formula>C69=CléCongés</formula>
    </cfRule>
  </conditionalFormatting>
  <conditionalFormatting sqref="AH71">
    <cfRule type="dataBar" priority="1460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{D20526C9-FDEB-43D0-BB4A-E27CD31FB1E4}</x14:id>
        </ext>
      </extLst>
    </cfRule>
  </conditionalFormatting>
  <conditionalFormatting sqref="AI71:AL71 AJ69:AL70">
    <cfRule type="expression" priority="1448" stopIfTrue="1">
      <formula>AI69=""</formula>
    </cfRule>
    <cfRule type="expression" dxfId="1329" priority="1449" stopIfTrue="1">
      <formula>AI69=CléPersonnalisée2</formula>
    </cfRule>
    <cfRule type="expression" dxfId="1328" priority="1450" stopIfTrue="1">
      <formula>AI69=CléPersonnalisée1</formula>
    </cfRule>
    <cfRule type="expression" dxfId="1327" priority="1451" stopIfTrue="1">
      <formula>AI69=CléMaladie</formula>
    </cfRule>
    <cfRule type="expression" dxfId="1326" priority="1452" stopIfTrue="1">
      <formula>AI69=CléPersonnelle</formula>
    </cfRule>
    <cfRule type="expression" dxfId="1325" priority="1453" stopIfTrue="1">
      <formula>AI69=CléCongés</formula>
    </cfRule>
  </conditionalFormatting>
  <conditionalFormatting sqref="AM69:AP70">
    <cfRule type="expression" priority="1442" stopIfTrue="1">
      <formula>AM69=""</formula>
    </cfRule>
    <cfRule type="expression" dxfId="1324" priority="1443" stopIfTrue="1">
      <formula>AM69=CléPersonnalisée2</formula>
    </cfRule>
    <cfRule type="expression" dxfId="1323" priority="1444" stopIfTrue="1">
      <formula>AM69=CléPersonnalisée1</formula>
    </cfRule>
    <cfRule type="expression" dxfId="1322" priority="1445" stopIfTrue="1">
      <formula>AM69=CléMaladie</formula>
    </cfRule>
    <cfRule type="expression" dxfId="1321" priority="1446" stopIfTrue="1">
      <formula>AM69=CléPersonnelle</formula>
    </cfRule>
    <cfRule type="expression" dxfId="1320" priority="1447" stopIfTrue="1">
      <formula>AM69=CléCongés</formula>
    </cfRule>
  </conditionalFormatting>
  <conditionalFormatting sqref="AQ69:AR70">
    <cfRule type="expression" priority="1436" stopIfTrue="1">
      <formula>AQ69=""</formula>
    </cfRule>
    <cfRule type="expression" dxfId="1319" priority="1437" stopIfTrue="1">
      <formula>AQ69=CléPersonnalisée2</formula>
    </cfRule>
    <cfRule type="expression" dxfId="1318" priority="1438" stopIfTrue="1">
      <formula>AQ69=CléPersonnalisée1</formula>
    </cfRule>
    <cfRule type="expression" dxfId="1317" priority="1439" stopIfTrue="1">
      <formula>AQ69=CléMaladie</formula>
    </cfRule>
    <cfRule type="expression" dxfId="1316" priority="1440" stopIfTrue="1">
      <formula>AQ69=CléPersonnelle</formula>
    </cfRule>
    <cfRule type="expression" dxfId="1315" priority="1441" stopIfTrue="1">
      <formula>AQ69=CléCongés</formula>
    </cfRule>
  </conditionalFormatting>
  <conditionalFormatting sqref="AM71 AP71">
    <cfRule type="expression" priority="1430" stopIfTrue="1">
      <formula>AM71=""</formula>
    </cfRule>
    <cfRule type="expression" dxfId="1314" priority="1431" stopIfTrue="1">
      <formula>AM71=CléPersonnalisée2</formula>
    </cfRule>
    <cfRule type="expression" dxfId="1313" priority="1432" stopIfTrue="1">
      <formula>AM71=CléPersonnalisée1</formula>
    </cfRule>
    <cfRule type="expression" dxfId="1312" priority="1433" stopIfTrue="1">
      <formula>AM71=CléMaladie</formula>
    </cfRule>
    <cfRule type="expression" dxfId="1311" priority="1434" stopIfTrue="1">
      <formula>AM71=CléPersonnelle</formula>
    </cfRule>
    <cfRule type="expression" dxfId="1310" priority="1435" stopIfTrue="1">
      <formula>AM71=CléCongés</formula>
    </cfRule>
  </conditionalFormatting>
  <conditionalFormatting sqref="AI23">
    <cfRule type="expression" priority="1418" stopIfTrue="1">
      <formula>AI23=""</formula>
    </cfRule>
    <cfRule type="expression" dxfId="1309" priority="1419" stopIfTrue="1">
      <formula>AI23=CléPersonnalisée2</formula>
    </cfRule>
    <cfRule type="expression" dxfId="1308" priority="1420" stopIfTrue="1">
      <formula>AI23=CléPersonnalisée1</formula>
    </cfRule>
    <cfRule type="expression" dxfId="1307" priority="1421" stopIfTrue="1">
      <formula>AI23=CléMaladie</formula>
    </cfRule>
    <cfRule type="expression" dxfId="1306" priority="1422" stopIfTrue="1">
      <formula>AI23=CléPersonnelle</formula>
    </cfRule>
    <cfRule type="expression" dxfId="1305" priority="1423" stopIfTrue="1">
      <formula>AI23=CléCongés</formula>
    </cfRule>
  </conditionalFormatting>
  <conditionalFormatting sqref="AI19">
    <cfRule type="expression" priority="1424" stopIfTrue="1">
      <formula>AI19=""</formula>
    </cfRule>
    <cfRule type="expression" dxfId="1304" priority="1425" stopIfTrue="1">
      <formula>AI19=CléPersonnalisée2</formula>
    </cfRule>
    <cfRule type="expression" dxfId="1303" priority="1426" stopIfTrue="1">
      <formula>AI19=CléPersonnalisée1</formula>
    </cfRule>
    <cfRule type="expression" dxfId="1302" priority="1427" stopIfTrue="1">
      <formula>AI19=CléMaladie</formula>
    </cfRule>
    <cfRule type="expression" dxfId="1301" priority="1428" stopIfTrue="1">
      <formula>AI19=CléPersonnelle</formula>
    </cfRule>
    <cfRule type="expression" dxfId="1300" priority="1429" stopIfTrue="1">
      <formula>AI19=CléCongés</formula>
    </cfRule>
  </conditionalFormatting>
  <conditionalFormatting sqref="AI25:AI26">
    <cfRule type="expression" priority="1272" stopIfTrue="1">
      <formula>AI25=""</formula>
    </cfRule>
    <cfRule type="expression" dxfId="1299" priority="1273" stopIfTrue="1">
      <formula>AI25=CléPersonnalisée2</formula>
    </cfRule>
    <cfRule type="expression" dxfId="1298" priority="1274" stopIfTrue="1">
      <formula>AI25=CléPersonnalisée1</formula>
    </cfRule>
    <cfRule type="expression" dxfId="1297" priority="1275" stopIfTrue="1">
      <formula>AI25=CléMaladie</formula>
    </cfRule>
    <cfRule type="expression" dxfId="1296" priority="1276" stopIfTrue="1">
      <formula>AI25=CléPersonnelle</formula>
    </cfRule>
    <cfRule type="expression" dxfId="1295" priority="1277" stopIfTrue="1">
      <formula>AI25=CléCongés</formula>
    </cfRule>
  </conditionalFormatting>
  <conditionalFormatting sqref="AH19">
    <cfRule type="dataBar" priority="1417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{E088E68C-AE00-4CA7-BA27-06EC0CB7283F}</x14:id>
        </ext>
      </extLst>
    </cfRule>
  </conditionalFormatting>
  <conditionalFormatting sqref="AH23">
    <cfRule type="dataBar" priority="1416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{37BE2CE8-578E-41F8-8F57-08BB1F621E57}</x14:id>
        </ext>
      </extLst>
    </cfRule>
  </conditionalFormatting>
  <conditionalFormatting sqref="AM17:AP18">
    <cfRule type="expression" priority="1410" stopIfTrue="1">
      <formula>AM17=""</formula>
    </cfRule>
    <cfRule type="expression" dxfId="1294" priority="1411" stopIfTrue="1">
      <formula>AM17=CléPersonnalisée2</formula>
    </cfRule>
    <cfRule type="expression" dxfId="1293" priority="1412" stopIfTrue="1">
      <formula>AM17=CléPersonnalisée1</formula>
    </cfRule>
    <cfRule type="expression" dxfId="1292" priority="1413" stopIfTrue="1">
      <formula>AM17=CléMaladie</formula>
    </cfRule>
    <cfRule type="expression" dxfId="1291" priority="1414" stopIfTrue="1">
      <formula>AM17=CléPersonnelle</formula>
    </cfRule>
    <cfRule type="expression" dxfId="1290" priority="1415" stopIfTrue="1">
      <formula>AM17=CléCongés</formula>
    </cfRule>
  </conditionalFormatting>
  <conditionalFormatting sqref="AQ17:AR18">
    <cfRule type="expression" priority="1404" stopIfTrue="1">
      <formula>AQ17=""</formula>
    </cfRule>
    <cfRule type="expression" dxfId="1289" priority="1405" stopIfTrue="1">
      <formula>AQ17=CléPersonnalisée2</formula>
    </cfRule>
    <cfRule type="expression" dxfId="1288" priority="1406" stopIfTrue="1">
      <formula>AQ17=CléPersonnalisée1</formula>
    </cfRule>
    <cfRule type="expression" dxfId="1287" priority="1407" stopIfTrue="1">
      <formula>AQ17=CléMaladie</formula>
    </cfRule>
    <cfRule type="expression" dxfId="1286" priority="1408" stopIfTrue="1">
      <formula>AQ17=CléPersonnelle</formula>
    </cfRule>
    <cfRule type="expression" dxfId="1285" priority="1409" stopIfTrue="1">
      <formula>AQ17=CléCongés</formula>
    </cfRule>
  </conditionalFormatting>
  <conditionalFormatting sqref="AM19 AP19">
    <cfRule type="expression" priority="1398" stopIfTrue="1">
      <formula>AM19=""</formula>
    </cfRule>
    <cfRule type="expression" dxfId="1284" priority="1399" stopIfTrue="1">
      <formula>AM19=CléPersonnalisée2</formula>
    </cfRule>
    <cfRule type="expression" dxfId="1283" priority="1400" stopIfTrue="1">
      <formula>AM19=CléPersonnalisée1</formula>
    </cfRule>
    <cfRule type="expression" dxfId="1282" priority="1401" stopIfTrue="1">
      <formula>AM19=CléMaladie</formula>
    </cfRule>
    <cfRule type="expression" dxfId="1281" priority="1402" stopIfTrue="1">
      <formula>AM19=CléPersonnelle</formula>
    </cfRule>
    <cfRule type="expression" dxfId="1280" priority="1403" stopIfTrue="1">
      <formula>AM19=CléCongés</formula>
    </cfRule>
  </conditionalFormatting>
  <conditionalFormatting sqref="AO31">
    <cfRule type="expression" priority="1338" stopIfTrue="1">
      <formula>AO31=""</formula>
    </cfRule>
    <cfRule type="expression" dxfId="1279" priority="1339" stopIfTrue="1">
      <formula>AO31=CléPersonnalisée2</formula>
    </cfRule>
    <cfRule type="expression" dxfId="1278" priority="1340" stopIfTrue="1">
      <formula>AO31=CléPersonnalisée1</formula>
    </cfRule>
    <cfRule type="expression" dxfId="1277" priority="1341" stopIfTrue="1">
      <formula>AO31=CléMaladie</formula>
    </cfRule>
    <cfRule type="expression" dxfId="1276" priority="1342" stopIfTrue="1">
      <formula>AO31=CléPersonnelle</formula>
    </cfRule>
    <cfRule type="expression" dxfId="1275" priority="1343" stopIfTrue="1">
      <formula>AO31=CléCongés</formula>
    </cfRule>
  </conditionalFormatting>
  <conditionalFormatting sqref="AM21:AP22">
    <cfRule type="expression" priority="1392" stopIfTrue="1">
      <formula>AM21=""</formula>
    </cfRule>
    <cfRule type="expression" dxfId="1274" priority="1393" stopIfTrue="1">
      <formula>AM21=CléPersonnalisée2</formula>
    </cfRule>
    <cfRule type="expression" dxfId="1273" priority="1394" stopIfTrue="1">
      <formula>AM21=CléPersonnalisée1</formula>
    </cfRule>
    <cfRule type="expression" dxfId="1272" priority="1395" stopIfTrue="1">
      <formula>AM21=CléMaladie</formula>
    </cfRule>
    <cfRule type="expression" dxfId="1271" priority="1396" stopIfTrue="1">
      <formula>AM21=CléPersonnelle</formula>
    </cfRule>
    <cfRule type="expression" dxfId="1270" priority="1397" stopIfTrue="1">
      <formula>AM21=CléCongés</formula>
    </cfRule>
  </conditionalFormatting>
  <conditionalFormatting sqref="AQ21:AR22">
    <cfRule type="expression" priority="1386" stopIfTrue="1">
      <formula>AQ21=""</formula>
    </cfRule>
    <cfRule type="expression" dxfId="1269" priority="1387" stopIfTrue="1">
      <formula>AQ21=CléPersonnalisée2</formula>
    </cfRule>
    <cfRule type="expression" dxfId="1268" priority="1388" stopIfTrue="1">
      <formula>AQ21=CléPersonnalisée1</formula>
    </cfRule>
    <cfRule type="expression" dxfId="1267" priority="1389" stopIfTrue="1">
      <formula>AQ21=CléMaladie</formula>
    </cfRule>
    <cfRule type="expression" dxfId="1266" priority="1390" stopIfTrue="1">
      <formula>AQ21=CléPersonnelle</formula>
    </cfRule>
    <cfRule type="expression" dxfId="1265" priority="1391" stopIfTrue="1">
      <formula>AQ21=CléCongés</formula>
    </cfRule>
  </conditionalFormatting>
  <conditionalFormatting sqref="AM23 AP23">
    <cfRule type="expression" priority="1380" stopIfTrue="1">
      <formula>AM23=""</formula>
    </cfRule>
    <cfRule type="expression" dxfId="1264" priority="1381" stopIfTrue="1">
      <formula>AM23=CléPersonnalisée2</formula>
    </cfRule>
    <cfRule type="expression" dxfId="1263" priority="1382" stopIfTrue="1">
      <formula>AM23=CléPersonnalisée1</formula>
    </cfRule>
    <cfRule type="expression" dxfId="1262" priority="1383" stopIfTrue="1">
      <formula>AM23=CléMaladie</formula>
    </cfRule>
    <cfRule type="expression" dxfId="1261" priority="1384" stopIfTrue="1">
      <formula>AM23=CléPersonnelle</formula>
    </cfRule>
    <cfRule type="expression" dxfId="1260" priority="1385" stopIfTrue="1">
      <formula>AM23=CléCongés</formula>
    </cfRule>
  </conditionalFormatting>
  <conditionalFormatting sqref="AH17:AH18">
    <cfRule type="dataBar" priority="1379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{E5C1D422-2A45-4A2F-8E6D-7D1EED6108EA}</x14:id>
        </ext>
      </extLst>
    </cfRule>
  </conditionalFormatting>
  <conditionalFormatting sqref="AH21:AH22">
    <cfRule type="dataBar" priority="1378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{B98DA973-BD69-4C66-BCBF-38F5FE998DFE}</x14:id>
        </ext>
      </extLst>
    </cfRule>
  </conditionalFormatting>
  <conditionalFormatting sqref="AH25:AH26">
    <cfRule type="dataBar" priority="1377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{1EE21B50-5F79-4584-AFF8-AB07523926A8}</x14:id>
        </ext>
      </extLst>
    </cfRule>
  </conditionalFormatting>
  <conditionalFormatting sqref="AH29:AH30">
    <cfRule type="dataBar" priority="1376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{4F7B36C5-8CF1-4F41-8C86-2AEFA6C17A7B}</x14:id>
        </ext>
      </extLst>
    </cfRule>
  </conditionalFormatting>
  <conditionalFormatting sqref="AH33:AH34">
    <cfRule type="dataBar" priority="1375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{68BA539A-09E7-407B-B6D2-FD69A961FBBC}</x14:id>
        </ext>
      </extLst>
    </cfRule>
  </conditionalFormatting>
  <conditionalFormatting sqref="AH37:AH38">
    <cfRule type="dataBar" priority="1374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{CA2B5961-29ED-4928-B2EA-755E43CCCB41}</x14:id>
        </ext>
      </extLst>
    </cfRule>
  </conditionalFormatting>
  <conditionalFormatting sqref="AH41:AH42">
    <cfRule type="dataBar" priority="1373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{D40D4EF7-F3D2-4592-9337-3823FECCBA3A}</x14:id>
        </ext>
      </extLst>
    </cfRule>
  </conditionalFormatting>
  <conditionalFormatting sqref="AH45:AH46">
    <cfRule type="dataBar" priority="1372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{C0833EF0-8CB3-44CB-ADDF-7272FF14F6C6}</x14:id>
        </ext>
      </extLst>
    </cfRule>
  </conditionalFormatting>
  <conditionalFormatting sqref="AH49:AH50">
    <cfRule type="dataBar" priority="1371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{68B01886-A7FD-4087-819A-8CD33E3ADA00}</x14:id>
        </ext>
      </extLst>
    </cfRule>
  </conditionalFormatting>
  <conditionalFormatting sqref="AH53:AH54">
    <cfRule type="dataBar" priority="1370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{CA6967C7-8BB5-4040-B81B-A59EBC363086}</x14:id>
        </ext>
      </extLst>
    </cfRule>
  </conditionalFormatting>
  <conditionalFormatting sqref="AH61:AH62">
    <cfRule type="dataBar" priority="1369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{577B30BF-9D63-47A0-A129-54575227F864}</x14:id>
        </ext>
      </extLst>
    </cfRule>
  </conditionalFormatting>
  <conditionalFormatting sqref="AH69:AH70">
    <cfRule type="dataBar" priority="1368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{44DAB104-F5D7-4957-B406-2F5EF50C6092}</x14:id>
        </ext>
      </extLst>
    </cfRule>
  </conditionalFormatting>
  <conditionalFormatting sqref="AO11">
    <cfRule type="expression" priority="1362" stopIfTrue="1">
      <formula>AO11=""</formula>
    </cfRule>
    <cfRule type="expression" dxfId="1259" priority="1363" stopIfTrue="1">
      <formula>AO11=CléPersonnalisée2</formula>
    </cfRule>
    <cfRule type="expression" dxfId="1258" priority="1364" stopIfTrue="1">
      <formula>AO11=CléPersonnalisée1</formula>
    </cfRule>
    <cfRule type="expression" dxfId="1257" priority="1365" stopIfTrue="1">
      <formula>AO11=CléMaladie</formula>
    </cfRule>
    <cfRule type="expression" dxfId="1256" priority="1366" stopIfTrue="1">
      <formula>AO11=CléPersonnelle</formula>
    </cfRule>
    <cfRule type="expression" dxfId="1255" priority="1367" stopIfTrue="1">
      <formula>AO11=CléCongés</formula>
    </cfRule>
  </conditionalFormatting>
  <conditionalFormatting sqref="AO19">
    <cfRule type="expression" priority="1356" stopIfTrue="1">
      <formula>AO19=""</formula>
    </cfRule>
    <cfRule type="expression" dxfId="1254" priority="1357" stopIfTrue="1">
      <formula>AO19=CléPersonnalisée2</formula>
    </cfRule>
    <cfRule type="expression" dxfId="1253" priority="1358" stopIfTrue="1">
      <formula>AO19=CléPersonnalisée1</formula>
    </cfRule>
    <cfRule type="expression" dxfId="1252" priority="1359" stopIfTrue="1">
      <formula>AO19=CléMaladie</formula>
    </cfRule>
    <cfRule type="expression" dxfId="1251" priority="1360" stopIfTrue="1">
      <formula>AO19=CléPersonnelle</formula>
    </cfRule>
    <cfRule type="expression" dxfId="1250" priority="1361" stopIfTrue="1">
      <formula>AO19=CléCongés</formula>
    </cfRule>
  </conditionalFormatting>
  <conditionalFormatting sqref="AO23">
    <cfRule type="expression" priority="1350" stopIfTrue="1">
      <formula>AO23=""</formula>
    </cfRule>
    <cfRule type="expression" dxfId="1249" priority="1351" stopIfTrue="1">
      <formula>AO23=CléPersonnalisée2</formula>
    </cfRule>
    <cfRule type="expression" dxfId="1248" priority="1352" stopIfTrue="1">
      <formula>AO23=CléPersonnalisée1</formula>
    </cfRule>
    <cfRule type="expression" dxfId="1247" priority="1353" stopIfTrue="1">
      <formula>AO23=CléMaladie</formula>
    </cfRule>
    <cfRule type="expression" dxfId="1246" priority="1354" stopIfTrue="1">
      <formula>AO23=CléPersonnelle</formula>
    </cfRule>
    <cfRule type="expression" dxfId="1245" priority="1355" stopIfTrue="1">
      <formula>AO23=CléCongés</formula>
    </cfRule>
  </conditionalFormatting>
  <conditionalFormatting sqref="AO27">
    <cfRule type="expression" priority="1344" stopIfTrue="1">
      <formula>AO27=""</formula>
    </cfRule>
    <cfRule type="expression" dxfId="1244" priority="1345" stopIfTrue="1">
      <formula>AO27=CléPersonnalisée2</formula>
    </cfRule>
    <cfRule type="expression" dxfId="1243" priority="1346" stopIfTrue="1">
      <formula>AO27=CléPersonnalisée1</formula>
    </cfRule>
    <cfRule type="expression" dxfId="1242" priority="1347" stopIfTrue="1">
      <formula>AO27=CléMaladie</formula>
    </cfRule>
    <cfRule type="expression" dxfId="1241" priority="1348" stopIfTrue="1">
      <formula>AO27=CléPersonnelle</formula>
    </cfRule>
    <cfRule type="expression" dxfId="1240" priority="1349" stopIfTrue="1">
      <formula>AO27=CléCongés</formula>
    </cfRule>
  </conditionalFormatting>
  <conditionalFormatting sqref="AM65:AP66">
    <cfRule type="expression" priority="1090" stopIfTrue="1">
      <formula>AM65=""</formula>
    </cfRule>
    <cfRule type="expression" dxfId="1239" priority="1091" stopIfTrue="1">
      <formula>AM65=CléPersonnalisée2</formula>
    </cfRule>
    <cfRule type="expression" dxfId="1238" priority="1092" stopIfTrue="1">
      <formula>AM65=CléPersonnalisée1</formula>
    </cfRule>
    <cfRule type="expression" dxfId="1237" priority="1093" stopIfTrue="1">
      <formula>AM65=CléMaladie</formula>
    </cfRule>
    <cfRule type="expression" dxfId="1236" priority="1094" stopIfTrue="1">
      <formula>AM65=CléPersonnelle</formula>
    </cfRule>
    <cfRule type="expression" dxfId="1235" priority="1095" stopIfTrue="1">
      <formula>AM65=CléCongés</formula>
    </cfRule>
  </conditionalFormatting>
  <conditionalFormatting sqref="AO35">
    <cfRule type="expression" priority="1332" stopIfTrue="1">
      <formula>AO35=""</formula>
    </cfRule>
    <cfRule type="expression" dxfId="1234" priority="1333" stopIfTrue="1">
      <formula>AO35=CléPersonnalisée2</formula>
    </cfRule>
    <cfRule type="expression" dxfId="1233" priority="1334" stopIfTrue="1">
      <formula>AO35=CléPersonnalisée1</formula>
    </cfRule>
    <cfRule type="expression" dxfId="1232" priority="1335" stopIfTrue="1">
      <formula>AO35=CléMaladie</formula>
    </cfRule>
    <cfRule type="expression" dxfId="1231" priority="1336" stopIfTrue="1">
      <formula>AO35=CléPersonnelle</formula>
    </cfRule>
    <cfRule type="expression" dxfId="1230" priority="1337" stopIfTrue="1">
      <formula>AO35=CléCongés</formula>
    </cfRule>
  </conditionalFormatting>
  <conditionalFormatting sqref="AM67 AP67">
    <cfRule type="expression" priority="1078" stopIfTrue="1">
      <formula>AM67=""</formula>
    </cfRule>
    <cfRule type="expression" dxfId="1229" priority="1079" stopIfTrue="1">
      <formula>AM67=CléPersonnalisée2</formula>
    </cfRule>
    <cfRule type="expression" dxfId="1228" priority="1080" stopIfTrue="1">
      <formula>AM67=CléPersonnalisée1</formula>
    </cfRule>
    <cfRule type="expression" dxfId="1227" priority="1081" stopIfTrue="1">
      <formula>AM67=CléMaladie</formula>
    </cfRule>
    <cfRule type="expression" dxfId="1226" priority="1082" stopIfTrue="1">
      <formula>AM67=CléPersonnelle</formula>
    </cfRule>
    <cfRule type="expression" dxfId="1225" priority="1083" stopIfTrue="1">
      <formula>AM67=CléCongés</formula>
    </cfRule>
  </conditionalFormatting>
  <conditionalFormatting sqref="AO43">
    <cfRule type="expression" priority="1320" stopIfTrue="1">
      <formula>AO43=""</formula>
    </cfRule>
    <cfRule type="expression" dxfId="1224" priority="1321" stopIfTrue="1">
      <formula>AO43=CléPersonnalisée2</formula>
    </cfRule>
    <cfRule type="expression" dxfId="1223" priority="1322" stopIfTrue="1">
      <formula>AO43=CléPersonnalisée1</formula>
    </cfRule>
    <cfRule type="expression" dxfId="1222" priority="1323" stopIfTrue="1">
      <formula>AO43=CléMaladie</formula>
    </cfRule>
    <cfRule type="expression" dxfId="1221" priority="1324" stopIfTrue="1">
      <formula>AO43=CléPersonnelle</formula>
    </cfRule>
    <cfRule type="expression" dxfId="1220" priority="1325" stopIfTrue="1">
      <formula>AO43=CléCongés</formula>
    </cfRule>
  </conditionalFormatting>
  <conditionalFormatting sqref="AO47">
    <cfRule type="expression" priority="1314" stopIfTrue="1">
      <formula>AO47=""</formula>
    </cfRule>
    <cfRule type="expression" dxfId="1219" priority="1315" stopIfTrue="1">
      <formula>AO47=CléPersonnalisée2</formula>
    </cfRule>
    <cfRule type="expression" dxfId="1218" priority="1316" stopIfTrue="1">
      <formula>AO47=CléPersonnalisée1</formula>
    </cfRule>
    <cfRule type="expression" dxfId="1217" priority="1317" stopIfTrue="1">
      <formula>AO47=CléMaladie</formula>
    </cfRule>
    <cfRule type="expression" dxfId="1216" priority="1318" stopIfTrue="1">
      <formula>AO47=CléPersonnelle</formula>
    </cfRule>
    <cfRule type="expression" dxfId="1215" priority="1319" stopIfTrue="1">
      <formula>AO47=CléCongés</formula>
    </cfRule>
  </conditionalFormatting>
  <conditionalFormatting sqref="AO51">
    <cfRule type="expression" priority="1308" stopIfTrue="1">
      <formula>AO51=""</formula>
    </cfRule>
    <cfRule type="expression" dxfId="1214" priority="1309" stopIfTrue="1">
      <formula>AO51=CléPersonnalisée2</formula>
    </cfRule>
    <cfRule type="expression" dxfId="1213" priority="1310" stopIfTrue="1">
      <formula>AO51=CléPersonnalisée1</formula>
    </cfRule>
    <cfRule type="expression" dxfId="1212" priority="1311" stopIfTrue="1">
      <formula>AO51=CléMaladie</formula>
    </cfRule>
    <cfRule type="expression" dxfId="1211" priority="1312" stopIfTrue="1">
      <formula>AO51=CléPersonnelle</formula>
    </cfRule>
    <cfRule type="expression" dxfId="1210" priority="1313" stopIfTrue="1">
      <formula>AO51=CléCongés</formula>
    </cfRule>
  </conditionalFormatting>
  <conditionalFormatting sqref="AO55">
    <cfRule type="expression" priority="1302" stopIfTrue="1">
      <formula>AO55=""</formula>
    </cfRule>
    <cfRule type="expression" dxfId="1209" priority="1303" stopIfTrue="1">
      <formula>AO55=CléPersonnalisée2</formula>
    </cfRule>
    <cfRule type="expression" dxfId="1208" priority="1304" stopIfTrue="1">
      <formula>AO55=CléPersonnalisée1</formula>
    </cfRule>
    <cfRule type="expression" dxfId="1207" priority="1305" stopIfTrue="1">
      <formula>AO55=CléMaladie</formula>
    </cfRule>
    <cfRule type="expression" dxfId="1206" priority="1306" stopIfTrue="1">
      <formula>AO55=CléPersonnelle</formula>
    </cfRule>
    <cfRule type="expression" dxfId="1205" priority="1307" stopIfTrue="1">
      <formula>AO55=CléCongés</formula>
    </cfRule>
  </conditionalFormatting>
  <conditionalFormatting sqref="AO63">
    <cfRule type="expression" priority="1296" stopIfTrue="1">
      <formula>AO63=""</formula>
    </cfRule>
    <cfRule type="expression" dxfId="1204" priority="1297" stopIfTrue="1">
      <formula>AO63=CléPersonnalisée2</formula>
    </cfRule>
    <cfRule type="expression" dxfId="1203" priority="1298" stopIfTrue="1">
      <formula>AO63=CléPersonnalisée1</formula>
    </cfRule>
    <cfRule type="expression" dxfId="1202" priority="1299" stopIfTrue="1">
      <formula>AO63=CléMaladie</formula>
    </cfRule>
    <cfRule type="expression" dxfId="1201" priority="1300" stopIfTrue="1">
      <formula>AO63=CléPersonnelle</formula>
    </cfRule>
    <cfRule type="expression" dxfId="1200" priority="1301" stopIfTrue="1">
      <formula>AO63=CléCongés</formula>
    </cfRule>
  </conditionalFormatting>
  <conditionalFormatting sqref="AO71">
    <cfRule type="expression" priority="1290" stopIfTrue="1">
      <formula>AO71=""</formula>
    </cfRule>
    <cfRule type="expression" dxfId="1199" priority="1291" stopIfTrue="1">
      <formula>AO71=CléPersonnalisée2</formula>
    </cfRule>
    <cfRule type="expression" dxfId="1198" priority="1292" stopIfTrue="1">
      <formula>AO71=CléPersonnalisée1</formula>
    </cfRule>
    <cfRule type="expression" dxfId="1197" priority="1293" stopIfTrue="1">
      <formula>AO71=CléMaladie</formula>
    </cfRule>
    <cfRule type="expression" dxfId="1196" priority="1294" stopIfTrue="1">
      <formula>AO71=CléPersonnelle</formula>
    </cfRule>
    <cfRule type="expression" dxfId="1195" priority="1295" stopIfTrue="1">
      <formula>AO71=CléCongés</formula>
    </cfRule>
  </conditionalFormatting>
  <conditionalFormatting sqref="AI17:AI18">
    <cfRule type="expression" priority="1284" stopIfTrue="1">
      <formula>AI17=""</formula>
    </cfRule>
    <cfRule type="expression" dxfId="1194" priority="1285" stopIfTrue="1">
      <formula>AI17=CléPersonnalisée2</formula>
    </cfRule>
    <cfRule type="expression" dxfId="1193" priority="1286" stopIfTrue="1">
      <formula>AI17=CléPersonnalisée1</formula>
    </cfRule>
    <cfRule type="expression" dxfId="1192" priority="1287" stopIfTrue="1">
      <formula>AI17=CléMaladie</formula>
    </cfRule>
    <cfRule type="expression" dxfId="1191" priority="1288" stopIfTrue="1">
      <formula>AI17=CléPersonnelle</formula>
    </cfRule>
    <cfRule type="expression" dxfId="1190" priority="1289" stopIfTrue="1">
      <formula>AI17=CléCongés</formula>
    </cfRule>
  </conditionalFormatting>
  <conditionalFormatting sqref="AI21:AI22">
    <cfRule type="expression" priority="1278" stopIfTrue="1">
      <formula>AI21=""</formula>
    </cfRule>
    <cfRule type="expression" dxfId="1189" priority="1279" stopIfTrue="1">
      <formula>AI21=CléPersonnalisée2</formula>
    </cfRule>
    <cfRule type="expression" dxfId="1188" priority="1280" stopIfTrue="1">
      <formula>AI21=CléPersonnalisée1</formula>
    </cfRule>
    <cfRule type="expression" dxfId="1187" priority="1281" stopIfTrue="1">
      <formula>AI21=CléMaladie</formula>
    </cfRule>
    <cfRule type="expression" dxfId="1186" priority="1282" stopIfTrue="1">
      <formula>AI21=CléPersonnelle</formula>
    </cfRule>
    <cfRule type="expression" dxfId="1185" priority="1283" stopIfTrue="1">
      <formula>AI21=CléCongés</formula>
    </cfRule>
  </conditionalFormatting>
  <conditionalFormatting sqref="AI29:AI30">
    <cfRule type="expression" priority="1266" stopIfTrue="1">
      <formula>AI29=""</formula>
    </cfRule>
    <cfRule type="expression" dxfId="1184" priority="1267" stopIfTrue="1">
      <formula>AI29=CléPersonnalisée2</formula>
    </cfRule>
    <cfRule type="expression" dxfId="1183" priority="1268" stopIfTrue="1">
      <formula>AI29=CléPersonnalisée1</formula>
    </cfRule>
    <cfRule type="expression" dxfId="1182" priority="1269" stopIfTrue="1">
      <formula>AI29=CléMaladie</formula>
    </cfRule>
    <cfRule type="expression" dxfId="1181" priority="1270" stopIfTrue="1">
      <formula>AI29=CléPersonnelle</formula>
    </cfRule>
    <cfRule type="expression" dxfId="1180" priority="1271" stopIfTrue="1">
      <formula>AI29=CléCongés</formula>
    </cfRule>
  </conditionalFormatting>
  <conditionalFormatting sqref="AI33:AI34">
    <cfRule type="expression" priority="1260" stopIfTrue="1">
      <formula>AI33=""</formula>
    </cfRule>
    <cfRule type="expression" dxfId="1179" priority="1261" stopIfTrue="1">
      <formula>AI33=CléPersonnalisée2</formula>
    </cfRule>
    <cfRule type="expression" dxfId="1178" priority="1262" stopIfTrue="1">
      <formula>AI33=CléPersonnalisée1</formula>
    </cfRule>
    <cfRule type="expression" dxfId="1177" priority="1263" stopIfTrue="1">
      <formula>AI33=CléMaladie</formula>
    </cfRule>
    <cfRule type="expression" dxfId="1176" priority="1264" stopIfTrue="1">
      <formula>AI33=CléPersonnelle</formula>
    </cfRule>
    <cfRule type="expression" dxfId="1175" priority="1265" stopIfTrue="1">
      <formula>AI33=CléCongés</formula>
    </cfRule>
  </conditionalFormatting>
  <conditionalFormatting sqref="AI37:AI38">
    <cfRule type="expression" priority="1254" stopIfTrue="1">
      <formula>AI37=""</formula>
    </cfRule>
    <cfRule type="expression" dxfId="1174" priority="1255" stopIfTrue="1">
      <formula>AI37=CléPersonnalisée2</formula>
    </cfRule>
    <cfRule type="expression" dxfId="1173" priority="1256" stopIfTrue="1">
      <formula>AI37=CléPersonnalisée1</formula>
    </cfRule>
    <cfRule type="expression" dxfId="1172" priority="1257" stopIfTrue="1">
      <formula>AI37=CléMaladie</formula>
    </cfRule>
    <cfRule type="expression" dxfId="1171" priority="1258" stopIfTrue="1">
      <formula>AI37=CléPersonnelle</formula>
    </cfRule>
    <cfRule type="expression" dxfId="1170" priority="1259" stopIfTrue="1">
      <formula>AI37=CléCongés</formula>
    </cfRule>
  </conditionalFormatting>
  <conditionalFormatting sqref="AI41:AI42">
    <cfRule type="expression" priority="1248" stopIfTrue="1">
      <formula>AI41=""</formula>
    </cfRule>
    <cfRule type="expression" dxfId="1169" priority="1249" stopIfTrue="1">
      <formula>AI41=CléPersonnalisée2</formula>
    </cfRule>
    <cfRule type="expression" dxfId="1168" priority="1250" stopIfTrue="1">
      <formula>AI41=CléPersonnalisée1</formula>
    </cfRule>
    <cfRule type="expression" dxfId="1167" priority="1251" stopIfTrue="1">
      <formula>AI41=CléMaladie</formula>
    </cfRule>
    <cfRule type="expression" dxfId="1166" priority="1252" stopIfTrue="1">
      <formula>AI41=CléPersonnelle</formula>
    </cfRule>
    <cfRule type="expression" dxfId="1165" priority="1253" stopIfTrue="1">
      <formula>AI41=CléCongés</formula>
    </cfRule>
  </conditionalFormatting>
  <conditionalFormatting sqref="AI45:AI46">
    <cfRule type="expression" priority="1242" stopIfTrue="1">
      <formula>AI45=""</formula>
    </cfRule>
    <cfRule type="expression" dxfId="1164" priority="1243" stopIfTrue="1">
      <formula>AI45=CléPersonnalisée2</formula>
    </cfRule>
    <cfRule type="expression" dxfId="1163" priority="1244" stopIfTrue="1">
      <formula>AI45=CléPersonnalisée1</formula>
    </cfRule>
    <cfRule type="expression" dxfId="1162" priority="1245" stopIfTrue="1">
      <formula>AI45=CléMaladie</formula>
    </cfRule>
    <cfRule type="expression" dxfId="1161" priority="1246" stopIfTrue="1">
      <formula>AI45=CléPersonnelle</formula>
    </cfRule>
    <cfRule type="expression" dxfId="1160" priority="1247" stopIfTrue="1">
      <formula>AI45=CléCongés</formula>
    </cfRule>
  </conditionalFormatting>
  <conditionalFormatting sqref="AI49:AI50">
    <cfRule type="expression" priority="1236" stopIfTrue="1">
      <formula>AI49=""</formula>
    </cfRule>
    <cfRule type="expression" dxfId="1159" priority="1237" stopIfTrue="1">
      <formula>AI49=CléPersonnalisée2</formula>
    </cfRule>
    <cfRule type="expression" dxfId="1158" priority="1238" stopIfTrue="1">
      <formula>AI49=CléPersonnalisée1</formula>
    </cfRule>
    <cfRule type="expression" dxfId="1157" priority="1239" stopIfTrue="1">
      <formula>AI49=CléMaladie</formula>
    </cfRule>
    <cfRule type="expression" dxfId="1156" priority="1240" stopIfTrue="1">
      <formula>AI49=CléPersonnelle</formula>
    </cfRule>
    <cfRule type="expression" dxfId="1155" priority="1241" stopIfTrue="1">
      <formula>AI49=CléCongés</formula>
    </cfRule>
  </conditionalFormatting>
  <conditionalFormatting sqref="AI53:AI54">
    <cfRule type="expression" priority="1230" stopIfTrue="1">
      <formula>AI53=""</formula>
    </cfRule>
    <cfRule type="expression" dxfId="1154" priority="1231" stopIfTrue="1">
      <formula>AI53=CléPersonnalisée2</formula>
    </cfRule>
    <cfRule type="expression" dxfId="1153" priority="1232" stopIfTrue="1">
      <formula>AI53=CléPersonnalisée1</formula>
    </cfRule>
    <cfRule type="expression" dxfId="1152" priority="1233" stopIfTrue="1">
      <formula>AI53=CléMaladie</formula>
    </cfRule>
    <cfRule type="expression" dxfId="1151" priority="1234" stopIfTrue="1">
      <formula>AI53=CléPersonnelle</formula>
    </cfRule>
    <cfRule type="expression" dxfId="1150" priority="1235" stopIfTrue="1">
      <formula>AI53=CléCongés</formula>
    </cfRule>
  </conditionalFormatting>
  <conditionalFormatting sqref="AI61:AI62">
    <cfRule type="expression" priority="1224" stopIfTrue="1">
      <formula>AI61=""</formula>
    </cfRule>
    <cfRule type="expression" dxfId="1149" priority="1225" stopIfTrue="1">
      <formula>AI61=CléPersonnalisée2</formula>
    </cfRule>
    <cfRule type="expression" dxfId="1148" priority="1226" stopIfTrue="1">
      <formula>AI61=CléPersonnalisée1</formula>
    </cfRule>
    <cfRule type="expression" dxfId="1147" priority="1227" stopIfTrue="1">
      <formula>AI61=CléMaladie</formula>
    </cfRule>
    <cfRule type="expression" dxfId="1146" priority="1228" stopIfTrue="1">
      <formula>AI61=CléPersonnelle</formula>
    </cfRule>
    <cfRule type="expression" dxfId="1145" priority="1229" stopIfTrue="1">
      <formula>AI61=CléCongés</formula>
    </cfRule>
  </conditionalFormatting>
  <conditionalFormatting sqref="AI69:AI70">
    <cfRule type="expression" priority="1218" stopIfTrue="1">
      <formula>AI69=""</formula>
    </cfRule>
    <cfRule type="expression" dxfId="1144" priority="1219" stopIfTrue="1">
      <formula>AI69=CléPersonnalisée2</formula>
    </cfRule>
    <cfRule type="expression" dxfId="1143" priority="1220" stopIfTrue="1">
      <formula>AI69=CléPersonnalisée1</formula>
    </cfRule>
    <cfRule type="expression" dxfId="1142" priority="1221" stopIfTrue="1">
      <formula>AI69=CléMaladie</formula>
    </cfRule>
    <cfRule type="expression" dxfId="1141" priority="1222" stopIfTrue="1">
      <formula>AI69=CléPersonnelle</formula>
    </cfRule>
    <cfRule type="expression" dxfId="1140" priority="1223" stopIfTrue="1">
      <formula>AI69=CléCongés</formula>
    </cfRule>
  </conditionalFormatting>
  <conditionalFormatting sqref="AN11">
    <cfRule type="expression" priority="1212" stopIfTrue="1">
      <formula>AN11=""</formula>
    </cfRule>
    <cfRule type="expression" dxfId="1139" priority="1213" stopIfTrue="1">
      <formula>AN11=CléPersonnalisée2</formula>
    </cfRule>
    <cfRule type="expression" dxfId="1138" priority="1214" stopIfTrue="1">
      <formula>AN11=CléPersonnalisée1</formula>
    </cfRule>
    <cfRule type="expression" dxfId="1137" priority="1215" stopIfTrue="1">
      <formula>AN11=CléMaladie</formula>
    </cfRule>
    <cfRule type="expression" dxfId="1136" priority="1216" stopIfTrue="1">
      <formula>AN11=CléPersonnelle</formula>
    </cfRule>
    <cfRule type="expression" dxfId="1135" priority="1217" stopIfTrue="1">
      <formula>AN11=CléCongés</formula>
    </cfRule>
  </conditionalFormatting>
  <conditionalFormatting sqref="AN19">
    <cfRule type="expression" priority="1206" stopIfTrue="1">
      <formula>AN19=""</formula>
    </cfRule>
    <cfRule type="expression" dxfId="1134" priority="1207" stopIfTrue="1">
      <formula>AN19=CléPersonnalisée2</formula>
    </cfRule>
    <cfRule type="expression" dxfId="1133" priority="1208" stopIfTrue="1">
      <formula>AN19=CléPersonnalisée1</formula>
    </cfRule>
    <cfRule type="expression" dxfId="1132" priority="1209" stopIfTrue="1">
      <formula>AN19=CléMaladie</formula>
    </cfRule>
    <cfRule type="expression" dxfId="1131" priority="1210" stopIfTrue="1">
      <formula>AN19=CléPersonnelle</formula>
    </cfRule>
    <cfRule type="expression" dxfId="1130" priority="1211" stopIfTrue="1">
      <formula>AN19=CléCongés</formula>
    </cfRule>
  </conditionalFormatting>
  <conditionalFormatting sqref="AN23">
    <cfRule type="expression" priority="1200" stopIfTrue="1">
      <formula>AN23=""</formula>
    </cfRule>
    <cfRule type="expression" dxfId="1129" priority="1201" stopIfTrue="1">
      <formula>AN23=CléPersonnalisée2</formula>
    </cfRule>
    <cfRule type="expression" dxfId="1128" priority="1202" stopIfTrue="1">
      <formula>AN23=CléPersonnalisée1</formula>
    </cfRule>
    <cfRule type="expression" dxfId="1127" priority="1203" stopIfTrue="1">
      <formula>AN23=CléMaladie</formula>
    </cfRule>
    <cfRule type="expression" dxfId="1126" priority="1204" stopIfTrue="1">
      <formula>AN23=CléPersonnelle</formula>
    </cfRule>
    <cfRule type="expression" dxfId="1125" priority="1205" stopIfTrue="1">
      <formula>AN23=CléCongés</formula>
    </cfRule>
  </conditionalFormatting>
  <conditionalFormatting sqref="AN27">
    <cfRule type="expression" priority="1194" stopIfTrue="1">
      <formula>AN27=""</formula>
    </cfRule>
    <cfRule type="expression" dxfId="1124" priority="1195" stopIfTrue="1">
      <formula>AN27=CléPersonnalisée2</formula>
    </cfRule>
    <cfRule type="expression" dxfId="1123" priority="1196" stopIfTrue="1">
      <formula>AN27=CléPersonnalisée1</formula>
    </cfRule>
    <cfRule type="expression" dxfId="1122" priority="1197" stopIfTrue="1">
      <formula>AN27=CléMaladie</formula>
    </cfRule>
    <cfRule type="expression" dxfId="1121" priority="1198" stopIfTrue="1">
      <formula>AN27=CléPersonnelle</formula>
    </cfRule>
    <cfRule type="expression" dxfId="1120" priority="1199" stopIfTrue="1">
      <formula>AN27=CléCongés</formula>
    </cfRule>
  </conditionalFormatting>
  <conditionalFormatting sqref="AN31">
    <cfRule type="expression" priority="1188" stopIfTrue="1">
      <formula>AN31=""</formula>
    </cfRule>
    <cfRule type="expression" dxfId="1119" priority="1189" stopIfTrue="1">
      <formula>AN31=CléPersonnalisée2</formula>
    </cfRule>
    <cfRule type="expression" dxfId="1118" priority="1190" stopIfTrue="1">
      <formula>AN31=CléPersonnalisée1</formula>
    </cfRule>
    <cfRule type="expression" dxfId="1117" priority="1191" stopIfTrue="1">
      <formula>AN31=CléMaladie</formula>
    </cfRule>
    <cfRule type="expression" dxfId="1116" priority="1192" stopIfTrue="1">
      <formula>AN31=CléPersonnelle</formula>
    </cfRule>
    <cfRule type="expression" dxfId="1115" priority="1193" stopIfTrue="1">
      <formula>AN31=CléCongés</formula>
    </cfRule>
  </conditionalFormatting>
  <conditionalFormatting sqref="AN35">
    <cfRule type="expression" priority="1182" stopIfTrue="1">
      <formula>AN35=""</formula>
    </cfRule>
    <cfRule type="expression" dxfId="1114" priority="1183" stopIfTrue="1">
      <formula>AN35=CléPersonnalisée2</formula>
    </cfRule>
    <cfRule type="expression" dxfId="1113" priority="1184" stopIfTrue="1">
      <formula>AN35=CléPersonnalisée1</formula>
    </cfRule>
    <cfRule type="expression" dxfId="1112" priority="1185" stopIfTrue="1">
      <formula>AN35=CléMaladie</formula>
    </cfRule>
    <cfRule type="expression" dxfId="1111" priority="1186" stopIfTrue="1">
      <formula>AN35=CléPersonnelle</formula>
    </cfRule>
    <cfRule type="expression" dxfId="1110" priority="1187" stopIfTrue="1">
      <formula>AN35=CléCongés</formula>
    </cfRule>
  </conditionalFormatting>
  <conditionalFormatting sqref="AN39">
    <cfRule type="expression" priority="1176" stopIfTrue="1">
      <formula>AN39=""</formula>
    </cfRule>
    <cfRule type="expression" dxfId="1109" priority="1177" stopIfTrue="1">
      <formula>AN39=CléPersonnalisée2</formula>
    </cfRule>
    <cfRule type="expression" dxfId="1108" priority="1178" stopIfTrue="1">
      <formula>AN39=CléPersonnalisée1</formula>
    </cfRule>
    <cfRule type="expression" dxfId="1107" priority="1179" stopIfTrue="1">
      <formula>AN39=CléMaladie</formula>
    </cfRule>
    <cfRule type="expression" dxfId="1106" priority="1180" stopIfTrue="1">
      <formula>AN39=CléPersonnelle</formula>
    </cfRule>
    <cfRule type="expression" dxfId="1105" priority="1181" stopIfTrue="1">
      <formula>AN39=CléCongés</formula>
    </cfRule>
  </conditionalFormatting>
  <conditionalFormatting sqref="AN43">
    <cfRule type="expression" priority="1170" stopIfTrue="1">
      <formula>AN43=""</formula>
    </cfRule>
    <cfRule type="expression" dxfId="1104" priority="1171" stopIfTrue="1">
      <formula>AN43=CléPersonnalisée2</formula>
    </cfRule>
    <cfRule type="expression" dxfId="1103" priority="1172" stopIfTrue="1">
      <formula>AN43=CléPersonnalisée1</formula>
    </cfRule>
    <cfRule type="expression" dxfId="1102" priority="1173" stopIfTrue="1">
      <formula>AN43=CléMaladie</formula>
    </cfRule>
    <cfRule type="expression" dxfId="1101" priority="1174" stopIfTrue="1">
      <formula>AN43=CléPersonnelle</formula>
    </cfRule>
    <cfRule type="expression" dxfId="1100" priority="1175" stopIfTrue="1">
      <formula>AN43=CléCongés</formula>
    </cfRule>
  </conditionalFormatting>
  <conditionalFormatting sqref="AN47">
    <cfRule type="expression" priority="1164" stopIfTrue="1">
      <formula>AN47=""</formula>
    </cfRule>
    <cfRule type="expression" dxfId="1099" priority="1165" stopIfTrue="1">
      <formula>AN47=CléPersonnalisée2</formula>
    </cfRule>
    <cfRule type="expression" dxfId="1098" priority="1166" stopIfTrue="1">
      <formula>AN47=CléPersonnalisée1</formula>
    </cfRule>
    <cfRule type="expression" dxfId="1097" priority="1167" stopIfTrue="1">
      <formula>AN47=CléMaladie</formula>
    </cfRule>
    <cfRule type="expression" dxfId="1096" priority="1168" stopIfTrue="1">
      <formula>AN47=CléPersonnelle</formula>
    </cfRule>
    <cfRule type="expression" dxfId="1095" priority="1169" stopIfTrue="1">
      <formula>AN47=CléCongés</formula>
    </cfRule>
  </conditionalFormatting>
  <conditionalFormatting sqref="AN51">
    <cfRule type="expression" priority="1158" stopIfTrue="1">
      <formula>AN51=""</formula>
    </cfRule>
    <cfRule type="expression" dxfId="1094" priority="1159" stopIfTrue="1">
      <formula>AN51=CléPersonnalisée2</formula>
    </cfRule>
    <cfRule type="expression" dxfId="1093" priority="1160" stopIfTrue="1">
      <formula>AN51=CléPersonnalisée1</formula>
    </cfRule>
    <cfRule type="expression" dxfId="1092" priority="1161" stopIfTrue="1">
      <formula>AN51=CléMaladie</formula>
    </cfRule>
    <cfRule type="expression" dxfId="1091" priority="1162" stopIfTrue="1">
      <formula>AN51=CléPersonnelle</formula>
    </cfRule>
    <cfRule type="expression" dxfId="1090" priority="1163" stopIfTrue="1">
      <formula>AN51=CléCongés</formula>
    </cfRule>
  </conditionalFormatting>
  <conditionalFormatting sqref="AN55">
    <cfRule type="expression" priority="1152" stopIfTrue="1">
      <formula>AN55=""</formula>
    </cfRule>
    <cfRule type="expression" dxfId="1089" priority="1153" stopIfTrue="1">
      <formula>AN55=CléPersonnalisée2</formula>
    </cfRule>
    <cfRule type="expression" dxfId="1088" priority="1154" stopIfTrue="1">
      <formula>AN55=CléPersonnalisée1</formula>
    </cfRule>
    <cfRule type="expression" dxfId="1087" priority="1155" stopIfTrue="1">
      <formula>AN55=CléMaladie</formula>
    </cfRule>
    <cfRule type="expression" dxfId="1086" priority="1156" stopIfTrue="1">
      <formula>AN55=CléPersonnelle</formula>
    </cfRule>
    <cfRule type="expression" dxfId="1085" priority="1157" stopIfTrue="1">
      <formula>AN55=CléCongés</formula>
    </cfRule>
  </conditionalFormatting>
  <conditionalFormatting sqref="AN63">
    <cfRule type="expression" priority="1146" stopIfTrue="1">
      <formula>AN63=""</formula>
    </cfRule>
    <cfRule type="expression" dxfId="1084" priority="1147" stopIfTrue="1">
      <formula>AN63=CléPersonnalisée2</formula>
    </cfRule>
    <cfRule type="expression" dxfId="1083" priority="1148" stopIfTrue="1">
      <formula>AN63=CléPersonnalisée1</formula>
    </cfRule>
    <cfRule type="expression" dxfId="1082" priority="1149" stopIfTrue="1">
      <formula>AN63=CléMaladie</formula>
    </cfRule>
    <cfRule type="expression" dxfId="1081" priority="1150" stopIfTrue="1">
      <formula>AN63=CléPersonnelle</formula>
    </cfRule>
    <cfRule type="expression" dxfId="1080" priority="1151" stopIfTrue="1">
      <formula>AN63=CléCongés</formula>
    </cfRule>
  </conditionalFormatting>
  <conditionalFormatting sqref="AN71">
    <cfRule type="expression" priority="1140" stopIfTrue="1">
      <formula>AN71=""</formula>
    </cfRule>
    <cfRule type="expression" dxfId="1079" priority="1141" stopIfTrue="1">
      <formula>AN71=CléPersonnalisée2</formula>
    </cfRule>
    <cfRule type="expression" dxfId="1078" priority="1142" stopIfTrue="1">
      <formula>AN71=CléPersonnalisée1</formula>
    </cfRule>
    <cfRule type="expression" dxfId="1077" priority="1143" stopIfTrue="1">
      <formula>AN71=CléMaladie</formula>
    </cfRule>
    <cfRule type="expression" dxfId="1076" priority="1144" stopIfTrue="1">
      <formula>AN71=CléPersonnelle</formula>
    </cfRule>
    <cfRule type="expression" dxfId="1075" priority="1145" stopIfTrue="1">
      <formula>AN71=CléCongés</formula>
    </cfRule>
  </conditionalFormatting>
  <conditionalFormatting sqref="AH7">
    <cfRule type="dataBar" priority="1139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{4F82DDE1-5E4D-4BF3-8810-D1D042912920}</x14:id>
        </ext>
      </extLst>
    </cfRule>
  </conditionalFormatting>
  <conditionalFormatting sqref="AI7:AL7">
    <cfRule type="expression" priority="1133" stopIfTrue="1">
      <formula>AI7=""</formula>
    </cfRule>
    <cfRule type="expression" dxfId="1074" priority="1134" stopIfTrue="1">
      <formula>AI7=CléPersonnalisée2</formula>
    </cfRule>
    <cfRule type="expression" dxfId="1073" priority="1135" stopIfTrue="1">
      <formula>AI7=CléPersonnalisée1</formula>
    </cfRule>
    <cfRule type="expression" dxfId="1072" priority="1136" stopIfTrue="1">
      <formula>AI7=CléMaladie</formula>
    </cfRule>
    <cfRule type="expression" dxfId="1071" priority="1137" stopIfTrue="1">
      <formula>AI7=CléPersonnelle</formula>
    </cfRule>
    <cfRule type="expression" dxfId="1070" priority="1138" stopIfTrue="1">
      <formula>AI7=CléCongés</formula>
    </cfRule>
  </conditionalFormatting>
  <conditionalFormatting sqref="AM7">
    <cfRule type="expression" priority="1127" stopIfTrue="1">
      <formula>AM7=""</formula>
    </cfRule>
    <cfRule type="expression" dxfId="1069" priority="1128" stopIfTrue="1">
      <formula>AM7=CléPersonnalisée2</formula>
    </cfRule>
    <cfRule type="expression" dxfId="1068" priority="1129" stopIfTrue="1">
      <formula>AM7=CléPersonnalisée1</formula>
    </cfRule>
    <cfRule type="expression" dxfId="1067" priority="1130" stopIfTrue="1">
      <formula>AM7=CléMaladie</formula>
    </cfRule>
    <cfRule type="expression" dxfId="1066" priority="1131" stopIfTrue="1">
      <formula>AM7=CléPersonnelle</formula>
    </cfRule>
    <cfRule type="expression" dxfId="1065" priority="1132" stopIfTrue="1">
      <formula>AM7=CléCongés</formula>
    </cfRule>
  </conditionalFormatting>
  <conditionalFormatting sqref="AO7">
    <cfRule type="expression" priority="1121" stopIfTrue="1">
      <formula>AO7=""</formula>
    </cfRule>
    <cfRule type="expression" dxfId="1064" priority="1122" stopIfTrue="1">
      <formula>AO7=CléPersonnalisée2</formula>
    </cfRule>
    <cfRule type="expression" dxfId="1063" priority="1123" stopIfTrue="1">
      <formula>AO7=CléPersonnalisée1</formula>
    </cfRule>
    <cfRule type="expression" dxfId="1062" priority="1124" stopIfTrue="1">
      <formula>AO7=CléMaladie</formula>
    </cfRule>
    <cfRule type="expression" dxfId="1061" priority="1125" stopIfTrue="1">
      <formula>AO7=CléPersonnelle</formula>
    </cfRule>
    <cfRule type="expression" dxfId="1060" priority="1126" stopIfTrue="1">
      <formula>AO7=CléCongés</formula>
    </cfRule>
  </conditionalFormatting>
  <conditionalFormatting sqref="AN7">
    <cfRule type="expression" priority="1115" stopIfTrue="1">
      <formula>AN7=""</formula>
    </cfRule>
    <cfRule type="expression" dxfId="1059" priority="1116" stopIfTrue="1">
      <formula>AN7=CléPersonnalisée2</formula>
    </cfRule>
    <cfRule type="expression" dxfId="1058" priority="1117" stopIfTrue="1">
      <formula>AN7=CléPersonnalisée1</formula>
    </cfRule>
    <cfRule type="expression" dxfId="1057" priority="1118" stopIfTrue="1">
      <formula>AN7=CléMaladie</formula>
    </cfRule>
    <cfRule type="expression" dxfId="1056" priority="1119" stopIfTrue="1">
      <formula>AN7=CléPersonnelle</formula>
    </cfRule>
    <cfRule type="expression" dxfId="1055" priority="1120" stopIfTrue="1">
      <formula>AN7=CléCongés</formula>
    </cfRule>
  </conditionalFormatting>
  <conditionalFormatting sqref="AQ7">
    <cfRule type="expression" priority="1109" stopIfTrue="1">
      <formula>AQ7=""</formula>
    </cfRule>
    <cfRule type="expression" dxfId="1054" priority="1110" stopIfTrue="1">
      <formula>AQ7=CléPersonnalisée2</formula>
    </cfRule>
    <cfRule type="expression" dxfId="1053" priority="1111" stopIfTrue="1">
      <formula>AQ7=CléPersonnalisée1</formula>
    </cfRule>
    <cfRule type="expression" dxfId="1052" priority="1112" stopIfTrue="1">
      <formula>AQ7=CléMaladie</formula>
    </cfRule>
    <cfRule type="expression" dxfId="1051" priority="1113" stopIfTrue="1">
      <formula>AQ7=CléPersonnelle</formula>
    </cfRule>
    <cfRule type="expression" dxfId="1050" priority="1114" stopIfTrue="1">
      <formula>AQ7=CléCongés</formula>
    </cfRule>
  </conditionalFormatting>
  <conditionalFormatting sqref="AQ71">
    <cfRule type="expression" priority="891" stopIfTrue="1">
      <formula>AQ71=""</formula>
    </cfRule>
    <cfRule type="expression" dxfId="1049" priority="892" stopIfTrue="1">
      <formula>AQ71=CléPersonnalisée2</formula>
    </cfRule>
    <cfRule type="expression" dxfId="1048" priority="893" stopIfTrue="1">
      <formula>AQ71=CléPersonnalisée1</formula>
    </cfRule>
    <cfRule type="expression" dxfId="1047" priority="894" stopIfTrue="1">
      <formula>AQ71=CléMaladie</formula>
    </cfRule>
    <cfRule type="expression" dxfId="1046" priority="895" stopIfTrue="1">
      <formula>AQ71=CléPersonnelle</formula>
    </cfRule>
    <cfRule type="expression" dxfId="1045" priority="896" stopIfTrue="1">
      <formula>AQ71=CléCongés</formula>
    </cfRule>
  </conditionalFormatting>
  <conditionalFormatting sqref="AQ75">
    <cfRule type="expression" priority="841" stopIfTrue="1">
      <formula>AQ75=""</formula>
    </cfRule>
    <cfRule type="expression" dxfId="1044" priority="842" stopIfTrue="1">
      <formula>AQ75=CléPersonnalisée2</formula>
    </cfRule>
    <cfRule type="expression" dxfId="1043" priority="843" stopIfTrue="1">
      <formula>AQ75=CléPersonnalisée1</formula>
    </cfRule>
    <cfRule type="expression" dxfId="1042" priority="844" stopIfTrue="1">
      <formula>AQ75=CléMaladie</formula>
    </cfRule>
    <cfRule type="expression" dxfId="1041" priority="845" stopIfTrue="1">
      <formula>AQ75=CléPersonnelle</formula>
    </cfRule>
    <cfRule type="expression" dxfId="1040" priority="846" stopIfTrue="1">
      <formula>AQ75=CléCongés</formula>
    </cfRule>
  </conditionalFormatting>
  <conditionalFormatting sqref="AQ83">
    <cfRule type="expression" priority="779" stopIfTrue="1">
      <formula>AQ83=""</formula>
    </cfRule>
    <cfRule type="expression" dxfId="1039" priority="780" stopIfTrue="1">
      <formula>AQ83=CléPersonnalisée2</formula>
    </cfRule>
    <cfRule type="expression" dxfId="1038" priority="781" stopIfTrue="1">
      <formula>AQ83=CléPersonnalisée1</formula>
    </cfRule>
    <cfRule type="expression" dxfId="1037" priority="782" stopIfTrue="1">
      <formula>AQ83=CléMaladie</formula>
    </cfRule>
    <cfRule type="expression" dxfId="1036" priority="783" stopIfTrue="1">
      <formula>AQ83=CléPersonnelle</formula>
    </cfRule>
    <cfRule type="expression" dxfId="1035" priority="784" stopIfTrue="1">
      <formula>AQ83=CléCongés</formula>
    </cfRule>
  </conditionalFormatting>
  <conditionalFormatting sqref="AQ91">
    <cfRule type="expression" priority="655" stopIfTrue="1">
      <formula>AQ91=""</formula>
    </cfRule>
    <cfRule type="expression" dxfId="1034" priority="656" stopIfTrue="1">
      <formula>AQ91=CléPersonnalisée2</formula>
    </cfRule>
    <cfRule type="expression" dxfId="1033" priority="657" stopIfTrue="1">
      <formula>AQ91=CléPersonnalisée1</formula>
    </cfRule>
    <cfRule type="expression" dxfId="1032" priority="658" stopIfTrue="1">
      <formula>AQ91=CléMaladie</formula>
    </cfRule>
    <cfRule type="expression" dxfId="1031" priority="659" stopIfTrue="1">
      <formula>AQ91=CléPersonnelle</formula>
    </cfRule>
    <cfRule type="expression" dxfId="1030" priority="660" stopIfTrue="1">
      <formula>AQ91=CléCongés</formula>
    </cfRule>
  </conditionalFormatting>
  <conditionalFormatting sqref="C65:AG67">
    <cfRule type="expression" priority="1102" stopIfTrue="1">
      <formula>C65=""</formula>
    </cfRule>
    <cfRule type="expression" dxfId="1029" priority="1103" stopIfTrue="1">
      <formula>C65=CléPersonnalisée2</formula>
    </cfRule>
    <cfRule type="expression" dxfId="1028" priority="1104" stopIfTrue="1">
      <formula>C65=CléPersonnalisée1</formula>
    </cfRule>
    <cfRule type="expression" dxfId="1027" priority="1105" stopIfTrue="1">
      <formula>C65=CléMaladie</formula>
    </cfRule>
    <cfRule type="expression" dxfId="1026" priority="1106" stopIfTrue="1">
      <formula>C65=CléPersonnelle</formula>
    </cfRule>
    <cfRule type="expression" dxfId="1025" priority="1107" stopIfTrue="1">
      <formula>C65=CléCongés</formula>
    </cfRule>
  </conditionalFormatting>
  <conditionalFormatting sqref="AH67">
    <cfRule type="dataBar" priority="1108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{CA6804DF-72E4-4923-9DC8-6331658F507D}</x14:id>
        </ext>
      </extLst>
    </cfRule>
  </conditionalFormatting>
  <conditionalFormatting sqref="AI67:AL67 AJ65:AL66">
    <cfRule type="expression" priority="1096" stopIfTrue="1">
      <formula>AI65=""</formula>
    </cfRule>
    <cfRule type="expression" dxfId="1024" priority="1097" stopIfTrue="1">
      <formula>AI65=CléPersonnalisée2</formula>
    </cfRule>
    <cfRule type="expression" dxfId="1023" priority="1098" stopIfTrue="1">
      <formula>AI65=CléPersonnalisée1</formula>
    </cfRule>
    <cfRule type="expression" dxfId="1022" priority="1099" stopIfTrue="1">
      <formula>AI65=CléMaladie</formula>
    </cfRule>
    <cfRule type="expression" dxfId="1021" priority="1100" stopIfTrue="1">
      <formula>AI65=CléPersonnelle</formula>
    </cfRule>
    <cfRule type="expression" dxfId="1020" priority="1101" stopIfTrue="1">
      <formula>AI65=CléCongés</formula>
    </cfRule>
  </conditionalFormatting>
  <conditionalFormatting sqref="AQ65:AR66">
    <cfRule type="expression" priority="1084" stopIfTrue="1">
      <formula>AQ65=""</formula>
    </cfRule>
    <cfRule type="expression" dxfId="1019" priority="1085" stopIfTrue="1">
      <formula>AQ65=CléPersonnalisée2</formula>
    </cfRule>
    <cfRule type="expression" dxfId="1018" priority="1086" stopIfTrue="1">
      <formula>AQ65=CléPersonnalisée1</formula>
    </cfRule>
    <cfRule type="expression" dxfId="1017" priority="1087" stopIfTrue="1">
      <formula>AQ65=CléMaladie</formula>
    </cfRule>
    <cfRule type="expression" dxfId="1016" priority="1088" stopIfTrue="1">
      <formula>AQ65=CléPersonnelle</formula>
    </cfRule>
    <cfRule type="expression" dxfId="1015" priority="1089" stopIfTrue="1">
      <formula>AQ65=CléCongés</formula>
    </cfRule>
  </conditionalFormatting>
  <conditionalFormatting sqref="AH65:AH66">
    <cfRule type="dataBar" priority="1077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{5E6F1CBB-4B83-4BFE-B77E-6449FFDC4B10}</x14:id>
        </ext>
      </extLst>
    </cfRule>
  </conditionalFormatting>
  <conditionalFormatting sqref="AO67">
    <cfRule type="expression" priority="1071" stopIfTrue="1">
      <formula>AO67=""</formula>
    </cfRule>
    <cfRule type="expression" dxfId="1014" priority="1072" stopIfTrue="1">
      <formula>AO67=CléPersonnalisée2</formula>
    </cfRule>
    <cfRule type="expression" dxfId="1013" priority="1073" stopIfTrue="1">
      <formula>AO67=CléPersonnalisée1</formula>
    </cfRule>
    <cfRule type="expression" dxfId="1012" priority="1074" stopIfTrue="1">
      <formula>AO67=CléMaladie</formula>
    </cfRule>
    <cfRule type="expression" dxfId="1011" priority="1075" stopIfTrue="1">
      <formula>AO67=CléPersonnelle</formula>
    </cfRule>
    <cfRule type="expression" dxfId="1010" priority="1076" stopIfTrue="1">
      <formula>AO67=CléCongés</formula>
    </cfRule>
  </conditionalFormatting>
  <conditionalFormatting sqref="AI65:AI66">
    <cfRule type="expression" priority="1065" stopIfTrue="1">
      <formula>AI65=""</formula>
    </cfRule>
    <cfRule type="expression" dxfId="1009" priority="1066" stopIfTrue="1">
      <formula>AI65=CléPersonnalisée2</formula>
    </cfRule>
    <cfRule type="expression" dxfId="1008" priority="1067" stopIfTrue="1">
      <formula>AI65=CléPersonnalisée1</formula>
    </cfRule>
    <cfRule type="expression" dxfId="1007" priority="1068" stopIfTrue="1">
      <formula>AI65=CléMaladie</formula>
    </cfRule>
    <cfRule type="expression" dxfId="1006" priority="1069" stopIfTrue="1">
      <formula>AI65=CléPersonnelle</formula>
    </cfRule>
    <cfRule type="expression" dxfId="1005" priority="1070" stopIfTrue="1">
      <formula>AI65=CléCongés</formula>
    </cfRule>
  </conditionalFormatting>
  <conditionalFormatting sqref="AN67">
    <cfRule type="expression" priority="1059" stopIfTrue="1">
      <formula>AN67=""</formula>
    </cfRule>
    <cfRule type="expression" dxfId="1004" priority="1060" stopIfTrue="1">
      <formula>AN67=CléPersonnalisée2</formula>
    </cfRule>
    <cfRule type="expression" dxfId="1003" priority="1061" stopIfTrue="1">
      <formula>AN67=CléPersonnalisée1</formula>
    </cfRule>
    <cfRule type="expression" dxfId="1002" priority="1062" stopIfTrue="1">
      <formula>AN67=CléMaladie</formula>
    </cfRule>
    <cfRule type="expression" dxfId="1001" priority="1063" stopIfTrue="1">
      <formula>AN67=CléPersonnelle</formula>
    </cfRule>
    <cfRule type="expression" dxfId="1000" priority="1064" stopIfTrue="1">
      <formula>AN67=CléCongés</formula>
    </cfRule>
  </conditionalFormatting>
  <conditionalFormatting sqref="AR11">
    <cfRule type="expression" priority="1053" stopIfTrue="1">
      <formula>AR11=""</formula>
    </cfRule>
    <cfRule type="expression" dxfId="999" priority="1054" stopIfTrue="1">
      <formula>AR11=CléPersonnalisée2</formula>
    </cfRule>
    <cfRule type="expression" dxfId="998" priority="1055" stopIfTrue="1">
      <formula>AR11=CléPersonnalisée1</formula>
    </cfRule>
    <cfRule type="expression" dxfId="997" priority="1056" stopIfTrue="1">
      <formula>AR11=CléMaladie</formula>
    </cfRule>
    <cfRule type="expression" dxfId="996" priority="1057" stopIfTrue="1">
      <formula>AR11=CléPersonnelle</formula>
    </cfRule>
    <cfRule type="expression" dxfId="995" priority="1058" stopIfTrue="1">
      <formula>AR11=CléCongés</formula>
    </cfRule>
  </conditionalFormatting>
  <conditionalFormatting sqref="AQ11">
    <cfRule type="expression" priority="1047" stopIfTrue="1">
      <formula>AQ11=""</formula>
    </cfRule>
    <cfRule type="expression" dxfId="994" priority="1048" stopIfTrue="1">
      <formula>AQ11=CléPersonnalisée2</formula>
    </cfRule>
    <cfRule type="expression" dxfId="993" priority="1049" stopIfTrue="1">
      <formula>AQ11=CléPersonnalisée1</formula>
    </cfRule>
    <cfRule type="expression" dxfId="992" priority="1050" stopIfTrue="1">
      <formula>AQ11=CléMaladie</formula>
    </cfRule>
    <cfRule type="expression" dxfId="991" priority="1051" stopIfTrue="1">
      <formula>AQ11=CléPersonnelle</formula>
    </cfRule>
    <cfRule type="expression" dxfId="990" priority="1052" stopIfTrue="1">
      <formula>AQ11=CléCongés</formula>
    </cfRule>
  </conditionalFormatting>
  <conditionalFormatting sqref="AR19">
    <cfRule type="expression" priority="1041" stopIfTrue="1">
      <formula>AR19=""</formula>
    </cfRule>
    <cfRule type="expression" dxfId="989" priority="1042" stopIfTrue="1">
      <formula>AR19=CléPersonnalisée2</formula>
    </cfRule>
    <cfRule type="expression" dxfId="988" priority="1043" stopIfTrue="1">
      <formula>AR19=CléPersonnalisée1</formula>
    </cfRule>
    <cfRule type="expression" dxfId="987" priority="1044" stopIfTrue="1">
      <formula>AR19=CléMaladie</formula>
    </cfRule>
    <cfRule type="expression" dxfId="986" priority="1045" stopIfTrue="1">
      <formula>AR19=CléPersonnelle</formula>
    </cfRule>
    <cfRule type="expression" dxfId="985" priority="1046" stopIfTrue="1">
      <formula>AR19=CléCongés</formula>
    </cfRule>
  </conditionalFormatting>
  <conditionalFormatting sqref="AQ19">
    <cfRule type="expression" priority="1035" stopIfTrue="1">
      <formula>AQ19=""</formula>
    </cfRule>
    <cfRule type="expression" dxfId="984" priority="1036" stopIfTrue="1">
      <formula>AQ19=CléPersonnalisée2</formula>
    </cfRule>
    <cfRule type="expression" dxfId="983" priority="1037" stopIfTrue="1">
      <formula>AQ19=CléPersonnalisée1</formula>
    </cfRule>
    <cfRule type="expression" dxfId="982" priority="1038" stopIfTrue="1">
      <formula>AQ19=CléMaladie</formula>
    </cfRule>
    <cfRule type="expression" dxfId="981" priority="1039" stopIfTrue="1">
      <formula>AQ19=CléPersonnelle</formula>
    </cfRule>
    <cfRule type="expression" dxfId="980" priority="1040" stopIfTrue="1">
      <formula>AQ19=CléCongés</formula>
    </cfRule>
  </conditionalFormatting>
  <conditionalFormatting sqref="AR23">
    <cfRule type="expression" priority="1029" stopIfTrue="1">
      <formula>AR23=""</formula>
    </cfRule>
    <cfRule type="expression" dxfId="979" priority="1030" stopIfTrue="1">
      <formula>AR23=CléPersonnalisée2</formula>
    </cfRule>
    <cfRule type="expression" dxfId="978" priority="1031" stopIfTrue="1">
      <formula>AR23=CléPersonnalisée1</formula>
    </cfRule>
    <cfRule type="expression" dxfId="977" priority="1032" stopIfTrue="1">
      <formula>AR23=CléMaladie</formula>
    </cfRule>
    <cfRule type="expression" dxfId="976" priority="1033" stopIfTrue="1">
      <formula>AR23=CléPersonnelle</formula>
    </cfRule>
    <cfRule type="expression" dxfId="975" priority="1034" stopIfTrue="1">
      <formula>AR23=CléCongés</formula>
    </cfRule>
  </conditionalFormatting>
  <conditionalFormatting sqref="AQ23">
    <cfRule type="expression" priority="1023" stopIfTrue="1">
      <formula>AQ23=""</formula>
    </cfRule>
    <cfRule type="expression" dxfId="974" priority="1024" stopIfTrue="1">
      <formula>AQ23=CléPersonnalisée2</formula>
    </cfRule>
    <cfRule type="expression" dxfId="973" priority="1025" stopIfTrue="1">
      <formula>AQ23=CléPersonnalisée1</formula>
    </cfRule>
    <cfRule type="expression" dxfId="972" priority="1026" stopIfTrue="1">
      <formula>AQ23=CléMaladie</formula>
    </cfRule>
    <cfRule type="expression" dxfId="971" priority="1027" stopIfTrue="1">
      <formula>AQ23=CléPersonnelle</formula>
    </cfRule>
    <cfRule type="expression" dxfId="970" priority="1028" stopIfTrue="1">
      <formula>AQ23=CléCongés</formula>
    </cfRule>
  </conditionalFormatting>
  <conditionalFormatting sqref="AR27">
    <cfRule type="expression" priority="1017" stopIfTrue="1">
      <formula>AR27=""</formula>
    </cfRule>
    <cfRule type="expression" dxfId="969" priority="1018" stopIfTrue="1">
      <formula>AR27=CléPersonnalisée2</formula>
    </cfRule>
    <cfRule type="expression" dxfId="968" priority="1019" stopIfTrue="1">
      <formula>AR27=CléPersonnalisée1</formula>
    </cfRule>
    <cfRule type="expression" dxfId="967" priority="1020" stopIfTrue="1">
      <formula>AR27=CléMaladie</formula>
    </cfRule>
    <cfRule type="expression" dxfId="966" priority="1021" stopIfTrue="1">
      <formula>AR27=CléPersonnelle</formula>
    </cfRule>
    <cfRule type="expression" dxfId="965" priority="1022" stopIfTrue="1">
      <formula>AR27=CléCongés</formula>
    </cfRule>
  </conditionalFormatting>
  <conditionalFormatting sqref="AQ27">
    <cfRule type="expression" priority="1011" stopIfTrue="1">
      <formula>AQ27=""</formula>
    </cfRule>
    <cfRule type="expression" dxfId="964" priority="1012" stopIfTrue="1">
      <formula>AQ27=CléPersonnalisée2</formula>
    </cfRule>
    <cfRule type="expression" dxfId="963" priority="1013" stopIfTrue="1">
      <formula>AQ27=CléPersonnalisée1</formula>
    </cfRule>
    <cfRule type="expression" dxfId="962" priority="1014" stopIfTrue="1">
      <formula>AQ27=CléMaladie</formula>
    </cfRule>
    <cfRule type="expression" dxfId="961" priority="1015" stopIfTrue="1">
      <formula>AQ27=CléPersonnelle</formula>
    </cfRule>
    <cfRule type="expression" dxfId="960" priority="1016" stopIfTrue="1">
      <formula>AQ27=CléCongés</formula>
    </cfRule>
  </conditionalFormatting>
  <conditionalFormatting sqref="AR31">
    <cfRule type="expression" priority="1005" stopIfTrue="1">
      <formula>AR31=""</formula>
    </cfRule>
    <cfRule type="expression" dxfId="959" priority="1006" stopIfTrue="1">
      <formula>AR31=CléPersonnalisée2</formula>
    </cfRule>
    <cfRule type="expression" dxfId="958" priority="1007" stopIfTrue="1">
      <formula>AR31=CléPersonnalisée1</formula>
    </cfRule>
    <cfRule type="expression" dxfId="957" priority="1008" stopIfTrue="1">
      <formula>AR31=CléMaladie</formula>
    </cfRule>
    <cfRule type="expression" dxfId="956" priority="1009" stopIfTrue="1">
      <formula>AR31=CléPersonnelle</formula>
    </cfRule>
    <cfRule type="expression" dxfId="955" priority="1010" stopIfTrue="1">
      <formula>AR31=CléCongés</formula>
    </cfRule>
  </conditionalFormatting>
  <conditionalFormatting sqref="AQ31">
    <cfRule type="expression" priority="999" stopIfTrue="1">
      <formula>AQ31=""</formula>
    </cfRule>
    <cfRule type="expression" dxfId="954" priority="1000" stopIfTrue="1">
      <formula>AQ31=CléPersonnalisée2</formula>
    </cfRule>
    <cfRule type="expression" dxfId="953" priority="1001" stopIfTrue="1">
      <formula>AQ31=CléPersonnalisée1</formula>
    </cfRule>
    <cfRule type="expression" dxfId="952" priority="1002" stopIfTrue="1">
      <formula>AQ31=CléMaladie</formula>
    </cfRule>
    <cfRule type="expression" dxfId="951" priority="1003" stopIfTrue="1">
      <formula>AQ31=CléPersonnelle</formula>
    </cfRule>
    <cfRule type="expression" dxfId="950" priority="1004" stopIfTrue="1">
      <formula>AQ31=CléCongés</formula>
    </cfRule>
  </conditionalFormatting>
  <conditionalFormatting sqref="AR35">
    <cfRule type="expression" priority="993" stopIfTrue="1">
      <formula>AR35=""</formula>
    </cfRule>
    <cfRule type="expression" dxfId="949" priority="994" stopIfTrue="1">
      <formula>AR35=CléPersonnalisée2</formula>
    </cfRule>
    <cfRule type="expression" dxfId="948" priority="995" stopIfTrue="1">
      <formula>AR35=CléPersonnalisée1</formula>
    </cfRule>
    <cfRule type="expression" dxfId="947" priority="996" stopIfTrue="1">
      <formula>AR35=CléMaladie</formula>
    </cfRule>
    <cfRule type="expression" dxfId="946" priority="997" stopIfTrue="1">
      <formula>AR35=CléPersonnelle</formula>
    </cfRule>
    <cfRule type="expression" dxfId="945" priority="998" stopIfTrue="1">
      <formula>AR35=CléCongés</formula>
    </cfRule>
  </conditionalFormatting>
  <conditionalFormatting sqref="AQ35">
    <cfRule type="expression" priority="987" stopIfTrue="1">
      <formula>AQ35=""</formula>
    </cfRule>
    <cfRule type="expression" dxfId="944" priority="988" stopIfTrue="1">
      <formula>AQ35=CléPersonnalisée2</formula>
    </cfRule>
    <cfRule type="expression" dxfId="943" priority="989" stopIfTrue="1">
      <formula>AQ35=CléPersonnalisée1</formula>
    </cfRule>
    <cfRule type="expression" dxfId="942" priority="990" stopIfTrue="1">
      <formula>AQ35=CléMaladie</formula>
    </cfRule>
    <cfRule type="expression" dxfId="941" priority="991" stopIfTrue="1">
      <formula>AQ35=CléPersonnelle</formula>
    </cfRule>
    <cfRule type="expression" dxfId="940" priority="992" stopIfTrue="1">
      <formula>AQ35=CléCongés</formula>
    </cfRule>
  </conditionalFormatting>
  <conditionalFormatting sqref="AR39">
    <cfRule type="expression" priority="981" stopIfTrue="1">
      <formula>AR39=""</formula>
    </cfRule>
    <cfRule type="expression" dxfId="939" priority="982" stopIfTrue="1">
      <formula>AR39=CléPersonnalisée2</formula>
    </cfRule>
    <cfRule type="expression" dxfId="938" priority="983" stopIfTrue="1">
      <formula>AR39=CléPersonnalisée1</formula>
    </cfRule>
    <cfRule type="expression" dxfId="937" priority="984" stopIfTrue="1">
      <formula>AR39=CléMaladie</formula>
    </cfRule>
    <cfRule type="expression" dxfId="936" priority="985" stopIfTrue="1">
      <formula>AR39=CléPersonnelle</formula>
    </cfRule>
    <cfRule type="expression" dxfId="935" priority="986" stopIfTrue="1">
      <formula>AR39=CléCongés</formula>
    </cfRule>
  </conditionalFormatting>
  <conditionalFormatting sqref="AQ39">
    <cfRule type="expression" priority="975" stopIfTrue="1">
      <formula>AQ39=""</formula>
    </cfRule>
    <cfRule type="expression" dxfId="934" priority="976" stopIfTrue="1">
      <formula>AQ39=CléPersonnalisée2</formula>
    </cfRule>
    <cfRule type="expression" dxfId="933" priority="977" stopIfTrue="1">
      <formula>AQ39=CléPersonnalisée1</formula>
    </cfRule>
    <cfRule type="expression" dxfId="932" priority="978" stopIfTrue="1">
      <formula>AQ39=CléMaladie</formula>
    </cfRule>
    <cfRule type="expression" dxfId="931" priority="979" stopIfTrue="1">
      <formula>AQ39=CléPersonnelle</formula>
    </cfRule>
    <cfRule type="expression" dxfId="930" priority="980" stopIfTrue="1">
      <formula>AQ39=CléCongés</formula>
    </cfRule>
  </conditionalFormatting>
  <conditionalFormatting sqref="AR43">
    <cfRule type="expression" priority="969" stopIfTrue="1">
      <formula>AR43=""</formula>
    </cfRule>
    <cfRule type="expression" dxfId="929" priority="970" stopIfTrue="1">
      <formula>AR43=CléPersonnalisée2</formula>
    </cfRule>
    <cfRule type="expression" dxfId="928" priority="971" stopIfTrue="1">
      <formula>AR43=CléPersonnalisée1</formula>
    </cfRule>
    <cfRule type="expression" dxfId="927" priority="972" stopIfTrue="1">
      <formula>AR43=CléMaladie</formula>
    </cfRule>
    <cfRule type="expression" dxfId="926" priority="973" stopIfTrue="1">
      <formula>AR43=CléPersonnelle</formula>
    </cfRule>
    <cfRule type="expression" dxfId="925" priority="974" stopIfTrue="1">
      <formula>AR43=CléCongés</formula>
    </cfRule>
  </conditionalFormatting>
  <conditionalFormatting sqref="AQ43">
    <cfRule type="expression" priority="963" stopIfTrue="1">
      <formula>AQ43=""</formula>
    </cfRule>
    <cfRule type="expression" dxfId="924" priority="964" stopIfTrue="1">
      <formula>AQ43=CléPersonnalisée2</formula>
    </cfRule>
    <cfRule type="expression" dxfId="923" priority="965" stopIfTrue="1">
      <formula>AQ43=CléPersonnalisée1</formula>
    </cfRule>
    <cfRule type="expression" dxfId="922" priority="966" stopIfTrue="1">
      <formula>AQ43=CléMaladie</formula>
    </cfRule>
    <cfRule type="expression" dxfId="921" priority="967" stopIfTrue="1">
      <formula>AQ43=CléPersonnelle</formula>
    </cfRule>
    <cfRule type="expression" dxfId="920" priority="968" stopIfTrue="1">
      <formula>AQ43=CléCongés</formula>
    </cfRule>
  </conditionalFormatting>
  <conditionalFormatting sqref="AR47">
    <cfRule type="expression" priority="957" stopIfTrue="1">
      <formula>AR47=""</formula>
    </cfRule>
    <cfRule type="expression" dxfId="919" priority="958" stopIfTrue="1">
      <formula>AR47=CléPersonnalisée2</formula>
    </cfRule>
    <cfRule type="expression" dxfId="918" priority="959" stopIfTrue="1">
      <formula>AR47=CléPersonnalisée1</formula>
    </cfRule>
    <cfRule type="expression" dxfId="917" priority="960" stopIfTrue="1">
      <formula>AR47=CléMaladie</formula>
    </cfRule>
    <cfRule type="expression" dxfId="916" priority="961" stopIfTrue="1">
      <formula>AR47=CléPersonnelle</formula>
    </cfRule>
    <cfRule type="expression" dxfId="915" priority="962" stopIfTrue="1">
      <formula>AR47=CléCongés</formula>
    </cfRule>
  </conditionalFormatting>
  <conditionalFormatting sqref="AQ47">
    <cfRule type="expression" priority="951" stopIfTrue="1">
      <formula>AQ47=""</formula>
    </cfRule>
    <cfRule type="expression" dxfId="914" priority="952" stopIfTrue="1">
      <formula>AQ47=CléPersonnalisée2</formula>
    </cfRule>
    <cfRule type="expression" dxfId="913" priority="953" stopIfTrue="1">
      <formula>AQ47=CléPersonnalisée1</formula>
    </cfRule>
    <cfRule type="expression" dxfId="912" priority="954" stopIfTrue="1">
      <formula>AQ47=CléMaladie</formula>
    </cfRule>
    <cfRule type="expression" dxfId="911" priority="955" stopIfTrue="1">
      <formula>AQ47=CléPersonnelle</formula>
    </cfRule>
    <cfRule type="expression" dxfId="910" priority="956" stopIfTrue="1">
      <formula>AQ47=CléCongés</formula>
    </cfRule>
  </conditionalFormatting>
  <conditionalFormatting sqref="AR51">
    <cfRule type="expression" priority="945" stopIfTrue="1">
      <formula>AR51=""</formula>
    </cfRule>
    <cfRule type="expression" dxfId="909" priority="946" stopIfTrue="1">
      <formula>AR51=CléPersonnalisée2</formula>
    </cfRule>
    <cfRule type="expression" dxfId="908" priority="947" stopIfTrue="1">
      <formula>AR51=CléPersonnalisée1</formula>
    </cfRule>
    <cfRule type="expression" dxfId="907" priority="948" stopIfTrue="1">
      <formula>AR51=CléMaladie</formula>
    </cfRule>
    <cfRule type="expression" dxfId="906" priority="949" stopIfTrue="1">
      <formula>AR51=CléPersonnelle</formula>
    </cfRule>
    <cfRule type="expression" dxfId="905" priority="950" stopIfTrue="1">
      <formula>AR51=CléCongés</formula>
    </cfRule>
  </conditionalFormatting>
  <conditionalFormatting sqref="AQ51">
    <cfRule type="expression" priority="939" stopIfTrue="1">
      <formula>AQ51=""</formula>
    </cfRule>
    <cfRule type="expression" dxfId="904" priority="940" stopIfTrue="1">
      <formula>AQ51=CléPersonnalisée2</formula>
    </cfRule>
    <cfRule type="expression" dxfId="903" priority="941" stopIfTrue="1">
      <formula>AQ51=CléPersonnalisée1</formula>
    </cfRule>
    <cfRule type="expression" dxfId="902" priority="942" stopIfTrue="1">
      <formula>AQ51=CléMaladie</formula>
    </cfRule>
    <cfRule type="expression" dxfId="901" priority="943" stopIfTrue="1">
      <formula>AQ51=CléPersonnelle</formula>
    </cfRule>
    <cfRule type="expression" dxfId="900" priority="944" stopIfTrue="1">
      <formula>AQ51=CléCongés</formula>
    </cfRule>
  </conditionalFormatting>
  <conditionalFormatting sqref="AR55">
    <cfRule type="expression" priority="933" stopIfTrue="1">
      <formula>AR55=""</formula>
    </cfRule>
    <cfRule type="expression" dxfId="899" priority="934" stopIfTrue="1">
      <formula>AR55=CléPersonnalisée2</formula>
    </cfRule>
    <cfRule type="expression" dxfId="898" priority="935" stopIfTrue="1">
      <formula>AR55=CléPersonnalisée1</formula>
    </cfRule>
    <cfRule type="expression" dxfId="897" priority="936" stopIfTrue="1">
      <formula>AR55=CléMaladie</formula>
    </cfRule>
    <cfRule type="expression" dxfId="896" priority="937" stopIfTrue="1">
      <formula>AR55=CléPersonnelle</formula>
    </cfRule>
    <cfRule type="expression" dxfId="895" priority="938" stopIfTrue="1">
      <formula>AR55=CléCongés</formula>
    </cfRule>
  </conditionalFormatting>
  <conditionalFormatting sqref="AQ55">
    <cfRule type="expression" priority="927" stopIfTrue="1">
      <formula>AQ55=""</formula>
    </cfRule>
    <cfRule type="expression" dxfId="894" priority="928" stopIfTrue="1">
      <formula>AQ55=CléPersonnalisée2</formula>
    </cfRule>
    <cfRule type="expression" dxfId="893" priority="929" stopIfTrue="1">
      <formula>AQ55=CléPersonnalisée1</formula>
    </cfRule>
    <cfRule type="expression" dxfId="892" priority="930" stopIfTrue="1">
      <formula>AQ55=CléMaladie</formula>
    </cfRule>
    <cfRule type="expression" dxfId="891" priority="931" stopIfTrue="1">
      <formula>AQ55=CléPersonnelle</formula>
    </cfRule>
    <cfRule type="expression" dxfId="890" priority="932" stopIfTrue="1">
      <formula>AQ55=CléCongés</formula>
    </cfRule>
  </conditionalFormatting>
  <conditionalFormatting sqref="AR63">
    <cfRule type="expression" priority="921" stopIfTrue="1">
      <formula>AR63=""</formula>
    </cfRule>
    <cfRule type="expression" dxfId="889" priority="922" stopIfTrue="1">
      <formula>AR63=CléPersonnalisée2</formula>
    </cfRule>
    <cfRule type="expression" dxfId="888" priority="923" stopIfTrue="1">
      <formula>AR63=CléPersonnalisée1</formula>
    </cfRule>
    <cfRule type="expression" dxfId="887" priority="924" stopIfTrue="1">
      <formula>AR63=CléMaladie</formula>
    </cfRule>
    <cfRule type="expression" dxfId="886" priority="925" stopIfTrue="1">
      <formula>AR63=CléPersonnelle</formula>
    </cfRule>
    <cfRule type="expression" dxfId="885" priority="926" stopIfTrue="1">
      <formula>AR63=CléCongés</formula>
    </cfRule>
  </conditionalFormatting>
  <conditionalFormatting sqref="AQ63">
    <cfRule type="expression" priority="915" stopIfTrue="1">
      <formula>AQ63=""</formula>
    </cfRule>
    <cfRule type="expression" dxfId="884" priority="916" stopIfTrue="1">
      <formula>AQ63=CléPersonnalisée2</formula>
    </cfRule>
    <cfRule type="expression" dxfId="883" priority="917" stopIfTrue="1">
      <formula>AQ63=CléPersonnalisée1</formula>
    </cfRule>
    <cfRule type="expression" dxfId="882" priority="918" stopIfTrue="1">
      <formula>AQ63=CléMaladie</formula>
    </cfRule>
    <cfRule type="expression" dxfId="881" priority="919" stopIfTrue="1">
      <formula>AQ63=CléPersonnelle</formula>
    </cfRule>
    <cfRule type="expression" dxfId="880" priority="920" stopIfTrue="1">
      <formula>AQ63=CléCongés</formula>
    </cfRule>
  </conditionalFormatting>
  <conditionalFormatting sqref="AR67">
    <cfRule type="expression" priority="909" stopIfTrue="1">
      <formula>AR67=""</formula>
    </cfRule>
    <cfRule type="expression" dxfId="879" priority="910" stopIfTrue="1">
      <formula>AR67=CléPersonnalisée2</formula>
    </cfRule>
    <cfRule type="expression" dxfId="878" priority="911" stopIfTrue="1">
      <formula>AR67=CléPersonnalisée1</formula>
    </cfRule>
    <cfRule type="expression" dxfId="877" priority="912" stopIfTrue="1">
      <formula>AR67=CléMaladie</formula>
    </cfRule>
    <cfRule type="expression" dxfId="876" priority="913" stopIfTrue="1">
      <formula>AR67=CléPersonnelle</formula>
    </cfRule>
    <cfRule type="expression" dxfId="875" priority="914" stopIfTrue="1">
      <formula>AR67=CléCongés</formula>
    </cfRule>
  </conditionalFormatting>
  <conditionalFormatting sqref="AQ67">
    <cfRule type="expression" priority="903" stopIfTrue="1">
      <formula>AQ67=""</formula>
    </cfRule>
    <cfRule type="expression" dxfId="874" priority="904" stopIfTrue="1">
      <formula>AQ67=CléPersonnalisée2</formula>
    </cfRule>
    <cfRule type="expression" dxfId="873" priority="905" stopIfTrue="1">
      <formula>AQ67=CléPersonnalisée1</formula>
    </cfRule>
    <cfRule type="expression" dxfId="872" priority="906" stopIfTrue="1">
      <formula>AQ67=CléMaladie</formula>
    </cfRule>
    <cfRule type="expression" dxfId="871" priority="907" stopIfTrue="1">
      <formula>AQ67=CléPersonnelle</formula>
    </cfRule>
    <cfRule type="expression" dxfId="870" priority="908" stopIfTrue="1">
      <formula>AQ67=CléCongés</formula>
    </cfRule>
  </conditionalFormatting>
  <conditionalFormatting sqref="AR71">
    <cfRule type="expression" priority="897" stopIfTrue="1">
      <formula>AR71=""</formula>
    </cfRule>
    <cfRule type="expression" dxfId="869" priority="898" stopIfTrue="1">
      <formula>AR71=CléPersonnalisée2</formula>
    </cfRule>
    <cfRule type="expression" dxfId="868" priority="899" stopIfTrue="1">
      <formula>AR71=CléPersonnalisée1</formula>
    </cfRule>
    <cfRule type="expression" dxfId="867" priority="900" stopIfTrue="1">
      <formula>AR71=CléMaladie</formula>
    </cfRule>
    <cfRule type="expression" dxfId="866" priority="901" stopIfTrue="1">
      <formula>AR71=CléPersonnelle</formula>
    </cfRule>
    <cfRule type="expression" dxfId="865" priority="902" stopIfTrue="1">
      <formula>AR71=CléCongés</formula>
    </cfRule>
  </conditionalFormatting>
  <conditionalFormatting sqref="C73:AG75">
    <cfRule type="expression" priority="884" stopIfTrue="1">
      <formula>C73=""</formula>
    </cfRule>
    <cfRule type="expression" dxfId="864" priority="885" stopIfTrue="1">
      <formula>C73=CléPersonnalisée2</formula>
    </cfRule>
    <cfRule type="expression" dxfId="863" priority="886" stopIfTrue="1">
      <formula>C73=CléPersonnalisée1</formula>
    </cfRule>
    <cfRule type="expression" dxfId="862" priority="887" stopIfTrue="1">
      <formula>C73=CléMaladie</formula>
    </cfRule>
    <cfRule type="expression" dxfId="861" priority="888" stopIfTrue="1">
      <formula>C73=CléPersonnelle</formula>
    </cfRule>
    <cfRule type="expression" dxfId="860" priority="889" stopIfTrue="1">
      <formula>C73=CléCongés</formula>
    </cfRule>
  </conditionalFormatting>
  <conditionalFormatting sqref="AH75">
    <cfRule type="dataBar" priority="890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{B894547F-8FC6-4EEF-8857-DDD95941C793}</x14:id>
        </ext>
      </extLst>
    </cfRule>
  </conditionalFormatting>
  <conditionalFormatting sqref="AI75:AL75 AJ73:AL74">
    <cfRule type="expression" priority="878" stopIfTrue="1">
      <formula>AI73=""</formula>
    </cfRule>
    <cfRule type="expression" dxfId="859" priority="879" stopIfTrue="1">
      <formula>AI73=CléPersonnalisée2</formula>
    </cfRule>
    <cfRule type="expression" dxfId="858" priority="880" stopIfTrue="1">
      <formula>AI73=CléPersonnalisée1</formula>
    </cfRule>
    <cfRule type="expression" dxfId="857" priority="881" stopIfTrue="1">
      <formula>AI73=CléMaladie</formula>
    </cfRule>
    <cfRule type="expression" dxfId="856" priority="882" stopIfTrue="1">
      <formula>AI73=CléPersonnelle</formula>
    </cfRule>
    <cfRule type="expression" dxfId="855" priority="883" stopIfTrue="1">
      <formula>AI73=CléCongés</formula>
    </cfRule>
  </conditionalFormatting>
  <conditionalFormatting sqref="AM73:AP74">
    <cfRule type="expression" priority="872" stopIfTrue="1">
      <formula>AM73=""</formula>
    </cfRule>
    <cfRule type="expression" dxfId="854" priority="873" stopIfTrue="1">
      <formula>AM73=CléPersonnalisée2</formula>
    </cfRule>
    <cfRule type="expression" dxfId="853" priority="874" stopIfTrue="1">
      <formula>AM73=CléPersonnalisée1</formula>
    </cfRule>
    <cfRule type="expression" dxfId="852" priority="875" stopIfTrue="1">
      <formula>AM73=CléMaladie</formula>
    </cfRule>
    <cfRule type="expression" dxfId="851" priority="876" stopIfTrue="1">
      <formula>AM73=CléPersonnelle</formula>
    </cfRule>
    <cfRule type="expression" dxfId="850" priority="877" stopIfTrue="1">
      <formula>AM73=CléCongés</formula>
    </cfRule>
  </conditionalFormatting>
  <conditionalFormatting sqref="AQ73:AR74">
    <cfRule type="expression" priority="866" stopIfTrue="1">
      <formula>AQ73=""</formula>
    </cfRule>
    <cfRule type="expression" dxfId="849" priority="867" stopIfTrue="1">
      <formula>AQ73=CléPersonnalisée2</formula>
    </cfRule>
    <cfRule type="expression" dxfId="848" priority="868" stopIfTrue="1">
      <formula>AQ73=CléPersonnalisée1</formula>
    </cfRule>
    <cfRule type="expression" dxfId="847" priority="869" stopIfTrue="1">
      <formula>AQ73=CléMaladie</formula>
    </cfRule>
    <cfRule type="expression" dxfId="846" priority="870" stopIfTrue="1">
      <formula>AQ73=CléPersonnelle</formula>
    </cfRule>
    <cfRule type="expression" dxfId="845" priority="871" stopIfTrue="1">
      <formula>AQ73=CléCongés</formula>
    </cfRule>
  </conditionalFormatting>
  <conditionalFormatting sqref="AM75 AP75">
    <cfRule type="expression" priority="860" stopIfTrue="1">
      <formula>AM75=""</formula>
    </cfRule>
    <cfRule type="expression" dxfId="844" priority="861" stopIfTrue="1">
      <formula>AM75=CléPersonnalisée2</formula>
    </cfRule>
    <cfRule type="expression" dxfId="843" priority="862" stopIfTrue="1">
      <formula>AM75=CléPersonnalisée1</formula>
    </cfRule>
    <cfRule type="expression" dxfId="842" priority="863" stopIfTrue="1">
      <formula>AM75=CléMaladie</formula>
    </cfRule>
    <cfRule type="expression" dxfId="841" priority="864" stopIfTrue="1">
      <formula>AM75=CléPersonnelle</formula>
    </cfRule>
    <cfRule type="expression" dxfId="840" priority="865" stopIfTrue="1">
      <formula>AM75=CléCongés</formula>
    </cfRule>
  </conditionalFormatting>
  <conditionalFormatting sqref="AH73:AH74">
    <cfRule type="dataBar" priority="859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{DBA96280-3D3C-4BF9-A83B-8A86E2F65231}</x14:id>
        </ext>
      </extLst>
    </cfRule>
  </conditionalFormatting>
  <conditionalFormatting sqref="AI73:AI74">
    <cfRule type="expression" priority="853" stopIfTrue="1">
      <formula>AI73=""</formula>
    </cfRule>
    <cfRule type="expression" dxfId="839" priority="854" stopIfTrue="1">
      <formula>AI73=CléPersonnalisée2</formula>
    </cfRule>
    <cfRule type="expression" dxfId="838" priority="855" stopIfTrue="1">
      <formula>AI73=CléPersonnalisée1</formula>
    </cfRule>
    <cfRule type="expression" dxfId="837" priority="856" stopIfTrue="1">
      <formula>AI73=CléMaladie</formula>
    </cfRule>
    <cfRule type="expression" dxfId="836" priority="857" stopIfTrue="1">
      <formula>AI73=CléPersonnelle</formula>
    </cfRule>
    <cfRule type="expression" dxfId="835" priority="858" stopIfTrue="1">
      <formula>AI73=CléCongés</formula>
    </cfRule>
  </conditionalFormatting>
  <conditionalFormatting sqref="AR75">
    <cfRule type="expression" priority="847" stopIfTrue="1">
      <formula>AR75=""</formula>
    </cfRule>
    <cfRule type="expression" dxfId="834" priority="848" stopIfTrue="1">
      <formula>AR75=CléPersonnalisée2</formula>
    </cfRule>
    <cfRule type="expression" dxfId="833" priority="849" stopIfTrue="1">
      <formula>AR75=CléPersonnalisée1</formula>
    </cfRule>
    <cfRule type="expression" dxfId="832" priority="850" stopIfTrue="1">
      <formula>AR75=CléMaladie</formula>
    </cfRule>
    <cfRule type="expression" dxfId="831" priority="851" stopIfTrue="1">
      <formula>AR75=CléPersonnelle</formula>
    </cfRule>
    <cfRule type="expression" dxfId="830" priority="852" stopIfTrue="1">
      <formula>AR75=CléCongés</formula>
    </cfRule>
  </conditionalFormatting>
  <conditionalFormatting sqref="C81:AG83">
    <cfRule type="expression" priority="834" stopIfTrue="1">
      <formula>C81=""</formula>
    </cfRule>
    <cfRule type="expression" dxfId="829" priority="835" stopIfTrue="1">
      <formula>C81=CléPersonnalisée2</formula>
    </cfRule>
    <cfRule type="expression" dxfId="828" priority="836" stopIfTrue="1">
      <formula>C81=CléPersonnalisée1</formula>
    </cfRule>
    <cfRule type="expression" dxfId="827" priority="837" stopIfTrue="1">
      <formula>C81=CléMaladie</formula>
    </cfRule>
    <cfRule type="expression" dxfId="826" priority="838" stopIfTrue="1">
      <formula>C81=CléPersonnelle</formula>
    </cfRule>
    <cfRule type="expression" dxfId="825" priority="839" stopIfTrue="1">
      <formula>C81=CléCongés</formula>
    </cfRule>
  </conditionalFormatting>
  <conditionalFormatting sqref="AH83">
    <cfRule type="dataBar" priority="840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{6D381200-BB63-4358-AF87-51A9A20FE506}</x14:id>
        </ext>
      </extLst>
    </cfRule>
  </conditionalFormatting>
  <conditionalFormatting sqref="AI83:AL83 AJ81:AL82">
    <cfRule type="expression" priority="828" stopIfTrue="1">
      <formula>AI81=""</formula>
    </cfRule>
    <cfRule type="expression" dxfId="824" priority="829" stopIfTrue="1">
      <formula>AI81=CléPersonnalisée2</formula>
    </cfRule>
    <cfRule type="expression" dxfId="823" priority="830" stopIfTrue="1">
      <formula>AI81=CléPersonnalisée1</formula>
    </cfRule>
    <cfRule type="expression" dxfId="822" priority="831" stopIfTrue="1">
      <formula>AI81=CléMaladie</formula>
    </cfRule>
    <cfRule type="expression" dxfId="821" priority="832" stopIfTrue="1">
      <formula>AI81=CléPersonnelle</formula>
    </cfRule>
    <cfRule type="expression" dxfId="820" priority="833" stopIfTrue="1">
      <formula>AI81=CléCongés</formula>
    </cfRule>
  </conditionalFormatting>
  <conditionalFormatting sqref="AM81:AP82">
    <cfRule type="expression" priority="822" stopIfTrue="1">
      <formula>AM81=""</formula>
    </cfRule>
    <cfRule type="expression" dxfId="819" priority="823" stopIfTrue="1">
      <formula>AM81=CléPersonnalisée2</formula>
    </cfRule>
    <cfRule type="expression" dxfId="818" priority="824" stopIfTrue="1">
      <formula>AM81=CléPersonnalisée1</formula>
    </cfRule>
    <cfRule type="expression" dxfId="817" priority="825" stopIfTrue="1">
      <formula>AM81=CléMaladie</formula>
    </cfRule>
    <cfRule type="expression" dxfId="816" priority="826" stopIfTrue="1">
      <formula>AM81=CléPersonnelle</formula>
    </cfRule>
    <cfRule type="expression" dxfId="815" priority="827" stopIfTrue="1">
      <formula>AM81=CléCongés</formula>
    </cfRule>
  </conditionalFormatting>
  <conditionalFormatting sqref="AQ81:AR82">
    <cfRule type="expression" priority="816" stopIfTrue="1">
      <formula>AQ81=""</formula>
    </cfRule>
    <cfRule type="expression" dxfId="814" priority="817" stopIfTrue="1">
      <formula>AQ81=CléPersonnalisée2</formula>
    </cfRule>
    <cfRule type="expression" dxfId="813" priority="818" stopIfTrue="1">
      <formula>AQ81=CléPersonnalisée1</formula>
    </cfRule>
    <cfRule type="expression" dxfId="812" priority="819" stopIfTrue="1">
      <formula>AQ81=CléMaladie</formula>
    </cfRule>
    <cfRule type="expression" dxfId="811" priority="820" stopIfTrue="1">
      <formula>AQ81=CléPersonnelle</formula>
    </cfRule>
    <cfRule type="expression" dxfId="810" priority="821" stopIfTrue="1">
      <formula>AQ81=CléCongés</formula>
    </cfRule>
  </conditionalFormatting>
  <conditionalFormatting sqref="AM83 AP83">
    <cfRule type="expression" priority="810" stopIfTrue="1">
      <formula>AM83=""</formula>
    </cfRule>
    <cfRule type="expression" dxfId="809" priority="811" stopIfTrue="1">
      <formula>AM83=CléPersonnalisée2</formula>
    </cfRule>
    <cfRule type="expression" dxfId="808" priority="812" stopIfTrue="1">
      <formula>AM83=CléPersonnalisée1</formula>
    </cfRule>
    <cfRule type="expression" dxfId="807" priority="813" stopIfTrue="1">
      <formula>AM83=CléMaladie</formula>
    </cfRule>
    <cfRule type="expression" dxfId="806" priority="814" stopIfTrue="1">
      <formula>AM83=CléPersonnelle</formula>
    </cfRule>
    <cfRule type="expression" dxfId="805" priority="815" stopIfTrue="1">
      <formula>AM83=CléCongés</formula>
    </cfRule>
  </conditionalFormatting>
  <conditionalFormatting sqref="AH81:AH82">
    <cfRule type="dataBar" priority="809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{65D02C1E-F5BC-44B5-8995-0526C1F3B859}</x14:id>
        </ext>
      </extLst>
    </cfRule>
  </conditionalFormatting>
  <conditionalFormatting sqref="AO83">
    <cfRule type="expression" priority="803" stopIfTrue="1">
      <formula>AO83=""</formula>
    </cfRule>
    <cfRule type="expression" dxfId="804" priority="804" stopIfTrue="1">
      <formula>AO83=CléPersonnalisée2</formula>
    </cfRule>
    <cfRule type="expression" dxfId="803" priority="805" stopIfTrue="1">
      <formula>AO83=CléPersonnalisée1</formula>
    </cfRule>
    <cfRule type="expression" dxfId="802" priority="806" stopIfTrue="1">
      <formula>AO83=CléMaladie</formula>
    </cfRule>
    <cfRule type="expression" dxfId="801" priority="807" stopIfTrue="1">
      <formula>AO83=CléPersonnelle</formula>
    </cfRule>
    <cfRule type="expression" dxfId="800" priority="808" stopIfTrue="1">
      <formula>AO83=CléCongés</formula>
    </cfRule>
  </conditionalFormatting>
  <conditionalFormatting sqref="AI81:AI82">
    <cfRule type="expression" priority="797" stopIfTrue="1">
      <formula>AI81=""</formula>
    </cfRule>
    <cfRule type="expression" dxfId="799" priority="798" stopIfTrue="1">
      <formula>AI81=CléPersonnalisée2</formula>
    </cfRule>
    <cfRule type="expression" dxfId="798" priority="799" stopIfTrue="1">
      <formula>AI81=CléPersonnalisée1</formula>
    </cfRule>
    <cfRule type="expression" dxfId="797" priority="800" stopIfTrue="1">
      <formula>AI81=CléMaladie</formula>
    </cfRule>
    <cfRule type="expression" dxfId="796" priority="801" stopIfTrue="1">
      <formula>AI81=CléPersonnelle</formula>
    </cfRule>
    <cfRule type="expression" dxfId="795" priority="802" stopIfTrue="1">
      <formula>AI81=CléCongés</formula>
    </cfRule>
  </conditionalFormatting>
  <conditionalFormatting sqref="AN83">
    <cfRule type="expression" priority="791" stopIfTrue="1">
      <formula>AN83=""</formula>
    </cfRule>
    <cfRule type="expression" dxfId="794" priority="792" stopIfTrue="1">
      <formula>AN83=CléPersonnalisée2</formula>
    </cfRule>
    <cfRule type="expression" dxfId="793" priority="793" stopIfTrue="1">
      <formula>AN83=CléPersonnalisée1</formula>
    </cfRule>
    <cfRule type="expression" dxfId="792" priority="794" stopIfTrue="1">
      <formula>AN83=CléMaladie</formula>
    </cfRule>
    <cfRule type="expression" dxfId="791" priority="795" stopIfTrue="1">
      <formula>AN83=CléPersonnelle</formula>
    </cfRule>
    <cfRule type="expression" dxfId="790" priority="796" stopIfTrue="1">
      <formula>AN83=CléCongés</formula>
    </cfRule>
  </conditionalFormatting>
  <conditionalFormatting sqref="AR83">
    <cfRule type="expression" priority="785" stopIfTrue="1">
      <formula>AR83=""</formula>
    </cfRule>
    <cfRule type="expression" dxfId="789" priority="786" stopIfTrue="1">
      <formula>AR83=CléPersonnalisée2</formula>
    </cfRule>
    <cfRule type="expression" dxfId="788" priority="787" stopIfTrue="1">
      <formula>AR83=CléPersonnalisée1</formula>
    </cfRule>
    <cfRule type="expression" dxfId="787" priority="788" stopIfTrue="1">
      <formula>AR83=CléMaladie</formula>
    </cfRule>
    <cfRule type="expression" dxfId="786" priority="789" stopIfTrue="1">
      <formula>AR83=CléPersonnelle</formula>
    </cfRule>
    <cfRule type="expression" dxfId="785" priority="790" stopIfTrue="1">
      <formula>AR83=CléCongés</formula>
    </cfRule>
  </conditionalFormatting>
  <conditionalFormatting sqref="AQ87">
    <cfRule type="expression" priority="717" stopIfTrue="1">
      <formula>AQ87=""</formula>
    </cfRule>
    <cfRule type="expression" dxfId="784" priority="718" stopIfTrue="1">
      <formula>AQ87=CléPersonnalisée2</formula>
    </cfRule>
    <cfRule type="expression" dxfId="783" priority="719" stopIfTrue="1">
      <formula>AQ87=CléPersonnalisée1</formula>
    </cfRule>
    <cfRule type="expression" dxfId="782" priority="720" stopIfTrue="1">
      <formula>AQ87=CléMaladie</formula>
    </cfRule>
    <cfRule type="expression" dxfId="781" priority="721" stopIfTrue="1">
      <formula>AQ87=CléPersonnelle</formula>
    </cfRule>
    <cfRule type="expression" dxfId="780" priority="722" stopIfTrue="1">
      <formula>AQ87=CléCongés</formula>
    </cfRule>
  </conditionalFormatting>
  <conditionalFormatting sqref="C85:AG87">
    <cfRule type="expression" priority="772" stopIfTrue="1">
      <formula>C85=""</formula>
    </cfRule>
    <cfRule type="expression" dxfId="779" priority="773" stopIfTrue="1">
      <formula>C85=CléPersonnalisée2</formula>
    </cfRule>
    <cfRule type="expression" dxfId="778" priority="774" stopIfTrue="1">
      <formula>C85=CléPersonnalisée1</formula>
    </cfRule>
    <cfRule type="expression" dxfId="777" priority="775" stopIfTrue="1">
      <formula>C85=CléMaladie</formula>
    </cfRule>
    <cfRule type="expression" dxfId="776" priority="776" stopIfTrue="1">
      <formula>C85=CléPersonnelle</formula>
    </cfRule>
    <cfRule type="expression" dxfId="775" priority="777" stopIfTrue="1">
      <formula>C85=CléCongés</formula>
    </cfRule>
  </conditionalFormatting>
  <conditionalFormatting sqref="AH87">
    <cfRule type="dataBar" priority="778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{F92054CC-EA0C-4E3F-BA9E-E29BABB5545F}</x14:id>
        </ext>
      </extLst>
    </cfRule>
  </conditionalFormatting>
  <conditionalFormatting sqref="AI87:AL87 AJ85:AL86">
    <cfRule type="expression" priority="766" stopIfTrue="1">
      <formula>AI85=""</formula>
    </cfRule>
    <cfRule type="expression" dxfId="774" priority="767" stopIfTrue="1">
      <formula>AI85=CléPersonnalisée2</formula>
    </cfRule>
    <cfRule type="expression" dxfId="773" priority="768" stopIfTrue="1">
      <formula>AI85=CléPersonnalisée1</formula>
    </cfRule>
    <cfRule type="expression" dxfId="772" priority="769" stopIfTrue="1">
      <formula>AI85=CléMaladie</formula>
    </cfRule>
    <cfRule type="expression" dxfId="771" priority="770" stopIfTrue="1">
      <formula>AI85=CléPersonnelle</formula>
    </cfRule>
    <cfRule type="expression" dxfId="770" priority="771" stopIfTrue="1">
      <formula>AI85=CléCongés</formula>
    </cfRule>
  </conditionalFormatting>
  <conditionalFormatting sqref="AM85:AP86">
    <cfRule type="expression" priority="760" stopIfTrue="1">
      <formula>AM85=""</formula>
    </cfRule>
    <cfRule type="expression" dxfId="769" priority="761" stopIfTrue="1">
      <formula>AM85=CléPersonnalisée2</formula>
    </cfRule>
    <cfRule type="expression" dxfId="768" priority="762" stopIfTrue="1">
      <formula>AM85=CléPersonnalisée1</formula>
    </cfRule>
    <cfRule type="expression" dxfId="767" priority="763" stopIfTrue="1">
      <formula>AM85=CléMaladie</formula>
    </cfRule>
    <cfRule type="expression" dxfId="766" priority="764" stopIfTrue="1">
      <formula>AM85=CléPersonnelle</formula>
    </cfRule>
    <cfRule type="expression" dxfId="765" priority="765" stopIfTrue="1">
      <formula>AM85=CléCongés</formula>
    </cfRule>
  </conditionalFormatting>
  <conditionalFormatting sqref="AQ85:AR86">
    <cfRule type="expression" priority="754" stopIfTrue="1">
      <formula>AQ85=""</formula>
    </cfRule>
    <cfRule type="expression" dxfId="764" priority="755" stopIfTrue="1">
      <formula>AQ85=CléPersonnalisée2</formula>
    </cfRule>
    <cfRule type="expression" dxfId="763" priority="756" stopIfTrue="1">
      <formula>AQ85=CléPersonnalisée1</formula>
    </cfRule>
    <cfRule type="expression" dxfId="762" priority="757" stopIfTrue="1">
      <formula>AQ85=CléMaladie</formula>
    </cfRule>
    <cfRule type="expression" dxfId="761" priority="758" stopIfTrue="1">
      <formula>AQ85=CléPersonnelle</formula>
    </cfRule>
    <cfRule type="expression" dxfId="760" priority="759" stopIfTrue="1">
      <formula>AQ85=CléCongés</formula>
    </cfRule>
  </conditionalFormatting>
  <conditionalFormatting sqref="AM87 AP87">
    <cfRule type="expression" priority="748" stopIfTrue="1">
      <formula>AM87=""</formula>
    </cfRule>
    <cfRule type="expression" dxfId="759" priority="749" stopIfTrue="1">
      <formula>AM87=CléPersonnalisée2</formula>
    </cfRule>
    <cfRule type="expression" dxfId="758" priority="750" stopIfTrue="1">
      <formula>AM87=CléPersonnalisée1</formula>
    </cfRule>
    <cfRule type="expression" dxfId="757" priority="751" stopIfTrue="1">
      <formula>AM87=CléMaladie</formula>
    </cfRule>
    <cfRule type="expression" dxfId="756" priority="752" stopIfTrue="1">
      <formula>AM87=CléPersonnelle</formula>
    </cfRule>
    <cfRule type="expression" dxfId="755" priority="753" stopIfTrue="1">
      <formula>AM87=CléCongés</formula>
    </cfRule>
  </conditionalFormatting>
  <conditionalFormatting sqref="AH85:AH86">
    <cfRule type="dataBar" priority="747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{EB237DCD-1F9B-4266-BED7-AEF957BA30D7}</x14:id>
        </ext>
      </extLst>
    </cfRule>
  </conditionalFormatting>
  <conditionalFormatting sqref="AO87">
    <cfRule type="expression" priority="741" stopIfTrue="1">
      <formula>AO87=""</formula>
    </cfRule>
    <cfRule type="expression" dxfId="754" priority="742" stopIfTrue="1">
      <formula>AO87=CléPersonnalisée2</formula>
    </cfRule>
    <cfRule type="expression" dxfId="753" priority="743" stopIfTrue="1">
      <formula>AO87=CléPersonnalisée1</formula>
    </cfRule>
    <cfRule type="expression" dxfId="752" priority="744" stopIfTrue="1">
      <formula>AO87=CléMaladie</formula>
    </cfRule>
    <cfRule type="expression" dxfId="751" priority="745" stopIfTrue="1">
      <formula>AO87=CléPersonnelle</formula>
    </cfRule>
    <cfRule type="expression" dxfId="750" priority="746" stopIfTrue="1">
      <formula>AO87=CléCongés</formula>
    </cfRule>
  </conditionalFormatting>
  <conditionalFormatting sqref="AI85:AI86">
    <cfRule type="expression" priority="735" stopIfTrue="1">
      <formula>AI85=""</formula>
    </cfRule>
    <cfRule type="expression" dxfId="749" priority="736" stopIfTrue="1">
      <formula>AI85=CléPersonnalisée2</formula>
    </cfRule>
    <cfRule type="expression" dxfId="748" priority="737" stopIfTrue="1">
      <formula>AI85=CléPersonnalisée1</formula>
    </cfRule>
    <cfRule type="expression" dxfId="747" priority="738" stopIfTrue="1">
      <formula>AI85=CléMaladie</formula>
    </cfRule>
    <cfRule type="expression" dxfId="746" priority="739" stopIfTrue="1">
      <formula>AI85=CléPersonnelle</formula>
    </cfRule>
    <cfRule type="expression" dxfId="745" priority="740" stopIfTrue="1">
      <formula>AI85=CléCongés</formula>
    </cfRule>
  </conditionalFormatting>
  <conditionalFormatting sqref="AN87">
    <cfRule type="expression" priority="729" stopIfTrue="1">
      <formula>AN87=""</formula>
    </cfRule>
    <cfRule type="expression" dxfId="744" priority="730" stopIfTrue="1">
      <formula>AN87=CléPersonnalisée2</formula>
    </cfRule>
    <cfRule type="expression" dxfId="743" priority="731" stopIfTrue="1">
      <formula>AN87=CléPersonnalisée1</formula>
    </cfRule>
    <cfRule type="expression" dxfId="742" priority="732" stopIfTrue="1">
      <formula>AN87=CléMaladie</formula>
    </cfRule>
    <cfRule type="expression" dxfId="741" priority="733" stopIfTrue="1">
      <formula>AN87=CléPersonnelle</formula>
    </cfRule>
    <cfRule type="expression" dxfId="740" priority="734" stopIfTrue="1">
      <formula>AN87=CléCongés</formula>
    </cfRule>
  </conditionalFormatting>
  <conditionalFormatting sqref="AR87">
    <cfRule type="expression" priority="723" stopIfTrue="1">
      <formula>AR87=""</formula>
    </cfRule>
    <cfRule type="expression" dxfId="739" priority="724" stopIfTrue="1">
      <formula>AR87=CléPersonnalisée2</formula>
    </cfRule>
    <cfRule type="expression" dxfId="738" priority="725" stopIfTrue="1">
      <formula>AR87=CléPersonnalisée1</formula>
    </cfRule>
    <cfRule type="expression" dxfId="737" priority="726" stopIfTrue="1">
      <formula>AR87=CléMaladie</formula>
    </cfRule>
    <cfRule type="expression" dxfId="736" priority="727" stopIfTrue="1">
      <formula>AR87=CléPersonnelle</formula>
    </cfRule>
    <cfRule type="expression" dxfId="735" priority="728" stopIfTrue="1">
      <formula>AR87=CléCongés</formula>
    </cfRule>
  </conditionalFormatting>
  <conditionalFormatting sqref="C89:AG91">
    <cfRule type="expression" priority="710" stopIfTrue="1">
      <formula>C89=""</formula>
    </cfRule>
    <cfRule type="expression" dxfId="734" priority="711" stopIfTrue="1">
      <formula>C89=CléPersonnalisée2</formula>
    </cfRule>
    <cfRule type="expression" dxfId="733" priority="712" stopIfTrue="1">
      <formula>C89=CléPersonnalisée1</formula>
    </cfRule>
    <cfRule type="expression" dxfId="732" priority="713" stopIfTrue="1">
      <formula>C89=CléMaladie</formula>
    </cfRule>
    <cfRule type="expression" dxfId="731" priority="714" stopIfTrue="1">
      <formula>C89=CléPersonnelle</formula>
    </cfRule>
    <cfRule type="expression" dxfId="730" priority="715" stopIfTrue="1">
      <formula>C89=CléCongés</formula>
    </cfRule>
  </conditionalFormatting>
  <conditionalFormatting sqref="AH91">
    <cfRule type="dataBar" priority="716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{8A106AE6-3638-4C8E-BD25-756D407C211B}</x14:id>
        </ext>
      </extLst>
    </cfRule>
  </conditionalFormatting>
  <conditionalFormatting sqref="AI91:AL91 AJ89:AL90">
    <cfRule type="expression" priority="704" stopIfTrue="1">
      <formula>AI89=""</formula>
    </cfRule>
    <cfRule type="expression" dxfId="729" priority="705" stopIfTrue="1">
      <formula>AI89=CléPersonnalisée2</formula>
    </cfRule>
    <cfRule type="expression" dxfId="728" priority="706" stopIfTrue="1">
      <formula>AI89=CléPersonnalisée1</formula>
    </cfRule>
    <cfRule type="expression" dxfId="727" priority="707" stopIfTrue="1">
      <formula>AI89=CléMaladie</formula>
    </cfRule>
    <cfRule type="expression" dxfId="726" priority="708" stopIfTrue="1">
      <formula>AI89=CléPersonnelle</formula>
    </cfRule>
    <cfRule type="expression" dxfId="725" priority="709" stopIfTrue="1">
      <formula>AI89=CléCongés</formula>
    </cfRule>
  </conditionalFormatting>
  <conditionalFormatting sqref="AM89:AP90">
    <cfRule type="expression" priority="698" stopIfTrue="1">
      <formula>AM89=""</formula>
    </cfRule>
    <cfRule type="expression" dxfId="724" priority="699" stopIfTrue="1">
      <formula>AM89=CléPersonnalisée2</formula>
    </cfRule>
    <cfRule type="expression" dxfId="723" priority="700" stopIfTrue="1">
      <formula>AM89=CléPersonnalisée1</formula>
    </cfRule>
    <cfRule type="expression" dxfId="722" priority="701" stopIfTrue="1">
      <formula>AM89=CléMaladie</formula>
    </cfRule>
    <cfRule type="expression" dxfId="721" priority="702" stopIfTrue="1">
      <formula>AM89=CléPersonnelle</formula>
    </cfRule>
    <cfRule type="expression" dxfId="720" priority="703" stopIfTrue="1">
      <formula>AM89=CléCongés</formula>
    </cfRule>
  </conditionalFormatting>
  <conditionalFormatting sqref="AQ89:AR90">
    <cfRule type="expression" priority="692" stopIfTrue="1">
      <formula>AQ89=""</formula>
    </cfRule>
    <cfRule type="expression" dxfId="719" priority="693" stopIfTrue="1">
      <formula>AQ89=CléPersonnalisée2</formula>
    </cfRule>
    <cfRule type="expression" dxfId="718" priority="694" stopIfTrue="1">
      <formula>AQ89=CléPersonnalisée1</formula>
    </cfRule>
    <cfRule type="expression" dxfId="717" priority="695" stopIfTrue="1">
      <formula>AQ89=CléMaladie</formula>
    </cfRule>
    <cfRule type="expression" dxfId="716" priority="696" stopIfTrue="1">
      <formula>AQ89=CléPersonnelle</formula>
    </cfRule>
    <cfRule type="expression" dxfId="715" priority="697" stopIfTrue="1">
      <formula>AQ89=CléCongés</formula>
    </cfRule>
  </conditionalFormatting>
  <conditionalFormatting sqref="AM91 AP91">
    <cfRule type="expression" priority="686" stopIfTrue="1">
      <formula>AM91=""</formula>
    </cfRule>
    <cfRule type="expression" dxfId="714" priority="687" stopIfTrue="1">
      <formula>AM91=CléPersonnalisée2</formula>
    </cfRule>
    <cfRule type="expression" dxfId="713" priority="688" stopIfTrue="1">
      <formula>AM91=CléPersonnalisée1</formula>
    </cfRule>
    <cfRule type="expression" dxfId="712" priority="689" stopIfTrue="1">
      <formula>AM91=CléMaladie</formula>
    </cfRule>
    <cfRule type="expression" dxfId="711" priority="690" stopIfTrue="1">
      <formula>AM91=CléPersonnelle</formula>
    </cfRule>
    <cfRule type="expression" dxfId="710" priority="691" stopIfTrue="1">
      <formula>AM91=CléCongés</formula>
    </cfRule>
  </conditionalFormatting>
  <conditionalFormatting sqref="AH89:AH90">
    <cfRule type="dataBar" priority="685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{87640213-529B-4F1C-9368-D8DC7F4E1DAC}</x14:id>
        </ext>
      </extLst>
    </cfRule>
  </conditionalFormatting>
  <conditionalFormatting sqref="AO91">
    <cfRule type="expression" priority="679" stopIfTrue="1">
      <formula>AO91=""</formula>
    </cfRule>
    <cfRule type="expression" dxfId="709" priority="680" stopIfTrue="1">
      <formula>AO91=CléPersonnalisée2</formula>
    </cfRule>
    <cfRule type="expression" dxfId="708" priority="681" stopIfTrue="1">
      <formula>AO91=CléPersonnalisée1</formula>
    </cfRule>
    <cfRule type="expression" dxfId="707" priority="682" stopIfTrue="1">
      <formula>AO91=CléMaladie</formula>
    </cfRule>
    <cfRule type="expression" dxfId="706" priority="683" stopIfTrue="1">
      <formula>AO91=CléPersonnelle</formula>
    </cfRule>
    <cfRule type="expression" dxfId="705" priority="684" stopIfTrue="1">
      <formula>AO91=CléCongés</formula>
    </cfRule>
  </conditionalFormatting>
  <conditionalFormatting sqref="AI89:AI90">
    <cfRule type="expression" priority="673" stopIfTrue="1">
      <formula>AI89=""</formula>
    </cfRule>
    <cfRule type="expression" dxfId="704" priority="674" stopIfTrue="1">
      <formula>AI89=CléPersonnalisée2</formula>
    </cfRule>
    <cfRule type="expression" dxfId="703" priority="675" stopIfTrue="1">
      <formula>AI89=CléPersonnalisée1</formula>
    </cfRule>
    <cfRule type="expression" dxfId="702" priority="676" stopIfTrue="1">
      <formula>AI89=CléMaladie</formula>
    </cfRule>
    <cfRule type="expression" dxfId="701" priority="677" stopIfTrue="1">
      <formula>AI89=CléPersonnelle</formula>
    </cfRule>
    <cfRule type="expression" dxfId="700" priority="678" stopIfTrue="1">
      <formula>AI89=CléCongés</formula>
    </cfRule>
  </conditionalFormatting>
  <conditionalFormatting sqref="AN91">
    <cfRule type="expression" priority="667" stopIfTrue="1">
      <formula>AN91=""</formula>
    </cfRule>
    <cfRule type="expression" dxfId="699" priority="668" stopIfTrue="1">
      <formula>AN91=CléPersonnalisée2</formula>
    </cfRule>
    <cfRule type="expression" dxfId="698" priority="669" stopIfTrue="1">
      <formula>AN91=CléPersonnalisée1</formula>
    </cfRule>
    <cfRule type="expression" dxfId="697" priority="670" stopIfTrue="1">
      <formula>AN91=CléMaladie</formula>
    </cfRule>
    <cfRule type="expression" dxfId="696" priority="671" stopIfTrue="1">
      <formula>AN91=CléPersonnelle</formula>
    </cfRule>
    <cfRule type="expression" dxfId="695" priority="672" stopIfTrue="1">
      <formula>AN91=CléCongés</formula>
    </cfRule>
  </conditionalFormatting>
  <conditionalFormatting sqref="AR91">
    <cfRule type="expression" priority="661" stopIfTrue="1">
      <formula>AR91=""</formula>
    </cfRule>
    <cfRule type="expression" dxfId="694" priority="662" stopIfTrue="1">
      <formula>AR91=CléPersonnalisée2</formula>
    </cfRule>
    <cfRule type="expression" dxfId="693" priority="663" stopIfTrue="1">
      <formula>AR91=CléPersonnalisée1</formula>
    </cfRule>
    <cfRule type="expression" dxfId="692" priority="664" stopIfTrue="1">
      <formula>AR91=CléMaladie</formula>
    </cfRule>
    <cfRule type="expression" dxfId="691" priority="665" stopIfTrue="1">
      <formula>AR91=CléPersonnelle</formula>
    </cfRule>
    <cfRule type="expression" dxfId="690" priority="666" stopIfTrue="1">
      <formula>AR91=CléCongés</formula>
    </cfRule>
  </conditionalFormatting>
  <conditionalFormatting sqref="AO75">
    <cfRule type="expression" priority="649" stopIfTrue="1">
      <formula>AO75=""</formula>
    </cfRule>
    <cfRule type="expression" dxfId="689" priority="650" stopIfTrue="1">
      <formula>AO75=CléPersonnalisée2</formula>
    </cfRule>
    <cfRule type="expression" dxfId="688" priority="651" stopIfTrue="1">
      <formula>AO75=CléPersonnalisée1</formula>
    </cfRule>
    <cfRule type="expression" dxfId="687" priority="652" stopIfTrue="1">
      <formula>AO75=CléMaladie</formula>
    </cfRule>
    <cfRule type="expression" dxfId="686" priority="653" stopIfTrue="1">
      <formula>AO75=CléPersonnelle</formula>
    </cfRule>
    <cfRule type="expression" dxfId="685" priority="654" stopIfTrue="1">
      <formula>AO75=CléCongés</formula>
    </cfRule>
  </conditionalFormatting>
  <conditionalFormatting sqref="AN75">
    <cfRule type="expression" priority="643" stopIfTrue="1">
      <formula>AN75=""</formula>
    </cfRule>
    <cfRule type="expression" dxfId="684" priority="644" stopIfTrue="1">
      <formula>AN75=CléPersonnalisée2</formula>
    </cfRule>
    <cfRule type="expression" dxfId="683" priority="645" stopIfTrue="1">
      <formula>AN75=CléPersonnalisée1</formula>
    </cfRule>
    <cfRule type="expression" dxfId="682" priority="646" stopIfTrue="1">
      <formula>AN75=CléMaladie</formula>
    </cfRule>
    <cfRule type="expression" dxfId="681" priority="647" stopIfTrue="1">
      <formula>AN75=CléPersonnelle</formula>
    </cfRule>
    <cfRule type="expression" dxfId="680" priority="648" stopIfTrue="1">
      <formula>AN75=CléCongés</formula>
    </cfRule>
  </conditionalFormatting>
  <conditionalFormatting sqref="AQ124:AR124">
    <cfRule type="expression" priority="637" stopIfTrue="1">
      <formula>AQ124=""</formula>
    </cfRule>
    <cfRule type="expression" dxfId="679" priority="638" stopIfTrue="1">
      <formula>AQ124=CléPersonnalisée2</formula>
    </cfRule>
    <cfRule type="expression" dxfId="678" priority="639" stopIfTrue="1">
      <formula>AQ124=CléPersonnalisée1</formula>
    </cfRule>
    <cfRule type="expression" dxfId="677" priority="640" stopIfTrue="1">
      <formula>AQ124=CléMaladie</formula>
    </cfRule>
    <cfRule type="expression" dxfId="676" priority="641" stopIfTrue="1">
      <formula>AQ124=CléPersonnelle</formula>
    </cfRule>
    <cfRule type="expression" dxfId="675" priority="642" stopIfTrue="1">
      <formula>AQ124=CléCongés</formula>
    </cfRule>
  </conditionalFormatting>
  <conditionalFormatting sqref="AQ123">
    <cfRule type="expression" priority="451" stopIfTrue="1">
      <formula>AQ123=""</formula>
    </cfRule>
    <cfRule type="expression" dxfId="674" priority="452" stopIfTrue="1">
      <formula>AQ123=CléPersonnalisée2</formula>
    </cfRule>
    <cfRule type="expression" dxfId="673" priority="453" stopIfTrue="1">
      <formula>AQ123=CléPersonnalisée1</formula>
    </cfRule>
    <cfRule type="expression" dxfId="672" priority="454" stopIfTrue="1">
      <formula>AQ123=CléMaladie</formula>
    </cfRule>
    <cfRule type="expression" dxfId="671" priority="455" stopIfTrue="1">
      <formula>AQ123=CléPersonnelle</formula>
    </cfRule>
    <cfRule type="expression" dxfId="670" priority="456" stopIfTrue="1">
      <formula>AQ123=CléCongés</formula>
    </cfRule>
  </conditionalFormatting>
  <conditionalFormatting sqref="AQ104:AR104 AQ112:AR112 AQ116:AR116">
    <cfRule type="expression" priority="631" stopIfTrue="1">
      <formula>AQ104=""</formula>
    </cfRule>
    <cfRule type="expression" dxfId="669" priority="632" stopIfTrue="1">
      <formula>AQ104=CléPersonnalisée2</formula>
    </cfRule>
    <cfRule type="expression" dxfId="668" priority="633" stopIfTrue="1">
      <formula>AQ104=CléPersonnalisée1</formula>
    </cfRule>
    <cfRule type="expression" dxfId="667" priority="634" stopIfTrue="1">
      <formula>AQ104=CléMaladie</formula>
    </cfRule>
    <cfRule type="expression" dxfId="666" priority="635" stopIfTrue="1">
      <formula>AQ104=CléPersonnelle</formula>
    </cfRule>
    <cfRule type="expression" dxfId="665" priority="636" stopIfTrue="1">
      <formula>AQ104=CléCongés</formula>
    </cfRule>
  </conditionalFormatting>
  <conditionalFormatting sqref="AQ95 AQ103 AQ99">
    <cfRule type="expression" priority="569" stopIfTrue="1">
      <formula>AQ95=""</formula>
    </cfRule>
    <cfRule type="expression" dxfId="664" priority="570" stopIfTrue="1">
      <formula>AQ95=CléPersonnalisée2</formula>
    </cfRule>
    <cfRule type="expression" dxfId="663" priority="571" stopIfTrue="1">
      <formula>AQ95=CléPersonnalisée1</formula>
    </cfRule>
    <cfRule type="expression" dxfId="662" priority="572" stopIfTrue="1">
      <formula>AQ95=CléMaladie</formula>
    </cfRule>
    <cfRule type="expression" dxfId="661" priority="573" stopIfTrue="1">
      <formula>AQ95=CléPersonnelle</formula>
    </cfRule>
    <cfRule type="expression" dxfId="660" priority="574" stopIfTrue="1">
      <formula>AQ95=CléCongés</formula>
    </cfRule>
  </conditionalFormatting>
  <conditionalFormatting sqref="C93:AG95 C101:AG103 C97:AG99">
    <cfRule type="expression" priority="624" stopIfTrue="1">
      <formula>C93=""</formula>
    </cfRule>
    <cfRule type="expression" dxfId="659" priority="625" stopIfTrue="1">
      <formula>C93=CléPersonnalisée2</formula>
    </cfRule>
    <cfRule type="expression" dxfId="658" priority="626" stopIfTrue="1">
      <formula>C93=CléPersonnalisée1</formula>
    </cfRule>
    <cfRule type="expression" dxfId="657" priority="627" stopIfTrue="1">
      <formula>C93=CléMaladie</formula>
    </cfRule>
    <cfRule type="expression" dxfId="656" priority="628" stopIfTrue="1">
      <formula>C93=CléPersonnelle</formula>
    </cfRule>
    <cfRule type="expression" dxfId="655" priority="629" stopIfTrue="1">
      <formula>C93=CléCongés</formula>
    </cfRule>
  </conditionalFormatting>
  <conditionalFormatting sqref="AH101:AH103 AH95 AH97:AH99">
    <cfRule type="dataBar" priority="630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{4DC6F847-D396-4577-AD39-C1E1023EA8D7}</x14:id>
        </ext>
      </extLst>
    </cfRule>
  </conditionalFormatting>
  <conditionalFormatting sqref="AI95:AL95 AJ93:AL94 AI101:AL103 AI97:AL99">
    <cfRule type="expression" priority="618" stopIfTrue="1">
      <formula>AI93=""</formula>
    </cfRule>
    <cfRule type="expression" dxfId="654" priority="619" stopIfTrue="1">
      <formula>AI93=CléPersonnalisée2</formula>
    </cfRule>
    <cfRule type="expression" dxfId="653" priority="620" stopIfTrue="1">
      <formula>AI93=CléPersonnalisée1</formula>
    </cfRule>
    <cfRule type="expression" dxfId="652" priority="621" stopIfTrue="1">
      <formula>AI93=CléMaladie</formula>
    </cfRule>
    <cfRule type="expression" dxfId="651" priority="622" stopIfTrue="1">
      <formula>AI93=CléPersonnelle</formula>
    </cfRule>
    <cfRule type="expression" dxfId="650" priority="623" stopIfTrue="1">
      <formula>AI93=CléCongés</formula>
    </cfRule>
  </conditionalFormatting>
  <conditionalFormatting sqref="AM93:AP94">
    <cfRule type="expression" priority="612" stopIfTrue="1">
      <formula>AM93=""</formula>
    </cfRule>
    <cfRule type="expression" dxfId="649" priority="613" stopIfTrue="1">
      <formula>AM93=CléPersonnalisée2</formula>
    </cfRule>
    <cfRule type="expression" dxfId="648" priority="614" stopIfTrue="1">
      <formula>AM93=CléPersonnalisée1</formula>
    </cfRule>
    <cfRule type="expression" dxfId="647" priority="615" stopIfTrue="1">
      <formula>AM93=CléMaladie</formula>
    </cfRule>
    <cfRule type="expression" dxfId="646" priority="616" stopIfTrue="1">
      <formula>AM93=CléPersonnelle</formula>
    </cfRule>
    <cfRule type="expression" dxfId="645" priority="617" stopIfTrue="1">
      <formula>AM93=CléCongés</formula>
    </cfRule>
  </conditionalFormatting>
  <conditionalFormatting sqref="AQ93:AR94">
    <cfRule type="expression" priority="606" stopIfTrue="1">
      <formula>AQ93=""</formula>
    </cfRule>
    <cfRule type="expression" dxfId="644" priority="607" stopIfTrue="1">
      <formula>AQ93=CléPersonnalisée2</formula>
    </cfRule>
    <cfRule type="expression" dxfId="643" priority="608" stopIfTrue="1">
      <formula>AQ93=CléPersonnalisée1</formula>
    </cfRule>
    <cfRule type="expression" dxfId="642" priority="609" stopIfTrue="1">
      <formula>AQ93=CléMaladie</formula>
    </cfRule>
    <cfRule type="expression" dxfId="641" priority="610" stopIfTrue="1">
      <formula>AQ93=CléPersonnelle</formula>
    </cfRule>
    <cfRule type="expression" dxfId="640" priority="611" stopIfTrue="1">
      <formula>AQ93=CléCongés</formula>
    </cfRule>
  </conditionalFormatting>
  <conditionalFormatting sqref="AP95 AP103 AM103 AP99 AM99">
    <cfRule type="expression" priority="600" stopIfTrue="1">
      <formula>AM95=""</formula>
    </cfRule>
    <cfRule type="expression" dxfId="639" priority="601" stopIfTrue="1">
      <formula>AM95=CléPersonnalisée2</formula>
    </cfRule>
    <cfRule type="expression" dxfId="638" priority="602" stopIfTrue="1">
      <formula>AM95=CléPersonnalisée1</formula>
    </cfRule>
    <cfRule type="expression" dxfId="637" priority="603" stopIfTrue="1">
      <formula>AM95=CléMaladie</formula>
    </cfRule>
    <cfRule type="expression" dxfId="636" priority="604" stopIfTrue="1">
      <formula>AM95=CléPersonnelle</formula>
    </cfRule>
    <cfRule type="expression" dxfId="635" priority="605" stopIfTrue="1">
      <formula>AM95=CléCongés</formula>
    </cfRule>
  </conditionalFormatting>
  <conditionalFormatting sqref="AH93:AH94">
    <cfRule type="dataBar" priority="599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{45A1587C-2AF1-4CE2-A60F-AAD7AE89CB08}</x14:id>
        </ext>
      </extLst>
    </cfRule>
  </conditionalFormatting>
  <conditionalFormatting sqref="AO95 AO103 AO99">
    <cfRule type="expression" priority="593" stopIfTrue="1">
      <formula>AO95=""</formula>
    </cfRule>
    <cfRule type="expression" dxfId="634" priority="594" stopIfTrue="1">
      <formula>AO95=CléPersonnalisée2</formula>
    </cfRule>
    <cfRule type="expression" dxfId="633" priority="595" stopIfTrue="1">
      <formula>AO95=CléPersonnalisée1</formula>
    </cfRule>
    <cfRule type="expression" dxfId="632" priority="596" stopIfTrue="1">
      <formula>AO95=CléMaladie</formula>
    </cfRule>
    <cfRule type="expression" dxfId="631" priority="597" stopIfTrue="1">
      <formula>AO95=CléPersonnelle</formula>
    </cfRule>
    <cfRule type="expression" dxfId="630" priority="598" stopIfTrue="1">
      <formula>AO95=CléCongés</formula>
    </cfRule>
  </conditionalFormatting>
  <conditionalFormatting sqref="AI93:AI94">
    <cfRule type="expression" priority="587" stopIfTrue="1">
      <formula>AI93=""</formula>
    </cfRule>
    <cfRule type="expression" dxfId="629" priority="588" stopIfTrue="1">
      <formula>AI93=CléPersonnalisée2</formula>
    </cfRule>
    <cfRule type="expression" dxfId="628" priority="589" stopIfTrue="1">
      <formula>AI93=CléPersonnalisée1</formula>
    </cfRule>
    <cfRule type="expression" dxfId="627" priority="590" stopIfTrue="1">
      <formula>AI93=CléMaladie</formula>
    </cfRule>
    <cfRule type="expression" dxfId="626" priority="591" stopIfTrue="1">
      <formula>AI93=CléPersonnelle</formula>
    </cfRule>
    <cfRule type="expression" dxfId="625" priority="592" stopIfTrue="1">
      <formula>AI93=CléCongés</formula>
    </cfRule>
  </conditionalFormatting>
  <conditionalFormatting sqref="AN95 AN103 AN99">
    <cfRule type="expression" priority="581" stopIfTrue="1">
      <formula>AN95=""</formula>
    </cfRule>
    <cfRule type="expression" dxfId="624" priority="582" stopIfTrue="1">
      <formula>AN95=CléPersonnalisée2</formula>
    </cfRule>
    <cfRule type="expression" dxfId="623" priority="583" stopIfTrue="1">
      <formula>AN95=CléPersonnalisée1</formula>
    </cfRule>
    <cfRule type="expression" dxfId="622" priority="584" stopIfTrue="1">
      <formula>AN95=CléMaladie</formula>
    </cfRule>
    <cfRule type="expression" dxfId="621" priority="585" stopIfTrue="1">
      <formula>AN95=CléPersonnelle</formula>
    </cfRule>
    <cfRule type="expression" dxfId="620" priority="586" stopIfTrue="1">
      <formula>AN95=CléCongés</formula>
    </cfRule>
  </conditionalFormatting>
  <conditionalFormatting sqref="AR95 AR103 AR99">
    <cfRule type="expression" priority="575" stopIfTrue="1">
      <formula>AR95=""</formula>
    </cfRule>
    <cfRule type="expression" dxfId="619" priority="576" stopIfTrue="1">
      <formula>AR95=CléPersonnalisée2</formula>
    </cfRule>
    <cfRule type="expression" dxfId="618" priority="577" stopIfTrue="1">
      <formula>AR95=CléPersonnalisée1</formula>
    </cfRule>
    <cfRule type="expression" dxfId="617" priority="578" stopIfTrue="1">
      <formula>AR95=CléMaladie</formula>
    </cfRule>
    <cfRule type="expression" dxfId="616" priority="579" stopIfTrue="1">
      <formula>AR95=CléPersonnelle</formula>
    </cfRule>
    <cfRule type="expression" dxfId="615" priority="580" stopIfTrue="1">
      <formula>AR95=CléCongés</formula>
    </cfRule>
  </conditionalFormatting>
  <conditionalFormatting sqref="AQ111">
    <cfRule type="expression" priority="513" stopIfTrue="1">
      <formula>AQ111=""</formula>
    </cfRule>
    <cfRule type="expression" dxfId="614" priority="514" stopIfTrue="1">
      <formula>AQ111=CléPersonnalisée2</formula>
    </cfRule>
    <cfRule type="expression" dxfId="613" priority="515" stopIfTrue="1">
      <formula>AQ111=CléPersonnalisée1</formula>
    </cfRule>
    <cfRule type="expression" dxfId="612" priority="516" stopIfTrue="1">
      <formula>AQ111=CléMaladie</formula>
    </cfRule>
    <cfRule type="expression" dxfId="611" priority="517" stopIfTrue="1">
      <formula>AQ111=CléPersonnelle</formula>
    </cfRule>
    <cfRule type="expression" dxfId="610" priority="518" stopIfTrue="1">
      <formula>AQ111=CléCongés</formula>
    </cfRule>
  </conditionalFormatting>
  <conditionalFormatting sqref="C109:AG111">
    <cfRule type="expression" priority="562" stopIfTrue="1">
      <formula>C109=""</formula>
    </cfRule>
    <cfRule type="expression" dxfId="609" priority="563" stopIfTrue="1">
      <formula>C109=CléPersonnalisée2</formula>
    </cfRule>
    <cfRule type="expression" dxfId="608" priority="564" stopIfTrue="1">
      <formula>C109=CléPersonnalisée1</formula>
    </cfRule>
    <cfRule type="expression" dxfId="607" priority="565" stopIfTrue="1">
      <formula>C109=CléMaladie</formula>
    </cfRule>
    <cfRule type="expression" dxfId="606" priority="566" stopIfTrue="1">
      <formula>C109=CléPersonnelle</formula>
    </cfRule>
    <cfRule type="expression" dxfId="605" priority="567" stopIfTrue="1">
      <formula>C109=CléCongés</formula>
    </cfRule>
  </conditionalFormatting>
  <conditionalFormatting sqref="AH111">
    <cfRule type="dataBar" priority="568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{E30365B5-9E69-476B-B04A-81A180A31A4E}</x14:id>
        </ext>
      </extLst>
    </cfRule>
  </conditionalFormatting>
  <conditionalFormatting sqref="AI111:AL111 AJ109:AL110">
    <cfRule type="expression" priority="556" stopIfTrue="1">
      <formula>AI109=""</formula>
    </cfRule>
    <cfRule type="expression" dxfId="604" priority="557" stopIfTrue="1">
      <formula>AI109=CléPersonnalisée2</formula>
    </cfRule>
    <cfRule type="expression" dxfId="603" priority="558" stopIfTrue="1">
      <formula>AI109=CléPersonnalisée1</formula>
    </cfRule>
    <cfRule type="expression" dxfId="602" priority="559" stopIfTrue="1">
      <formula>AI109=CléMaladie</formula>
    </cfRule>
    <cfRule type="expression" dxfId="601" priority="560" stopIfTrue="1">
      <formula>AI109=CléPersonnelle</formula>
    </cfRule>
    <cfRule type="expression" dxfId="600" priority="561" stopIfTrue="1">
      <formula>AI109=CléCongés</formula>
    </cfRule>
  </conditionalFormatting>
  <conditionalFormatting sqref="AM109:AP110">
    <cfRule type="expression" priority="550" stopIfTrue="1">
      <formula>AM109=""</formula>
    </cfRule>
    <cfRule type="expression" dxfId="599" priority="551" stopIfTrue="1">
      <formula>AM109=CléPersonnalisée2</formula>
    </cfRule>
    <cfRule type="expression" dxfId="598" priority="552" stopIfTrue="1">
      <formula>AM109=CléPersonnalisée1</formula>
    </cfRule>
    <cfRule type="expression" dxfId="597" priority="553" stopIfTrue="1">
      <formula>AM109=CléMaladie</formula>
    </cfRule>
    <cfRule type="expression" dxfId="596" priority="554" stopIfTrue="1">
      <formula>AM109=CléPersonnelle</formula>
    </cfRule>
    <cfRule type="expression" dxfId="595" priority="555" stopIfTrue="1">
      <formula>AM109=CléCongés</formula>
    </cfRule>
  </conditionalFormatting>
  <conditionalFormatting sqref="AQ109:AR110">
    <cfRule type="expression" priority="544" stopIfTrue="1">
      <formula>AQ109=""</formula>
    </cfRule>
    <cfRule type="expression" dxfId="594" priority="545" stopIfTrue="1">
      <formula>AQ109=CléPersonnalisée2</formula>
    </cfRule>
    <cfRule type="expression" dxfId="593" priority="546" stopIfTrue="1">
      <formula>AQ109=CléPersonnalisée1</formula>
    </cfRule>
    <cfRule type="expression" dxfId="592" priority="547" stopIfTrue="1">
      <formula>AQ109=CléMaladie</formula>
    </cfRule>
    <cfRule type="expression" dxfId="591" priority="548" stopIfTrue="1">
      <formula>AQ109=CléPersonnelle</formula>
    </cfRule>
    <cfRule type="expression" dxfId="590" priority="549" stopIfTrue="1">
      <formula>AQ109=CléCongés</formula>
    </cfRule>
  </conditionalFormatting>
  <conditionalFormatting sqref="AM111 AP111">
    <cfRule type="expression" priority="538" stopIfTrue="1">
      <formula>AM111=""</formula>
    </cfRule>
    <cfRule type="expression" dxfId="589" priority="539" stopIfTrue="1">
      <formula>AM111=CléPersonnalisée2</formula>
    </cfRule>
    <cfRule type="expression" dxfId="588" priority="540" stopIfTrue="1">
      <formula>AM111=CléPersonnalisée1</formula>
    </cfRule>
    <cfRule type="expression" dxfId="587" priority="541" stopIfTrue="1">
      <formula>AM111=CléMaladie</formula>
    </cfRule>
    <cfRule type="expression" dxfId="586" priority="542" stopIfTrue="1">
      <formula>AM111=CléPersonnelle</formula>
    </cfRule>
    <cfRule type="expression" dxfId="585" priority="543" stopIfTrue="1">
      <formula>AM111=CléCongés</formula>
    </cfRule>
  </conditionalFormatting>
  <conditionalFormatting sqref="AH109:AH110">
    <cfRule type="dataBar" priority="537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{E97E9A76-79B1-420F-9276-FD1C63DFE128}</x14:id>
        </ext>
      </extLst>
    </cfRule>
  </conditionalFormatting>
  <conditionalFormatting sqref="AI109:AI110">
    <cfRule type="expression" priority="531" stopIfTrue="1">
      <formula>AI109=""</formula>
    </cfRule>
    <cfRule type="expression" dxfId="584" priority="532" stopIfTrue="1">
      <formula>AI109=CléPersonnalisée2</formula>
    </cfRule>
    <cfRule type="expression" dxfId="583" priority="533" stopIfTrue="1">
      <formula>AI109=CléPersonnalisée1</formula>
    </cfRule>
    <cfRule type="expression" dxfId="582" priority="534" stopIfTrue="1">
      <formula>AI109=CléMaladie</formula>
    </cfRule>
    <cfRule type="expression" dxfId="581" priority="535" stopIfTrue="1">
      <formula>AI109=CléPersonnelle</formula>
    </cfRule>
    <cfRule type="expression" dxfId="580" priority="536" stopIfTrue="1">
      <formula>AI109=CléCongés</formula>
    </cfRule>
  </conditionalFormatting>
  <conditionalFormatting sqref="AN111">
    <cfRule type="expression" priority="525" stopIfTrue="1">
      <formula>AN111=""</formula>
    </cfRule>
    <cfRule type="expression" dxfId="579" priority="526" stopIfTrue="1">
      <formula>AN111=CléPersonnalisée2</formula>
    </cfRule>
    <cfRule type="expression" dxfId="578" priority="527" stopIfTrue="1">
      <formula>AN111=CléPersonnalisée1</formula>
    </cfRule>
    <cfRule type="expression" dxfId="577" priority="528" stopIfTrue="1">
      <formula>AN111=CléMaladie</formula>
    </cfRule>
    <cfRule type="expression" dxfId="576" priority="529" stopIfTrue="1">
      <formula>AN111=CléPersonnelle</formula>
    </cfRule>
    <cfRule type="expression" dxfId="575" priority="530" stopIfTrue="1">
      <formula>AN111=CléCongés</formula>
    </cfRule>
  </conditionalFormatting>
  <conditionalFormatting sqref="AR111">
    <cfRule type="expression" priority="519" stopIfTrue="1">
      <formula>AR111=""</formula>
    </cfRule>
    <cfRule type="expression" dxfId="574" priority="520" stopIfTrue="1">
      <formula>AR111=CléPersonnalisée2</formula>
    </cfRule>
    <cfRule type="expression" dxfId="573" priority="521" stopIfTrue="1">
      <formula>AR111=CléPersonnalisée1</formula>
    </cfRule>
    <cfRule type="expression" dxfId="572" priority="522" stopIfTrue="1">
      <formula>AR111=CléMaladie</formula>
    </cfRule>
    <cfRule type="expression" dxfId="571" priority="523" stopIfTrue="1">
      <formula>AR111=CléPersonnelle</formula>
    </cfRule>
    <cfRule type="expression" dxfId="570" priority="524" stopIfTrue="1">
      <formula>AR111=CléCongés</formula>
    </cfRule>
  </conditionalFormatting>
  <conditionalFormatting sqref="C121:AG123">
    <cfRule type="expression" priority="506" stopIfTrue="1">
      <formula>C121=""</formula>
    </cfRule>
    <cfRule type="expression" dxfId="569" priority="507" stopIfTrue="1">
      <formula>C121=CléPersonnalisée2</formula>
    </cfRule>
    <cfRule type="expression" dxfId="568" priority="508" stopIfTrue="1">
      <formula>C121=CléPersonnalisée1</formula>
    </cfRule>
    <cfRule type="expression" dxfId="567" priority="509" stopIfTrue="1">
      <formula>C121=CléMaladie</formula>
    </cfRule>
    <cfRule type="expression" dxfId="566" priority="510" stopIfTrue="1">
      <formula>C121=CléPersonnelle</formula>
    </cfRule>
    <cfRule type="expression" dxfId="565" priority="511" stopIfTrue="1">
      <formula>C121=CléCongés</formula>
    </cfRule>
  </conditionalFormatting>
  <conditionalFormatting sqref="AH123">
    <cfRule type="dataBar" priority="512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{0DC05CB6-1E2C-4425-A307-F7100A8F00AF}</x14:id>
        </ext>
      </extLst>
    </cfRule>
  </conditionalFormatting>
  <conditionalFormatting sqref="AI123:AL123 AJ121:AL122">
    <cfRule type="expression" priority="500" stopIfTrue="1">
      <formula>AI121=""</formula>
    </cfRule>
    <cfRule type="expression" dxfId="564" priority="501" stopIfTrue="1">
      <formula>AI121=CléPersonnalisée2</formula>
    </cfRule>
    <cfRule type="expression" dxfId="563" priority="502" stopIfTrue="1">
      <formula>AI121=CléPersonnalisée1</formula>
    </cfRule>
    <cfRule type="expression" dxfId="562" priority="503" stopIfTrue="1">
      <formula>AI121=CléMaladie</formula>
    </cfRule>
    <cfRule type="expression" dxfId="561" priority="504" stopIfTrue="1">
      <formula>AI121=CléPersonnelle</formula>
    </cfRule>
    <cfRule type="expression" dxfId="560" priority="505" stopIfTrue="1">
      <formula>AI121=CléCongés</formula>
    </cfRule>
  </conditionalFormatting>
  <conditionalFormatting sqref="AM121:AP122">
    <cfRule type="expression" priority="494" stopIfTrue="1">
      <formula>AM121=""</formula>
    </cfRule>
    <cfRule type="expression" dxfId="559" priority="495" stopIfTrue="1">
      <formula>AM121=CléPersonnalisée2</formula>
    </cfRule>
    <cfRule type="expression" dxfId="558" priority="496" stopIfTrue="1">
      <formula>AM121=CléPersonnalisée1</formula>
    </cfRule>
    <cfRule type="expression" dxfId="557" priority="497" stopIfTrue="1">
      <formula>AM121=CléMaladie</formula>
    </cfRule>
    <cfRule type="expression" dxfId="556" priority="498" stopIfTrue="1">
      <formula>AM121=CléPersonnelle</formula>
    </cfRule>
    <cfRule type="expression" dxfId="555" priority="499" stopIfTrue="1">
      <formula>AM121=CléCongés</formula>
    </cfRule>
  </conditionalFormatting>
  <conditionalFormatting sqref="AQ121:AR122">
    <cfRule type="expression" priority="488" stopIfTrue="1">
      <formula>AQ121=""</formula>
    </cfRule>
    <cfRule type="expression" dxfId="554" priority="489" stopIfTrue="1">
      <formula>AQ121=CléPersonnalisée2</formula>
    </cfRule>
    <cfRule type="expression" dxfId="553" priority="490" stopIfTrue="1">
      <formula>AQ121=CléPersonnalisée1</formula>
    </cfRule>
    <cfRule type="expression" dxfId="552" priority="491" stopIfTrue="1">
      <formula>AQ121=CléMaladie</formula>
    </cfRule>
    <cfRule type="expression" dxfId="551" priority="492" stopIfTrue="1">
      <formula>AQ121=CléPersonnelle</formula>
    </cfRule>
    <cfRule type="expression" dxfId="550" priority="493" stopIfTrue="1">
      <formula>AQ121=CléCongés</formula>
    </cfRule>
  </conditionalFormatting>
  <conditionalFormatting sqref="AM123 AP123">
    <cfRule type="expression" priority="482" stopIfTrue="1">
      <formula>AM123=""</formula>
    </cfRule>
    <cfRule type="expression" dxfId="549" priority="483" stopIfTrue="1">
      <formula>AM123=CléPersonnalisée2</formula>
    </cfRule>
    <cfRule type="expression" dxfId="548" priority="484" stopIfTrue="1">
      <formula>AM123=CléPersonnalisée1</formula>
    </cfRule>
    <cfRule type="expression" dxfId="547" priority="485" stopIfTrue="1">
      <formula>AM123=CléMaladie</formula>
    </cfRule>
    <cfRule type="expression" dxfId="546" priority="486" stopIfTrue="1">
      <formula>AM123=CléPersonnelle</formula>
    </cfRule>
    <cfRule type="expression" dxfId="545" priority="487" stopIfTrue="1">
      <formula>AM123=CléCongés</formula>
    </cfRule>
  </conditionalFormatting>
  <conditionalFormatting sqref="AH121:AH122">
    <cfRule type="dataBar" priority="481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{629E41AD-7561-4EDD-907B-E2A2892E8F53}</x14:id>
        </ext>
      </extLst>
    </cfRule>
  </conditionalFormatting>
  <conditionalFormatting sqref="AO123">
    <cfRule type="expression" priority="475" stopIfTrue="1">
      <formula>AO123=""</formula>
    </cfRule>
    <cfRule type="expression" dxfId="544" priority="476" stopIfTrue="1">
      <formula>AO123=CléPersonnalisée2</formula>
    </cfRule>
    <cfRule type="expression" dxfId="543" priority="477" stopIfTrue="1">
      <formula>AO123=CléPersonnalisée1</formula>
    </cfRule>
    <cfRule type="expression" dxfId="542" priority="478" stopIfTrue="1">
      <formula>AO123=CléMaladie</formula>
    </cfRule>
    <cfRule type="expression" dxfId="541" priority="479" stopIfTrue="1">
      <formula>AO123=CléPersonnelle</formula>
    </cfRule>
    <cfRule type="expression" dxfId="540" priority="480" stopIfTrue="1">
      <formula>AO123=CléCongés</formula>
    </cfRule>
  </conditionalFormatting>
  <conditionalFormatting sqref="AI121:AI122">
    <cfRule type="expression" priority="469" stopIfTrue="1">
      <formula>AI121=""</formula>
    </cfRule>
    <cfRule type="expression" dxfId="539" priority="470" stopIfTrue="1">
      <formula>AI121=CléPersonnalisée2</formula>
    </cfRule>
    <cfRule type="expression" dxfId="538" priority="471" stopIfTrue="1">
      <formula>AI121=CléPersonnalisée1</formula>
    </cfRule>
    <cfRule type="expression" dxfId="537" priority="472" stopIfTrue="1">
      <formula>AI121=CléMaladie</formula>
    </cfRule>
    <cfRule type="expression" dxfId="536" priority="473" stopIfTrue="1">
      <formula>AI121=CléPersonnelle</formula>
    </cfRule>
    <cfRule type="expression" dxfId="535" priority="474" stopIfTrue="1">
      <formula>AI121=CléCongés</formula>
    </cfRule>
  </conditionalFormatting>
  <conditionalFormatting sqref="AN123">
    <cfRule type="expression" priority="463" stopIfTrue="1">
      <formula>AN123=""</formula>
    </cfRule>
    <cfRule type="expression" dxfId="534" priority="464" stopIfTrue="1">
      <formula>AN123=CléPersonnalisée2</formula>
    </cfRule>
    <cfRule type="expression" dxfId="533" priority="465" stopIfTrue="1">
      <formula>AN123=CléPersonnalisée1</formula>
    </cfRule>
    <cfRule type="expression" dxfId="532" priority="466" stopIfTrue="1">
      <formula>AN123=CléMaladie</formula>
    </cfRule>
    <cfRule type="expression" dxfId="531" priority="467" stopIfTrue="1">
      <formula>AN123=CléPersonnelle</formula>
    </cfRule>
    <cfRule type="expression" dxfId="530" priority="468" stopIfTrue="1">
      <formula>AN123=CléCongés</formula>
    </cfRule>
  </conditionalFormatting>
  <conditionalFormatting sqref="AR123">
    <cfRule type="expression" priority="457" stopIfTrue="1">
      <formula>AR123=""</formula>
    </cfRule>
    <cfRule type="expression" dxfId="529" priority="458" stopIfTrue="1">
      <formula>AR123=CléPersonnalisée2</formula>
    </cfRule>
    <cfRule type="expression" dxfId="528" priority="459" stopIfTrue="1">
      <formula>AR123=CléPersonnalisée1</formula>
    </cfRule>
    <cfRule type="expression" dxfId="527" priority="460" stopIfTrue="1">
      <formula>AR123=CléMaladie</formula>
    </cfRule>
    <cfRule type="expression" dxfId="526" priority="461" stopIfTrue="1">
      <formula>AR123=CléPersonnelle</formula>
    </cfRule>
    <cfRule type="expression" dxfId="525" priority="462" stopIfTrue="1">
      <formula>AR123=CléCongés</formula>
    </cfRule>
  </conditionalFormatting>
  <conditionalFormatting sqref="AQ115">
    <cfRule type="expression" priority="389" stopIfTrue="1">
      <formula>AQ115=""</formula>
    </cfRule>
    <cfRule type="expression" dxfId="524" priority="390" stopIfTrue="1">
      <formula>AQ115=CléPersonnalisée2</formula>
    </cfRule>
    <cfRule type="expression" dxfId="523" priority="391" stopIfTrue="1">
      <formula>AQ115=CléPersonnalisée1</formula>
    </cfRule>
    <cfRule type="expression" dxfId="522" priority="392" stopIfTrue="1">
      <formula>AQ115=CléMaladie</formula>
    </cfRule>
    <cfRule type="expression" dxfId="521" priority="393" stopIfTrue="1">
      <formula>AQ115=CléPersonnelle</formula>
    </cfRule>
    <cfRule type="expression" dxfId="520" priority="394" stopIfTrue="1">
      <formula>AQ115=CléCongés</formula>
    </cfRule>
  </conditionalFormatting>
  <conditionalFormatting sqref="C113:AG115">
    <cfRule type="expression" priority="444" stopIfTrue="1">
      <formula>C113=""</formula>
    </cfRule>
    <cfRule type="expression" dxfId="519" priority="445" stopIfTrue="1">
      <formula>C113=CléPersonnalisée2</formula>
    </cfRule>
    <cfRule type="expression" dxfId="518" priority="446" stopIfTrue="1">
      <formula>C113=CléPersonnalisée1</formula>
    </cfRule>
    <cfRule type="expression" dxfId="517" priority="447" stopIfTrue="1">
      <formula>C113=CléMaladie</formula>
    </cfRule>
    <cfRule type="expression" dxfId="516" priority="448" stopIfTrue="1">
      <formula>C113=CléPersonnelle</formula>
    </cfRule>
    <cfRule type="expression" dxfId="515" priority="449" stopIfTrue="1">
      <formula>C113=CléCongés</formula>
    </cfRule>
  </conditionalFormatting>
  <conditionalFormatting sqref="AH115">
    <cfRule type="dataBar" priority="450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{0A3F60B8-C2DC-4053-ABB0-8F378ACB91B8}</x14:id>
        </ext>
      </extLst>
    </cfRule>
  </conditionalFormatting>
  <conditionalFormatting sqref="AI115:AL115 AJ113:AL114">
    <cfRule type="expression" priority="438" stopIfTrue="1">
      <formula>AI113=""</formula>
    </cfRule>
    <cfRule type="expression" dxfId="514" priority="439" stopIfTrue="1">
      <formula>AI113=CléPersonnalisée2</formula>
    </cfRule>
    <cfRule type="expression" dxfId="513" priority="440" stopIfTrue="1">
      <formula>AI113=CléPersonnalisée1</formula>
    </cfRule>
    <cfRule type="expression" dxfId="512" priority="441" stopIfTrue="1">
      <formula>AI113=CléMaladie</formula>
    </cfRule>
    <cfRule type="expression" dxfId="511" priority="442" stopIfTrue="1">
      <formula>AI113=CléPersonnelle</formula>
    </cfRule>
    <cfRule type="expression" dxfId="510" priority="443" stopIfTrue="1">
      <formula>AI113=CléCongés</formula>
    </cfRule>
  </conditionalFormatting>
  <conditionalFormatting sqref="AM113:AP114">
    <cfRule type="expression" priority="432" stopIfTrue="1">
      <formula>AM113=""</formula>
    </cfRule>
    <cfRule type="expression" dxfId="509" priority="433" stopIfTrue="1">
      <formula>AM113=CléPersonnalisée2</formula>
    </cfRule>
    <cfRule type="expression" dxfId="508" priority="434" stopIfTrue="1">
      <formula>AM113=CléPersonnalisée1</formula>
    </cfRule>
    <cfRule type="expression" dxfId="507" priority="435" stopIfTrue="1">
      <formula>AM113=CléMaladie</formula>
    </cfRule>
    <cfRule type="expression" dxfId="506" priority="436" stopIfTrue="1">
      <formula>AM113=CléPersonnelle</formula>
    </cfRule>
    <cfRule type="expression" dxfId="505" priority="437" stopIfTrue="1">
      <formula>AM113=CléCongés</formula>
    </cfRule>
  </conditionalFormatting>
  <conditionalFormatting sqref="AQ113:AR114">
    <cfRule type="expression" priority="426" stopIfTrue="1">
      <formula>AQ113=""</formula>
    </cfRule>
    <cfRule type="expression" dxfId="504" priority="427" stopIfTrue="1">
      <formula>AQ113=CléPersonnalisée2</formula>
    </cfRule>
    <cfRule type="expression" dxfId="503" priority="428" stopIfTrue="1">
      <formula>AQ113=CléPersonnalisée1</formula>
    </cfRule>
    <cfRule type="expression" dxfId="502" priority="429" stopIfTrue="1">
      <formula>AQ113=CléMaladie</formula>
    </cfRule>
    <cfRule type="expression" dxfId="501" priority="430" stopIfTrue="1">
      <formula>AQ113=CléPersonnelle</formula>
    </cfRule>
    <cfRule type="expression" dxfId="500" priority="431" stopIfTrue="1">
      <formula>AQ113=CléCongés</formula>
    </cfRule>
  </conditionalFormatting>
  <conditionalFormatting sqref="AM115 AP115">
    <cfRule type="expression" priority="420" stopIfTrue="1">
      <formula>AM115=""</formula>
    </cfRule>
    <cfRule type="expression" dxfId="499" priority="421" stopIfTrue="1">
      <formula>AM115=CléPersonnalisée2</formula>
    </cfRule>
    <cfRule type="expression" dxfId="498" priority="422" stopIfTrue="1">
      <formula>AM115=CléPersonnalisée1</formula>
    </cfRule>
    <cfRule type="expression" dxfId="497" priority="423" stopIfTrue="1">
      <formula>AM115=CléMaladie</formula>
    </cfRule>
    <cfRule type="expression" dxfId="496" priority="424" stopIfTrue="1">
      <formula>AM115=CléPersonnelle</formula>
    </cfRule>
    <cfRule type="expression" dxfId="495" priority="425" stopIfTrue="1">
      <formula>AM115=CléCongés</formula>
    </cfRule>
  </conditionalFormatting>
  <conditionalFormatting sqref="AH113:AH114">
    <cfRule type="dataBar" priority="419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{0ED8EF98-DAEA-42C8-9864-9F53CA526582}</x14:id>
        </ext>
      </extLst>
    </cfRule>
  </conditionalFormatting>
  <conditionalFormatting sqref="AO115">
    <cfRule type="expression" priority="413" stopIfTrue="1">
      <formula>AO115=""</formula>
    </cfRule>
    <cfRule type="expression" dxfId="494" priority="414" stopIfTrue="1">
      <formula>AO115=CléPersonnalisée2</formula>
    </cfRule>
    <cfRule type="expression" dxfId="493" priority="415" stopIfTrue="1">
      <formula>AO115=CléPersonnalisée1</formula>
    </cfRule>
    <cfRule type="expression" dxfId="492" priority="416" stopIfTrue="1">
      <formula>AO115=CléMaladie</formula>
    </cfRule>
    <cfRule type="expression" dxfId="491" priority="417" stopIfTrue="1">
      <formula>AO115=CléPersonnelle</formula>
    </cfRule>
    <cfRule type="expression" dxfId="490" priority="418" stopIfTrue="1">
      <formula>AO115=CléCongés</formula>
    </cfRule>
  </conditionalFormatting>
  <conditionalFormatting sqref="AI113:AI114">
    <cfRule type="expression" priority="407" stopIfTrue="1">
      <formula>AI113=""</formula>
    </cfRule>
    <cfRule type="expression" dxfId="489" priority="408" stopIfTrue="1">
      <formula>AI113=CléPersonnalisée2</formula>
    </cfRule>
    <cfRule type="expression" dxfId="488" priority="409" stopIfTrue="1">
      <formula>AI113=CléPersonnalisée1</formula>
    </cfRule>
    <cfRule type="expression" dxfId="487" priority="410" stopIfTrue="1">
      <formula>AI113=CléMaladie</formula>
    </cfRule>
    <cfRule type="expression" dxfId="486" priority="411" stopIfTrue="1">
      <formula>AI113=CléPersonnelle</formula>
    </cfRule>
    <cfRule type="expression" dxfId="485" priority="412" stopIfTrue="1">
      <formula>AI113=CléCongés</formula>
    </cfRule>
  </conditionalFormatting>
  <conditionalFormatting sqref="AN115">
    <cfRule type="expression" priority="401" stopIfTrue="1">
      <formula>AN115=""</formula>
    </cfRule>
    <cfRule type="expression" dxfId="484" priority="402" stopIfTrue="1">
      <formula>AN115=CléPersonnalisée2</formula>
    </cfRule>
    <cfRule type="expression" dxfId="483" priority="403" stopIfTrue="1">
      <formula>AN115=CléPersonnalisée1</formula>
    </cfRule>
    <cfRule type="expression" dxfId="482" priority="404" stopIfTrue="1">
      <formula>AN115=CléMaladie</formula>
    </cfRule>
    <cfRule type="expression" dxfId="481" priority="405" stopIfTrue="1">
      <formula>AN115=CléPersonnelle</formula>
    </cfRule>
    <cfRule type="expression" dxfId="480" priority="406" stopIfTrue="1">
      <formula>AN115=CléCongés</formula>
    </cfRule>
  </conditionalFormatting>
  <conditionalFormatting sqref="AR115">
    <cfRule type="expression" priority="395" stopIfTrue="1">
      <formula>AR115=""</formula>
    </cfRule>
    <cfRule type="expression" dxfId="479" priority="396" stopIfTrue="1">
      <formula>AR115=CléPersonnalisée2</formula>
    </cfRule>
    <cfRule type="expression" dxfId="478" priority="397" stopIfTrue="1">
      <formula>AR115=CléPersonnalisée1</formula>
    </cfRule>
    <cfRule type="expression" dxfId="477" priority="398" stopIfTrue="1">
      <formula>AR115=CléMaladie</formula>
    </cfRule>
    <cfRule type="expression" dxfId="476" priority="399" stopIfTrue="1">
      <formula>AR115=CléPersonnelle</formula>
    </cfRule>
    <cfRule type="expression" dxfId="475" priority="400" stopIfTrue="1">
      <formula>AR115=CléCongés</formula>
    </cfRule>
  </conditionalFormatting>
  <conditionalFormatting sqref="AQ15">
    <cfRule type="expression" priority="327" stopIfTrue="1">
      <formula>AQ15=""</formula>
    </cfRule>
    <cfRule type="expression" dxfId="474" priority="328" stopIfTrue="1">
      <formula>AQ15=CléPersonnalisée2</formula>
    </cfRule>
    <cfRule type="expression" dxfId="473" priority="329" stopIfTrue="1">
      <formula>AQ15=CléPersonnalisée1</formula>
    </cfRule>
    <cfRule type="expression" dxfId="472" priority="330" stopIfTrue="1">
      <formula>AQ15=CléMaladie</formula>
    </cfRule>
    <cfRule type="expression" dxfId="471" priority="331" stopIfTrue="1">
      <formula>AQ15=CléPersonnelle</formula>
    </cfRule>
    <cfRule type="expression" dxfId="470" priority="332" stopIfTrue="1">
      <formula>AQ15=CléCongés</formula>
    </cfRule>
  </conditionalFormatting>
  <conditionalFormatting sqref="C13:AG15">
    <cfRule type="expression" priority="382" stopIfTrue="1">
      <formula>C13=""</formula>
    </cfRule>
    <cfRule type="expression" dxfId="469" priority="383" stopIfTrue="1">
      <formula>C13=CléPersonnalisée2</formula>
    </cfRule>
    <cfRule type="expression" dxfId="468" priority="384" stopIfTrue="1">
      <formula>C13=CléPersonnalisée1</formula>
    </cfRule>
    <cfRule type="expression" dxfId="467" priority="385" stopIfTrue="1">
      <formula>C13=CléMaladie</formula>
    </cfRule>
    <cfRule type="expression" dxfId="466" priority="386" stopIfTrue="1">
      <formula>C13=CléPersonnelle</formula>
    </cfRule>
    <cfRule type="expression" dxfId="465" priority="387" stopIfTrue="1">
      <formula>C13=CléCongés</formula>
    </cfRule>
  </conditionalFormatting>
  <conditionalFormatting sqref="AH15">
    <cfRule type="dataBar" priority="388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{52669DB3-C9E6-4CEA-8D78-5CE15ABD62D2}</x14:id>
        </ext>
      </extLst>
    </cfRule>
  </conditionalFormatting>
  <conditionalFormatting sqref="AI15:AL15 AJ13:AL14">
    <cfRule type="expression" priority="376" stopIfTrue="1">
      <formula>AI13=""</formula>
    </cfRule>
    <cfRule type="expression" dxfId="464" priority="377" stopIfTrue="1">
      <formula>AI13=CléPersonnalisée2</formula>
    </cfRule>
    <cfRule type="expression" dxfId="463" priority="378" stopIfTrue="1">
      <formula>AI13=CléPersonnalisée1</formula>
    </cfRule>
    <cfRule type="expression" dxfId="462" priority="379" stopIfTrue="1">
      <formula>AI13=CléMaladie</formula>
    </cfRule>
    <cfRule type="expression" dxfId="461" priority="380" stopIfTrue="1">
      <formula>AI13=CléPersonnelle</formula>
    </cfRule>
    <cfRule type="expression" dxfId="460" priority="381" stopIfTrue="1">
      <formula>AI13=CléCongés</formula>
    </cfRule>
  </conditionalFormatting>
  <conditionalFormatting sqref="AM13:AP14">
    <cfRule type="expression" priority="370" stopIfTrue="1">
      <formula>AM13=""</formula>
    </cfRule>
    <cfRule type="expression" dxfId="459" priority="371" stopIfTrue="1">
      <formula>AM13=CléPersonnalisée2</formula>
    </cfRule>
    <cfRule type="expression" dxfId="458" priority="372" stopIfTrue="1">
      <formula>AM13=CléPersonnalisée1</formula>
    </cfRule>
    <cfRule type="expression" dxfId="457" priority="373" stopIfTrue="1">
      <formula>AM13=CléMaladie</formula>
    </cfRule>
    <cfRule type="expression" dxfId="456" priority="374" stopIfTrue="1">
      <formula>AM13=CléPersonnelle</formula>
    </cfRule>
    <cfRule type="expression" dxfId="455" priority="375" stopIfTrue="1">
      <formula>AM13=CléCongés</formula>
    </cfRule>
  </conditionalFormatting>
  <conditionalFormatting sqref="AQ13:AR14">
    <cfRule type="expression" priority="364" stopIfTrue="1">
      <formula>AQ13=""</formula>
    </cfRule>
    <cfRule type="expression" dxfId="454" priority="365" stopIfTrue="1">
      <formula>AQ13=CléPersonnalisée2</formula>
    </cfRule>
    <cfRule type="expression" dxfId="453" priority="366" stopIfTrue="1">
      <formula>AQ13=CléPersonnalisée1</formula>
    </cfRule>
    <cfRule type="expression" dxfId="452" priority="367" stopIfTrue="1">
      <formula>AQ13=CléMaladie</formula>
    </cfRule>
    <cfRule type="expression" dxfId="451" priority="368" stopIfTrue="1">
      <formula>AQ13=CléPersonnelle</formula>
    </cfRule>
    <cfRule type="expression" dxfId="450" priority="369" stopIfTrue="1">
      <formula>AQ13=CléCongés</formula>
    </cfRule>
  </conditionalFormatting>
  <conditionalFormatting sqref="AM15 AP15">
    <cfRule type="expression" priority="358" stopIfTrue="1">
      <formula>AM15=""</formula>
    </cfRule>
    <cfRule type="expression" dxfId="449" priority="359" stopIfTrue="1">
      <formula>AM15=CléPersonnalisée2</formula>
    </cfRule>
    <cfRule type="expression" dxfId="448" priority="360" stopIfTrue="1">
      <formula>AM15=CléPersonnalisée1</formula>
    </cfRule>
    <cfRule type="expression" dxfId="447" priority="361" stopIfTrue="1">
      <formula>AM15=CléMaladie</formula>
    </cfRule>
    <cfRule type="expression" dxfId="446" priority="362" stopIfTrue="1">
      <formula>AM15=CléPersonnelle</formula>
    </cfRule>
    <cfRule type="expression" dxfId="445" priority="363" stopIfTrue="1">
      <formula>AM15=CléCongés</formula>
    </cfRule>
  </conditionalFormatting>
  <conditionalFormatting sqref="AH13:AH14">
    <cfRule type="dataBar" priority="357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{DDF5CFFB-FEE4-499E-866C-9D80DF5B179D}</x14:id>
        </ext>
      </extLst>
    </cfRule>
  </conditionalFormatting>
  <conditionalFormatting sqref="AO15">
    <cfRule type="expression" priority="351" stopIfTrue="1">
      <formula>AO15=""</formula>
    </cfRule>
    <cfRule type="expression" dxfId="444" priority="352" stopIfTrue="1">
      <formula>AO15=CléPersonnalisée2</formula>
    </cfRule>
    <cfRule type="expression" dxfId="443" priority="353" stopIfTrue="1">
      <formula>AO15=CléPersonnalisée1</formula>
    </cfRule>
    <cfRule type="expression" dxfId="442" priority="354" stopIfTrue="1">
      <formula>AO15=CléMaladie</formula>
    </cfRule>
    <cfRule type="expression" dxfId="441" priority="355" stopIfTrue="1">
      <formula>AO15=CléPersonnelle</formula>
    </cfRule>
    <cfRule type="expression" dxfId="440" priority="356" stopIfTrue="1">
      <formula>AO15=CléCongés</formula>
    </cfRule>
  </conditionalFormatting>
  <conditionalFormatting sqref="AI13:AI14">
    <cfRule type="expression" priority="345" stopIfTrue="1">
      <formula>AI13=""</formula>
    </cfRule>
    <cfRule type="expression" dxfId="439" priority="346" stopIfTrue="1">
      <formula>AI13=CléPersonnalisée2</formula>
    </cfRule>
    <cfRule type="expression" dxfId="438" priority="347" stopIfTrue="1">
      <formula>AI13=CléPersonnalisée1</formula>
    </cfRule>
    <cfRule type="expression" dxfId="437" priority="348" stopIfTrue="1">
      <formula>AI13=CléMaladie</formula>
    </cfRule>
    <cfRule type="expression" dxfId="436" priority="349" stopIfTrue="1">
      <formula>AI13=CléPersonnelle</formula>
    </cfRule>
    <cfRule type="expression" dxfId="435" priority="350" stopIfTrue="1">
      <formula>AI13=CléCongés</formula>
    </cfRule>
  </conditionalFormatting>
  <conditionalFormatting sqref="AN15">
    <cfRule type="expression" priority="339" stopIfTrue="1">
      <formula>AN15=""</formula>
    </cfRule>
    <cfRule type="expression" dxfId="434" priority="340" stopIfTrue="1">
      <formula>AN15=CléPersonnalisée2</formula>
    </cfRule>
    <cfRule type="expression" dxfId="433" priority="341" stopIfTrue="1">
      <formula>AN15=CléPersonnalisée1</formula>
    </cfRule>
    <cfRule type="expression" dxfId="432" priority="342" stopIfTrue="1">
      <formula>AN15=CléMaladie</formula>
    </cfRule>
    <cfRule type="expression" dxfId="431" priority="343" stopIfTrue="1">
      <formula>AN15=CléPersonnelle</formula>
    </cfRule>
    <cfRule type="expression" dxfId="430" priority="344" stopIfTrue="1">
      <formula>AN15=CléCongés</formula>
    </cfRule>
  </conditionalFormatting>
  <conditionalFormatting sqref="AR15">
    <cfRule type="expression" priority="333" stopIfTrue="1">
      <formula>AR15=""</formula>
    </cfRule>
    <cfRule type="expression" dxfId="429" priority="334" stopIfTrue="1">
      <formula>AR15=CléPersonnalisée2</formula>
    </cfRule>
    <cfRule type="expression" dxfId="428" priority="335" stopIfTrue="1">
      <formula>AR15=CléPersonnalisée1</formula>
    </cfRule>
    <cfRule type="expression" dxfId="427" priority="336" stopIfTrue="1">
      <formula>AR15=CléMaladie</formula>
    </cfRule>
    <cfRule type="expression" dxfId="426" priority="337" stopIfTrue="1">
      <formula>AR15=CléPersonnelle</formula>
    </cfRule>
    <cfRule type="expression" dxfId="425" priority="338" stopIfTrue="1">
      <formula>AR15=CléCongés</formula>
    </cfRule>
  </conditionalFormatting>
  <conditionalFormatting sqref="AO111">
    <cfRule type="expression" priority="321" stopIfTrue="1">
      <formula>AO111=""</formula>
    </cfRule>
    <cfRule type="expression" dxfId="424" priority="322" stopIfTrue="1">
      <formula>AO111=CléPersonnalisée2</formula>
    </cfRule>
    <cfRule type="expression" dxfId="423" priority="323" stopIfTrue="1">
      <formula>AO111=CléPersonnalisée1</formula>
    </cfRule>
    <cfRule type="expression" dxfId="422" priority="324" stopIfTrue="1">
      <formula>AO111=CléMaladie</formula>
    </cfRule>
    <cfRule type="expression" dxfId="421" priority="325" stopIfTrue="1">
      <formula>AO111=CléPersonnelle</formula>
    </cfRule>
    <cfRule type="expression" dxfId="420" priority="326" stopIfTrue="1">
      <formula>AO111=CléCongés</formula>
    </cfRule>
  </conditionalFormatting>
  <conditionalFormatting sqref="AQ100:AR100">
    <cfRule type="expression" priority="315" stopIfTrue="1">
      <formula>AQ100=""</formula>
    </cfRule>
    <cfRule type="expression" dxfId="419" priority="316" stopIfTrue="1">
      <formula>AQ100=CléPersonnalisée2</formula>
    </cfRule>
    <cfRule type="expression" dxfId="418" priority="317" stopIfTrue="1">
      <formula>AQ100=CléPersonnalisée1</formula>
    </cfRule>
    <cfRule type="expression" dxfId="417" priority="318" stopIfTrue="1">
      <formula>AQ100=CléMaladie</formula>
    </cfRule>
    <cfRule type="expression" dxfId="416" priority="319" stopIfTrue="1">
      <formula>AQ100=CléPersonnelle</formula>
    </cfRule>
    <cfRule type="expression" dxfId="415" priority="320" stopIfTrue="1">
      <formula>AQ100=CléCongés</formula>
    </cfRule>
  </conditionalFormatting>
  <conditionalFormatting sqref="AQ96:AR96">
    <cfRule type="expression" priority="309" stopIfTrue="1">
      <formula>AQ96=""</formula>
    </cfRule>
    <cfRule type="expression" dxfId="414" priority="310" stopIfTrue="1">
      <formula>AQ96=CléPersonnalisée2</formula>
    </cfRule>
    <cfRule type="expression" dxfId="413" priority="311" stopIfTrue="1">
      <formula>AQ96=CléPersonnalisée1</formula>
    </cfRule>
    <cfRule type="expression" dxfId="412" priority="312" stopIfTrue="1">
      <formula>AQ96=CléMaladie</formula>
    </cfRule>
    <cfRule type="expression" dxfId="411" priority="313" stopIfTrue="1">
      <formula>AQ96=CléPersonnelle</formula>
    </cfRule>
    <cfRule type="expression" dxfId="410" priority="314" stopIfTrue="1">
      <formula>AQ96=CléCongés</formula>
    </cfRule>
  </conditionalFormatting>
  <conditionalFormatting sqref="AQ120:AR120">
    <cfRule type="expression" priority="303" stopIfTrue="1">
      <formula>AQ120=""</formula>
    </cfRule>
    <cfRule type="expression" dxfId="409" priority="304" stopIfTrue="1">
      <formula>AQ120=CléPersonnalisée2</formula>
    </cfRule>
    <cfRule type="expression" dxfId="408" priority="305" stopIfTrue="1">
      <formula>AQ120=CléPersonnalisée1</formula>
    </cfRule>
    <cfRule type="expression" dxfId="407" priority="306" stopIfTrue="1">
      <formula>AQ120=CléMaladie</formula>
    </cfRule>
    <cfRule type="expression" dxfId="406" priority="307" stopIfTrue="1">
      <formula>AQ120=CléPersonnelle</formula>
    </cfRule>
    <cfRule type="expression" dxfId="405" priority="308" stopIfTrue="1">
      <formula>AQ120=CléCongés</formula>
    </cfRule>
  </conditionalFormatting>
  <conditionalFormatting sqref="AQ119">
    <cfRule type="expression" priority="241" stopIfTrue="1">
      <formula>AQ119=""</formula>
    </cfRule>
    <cfRule type="expression" dxfId="404" priority="242" stopIfTrue="1">
      <formula>AQ119=CléPersonnalisée2</formula>
    </cfRule>
    <cfRule type="expression" dxfId="403" priority="243" stopIfTrue="1">
      <formula>AQ119=CléPersonnalisée1</formula>
    </cfRule>
    <cfRule type="expression" dxfId="402" priority="244" stopIfTrue="1">
      <formula>AQ119=CléMaladie</formula>
    </cfRule>
    <cfRule type="expression" dxfId="401" priority="245" stopIfTrue="1">
      <formula>AQ119=CléPersonnelle</formula>
    </cfRule>
    <cfRule type="expression" dxfId="400" priority="246" stopIfTrue="1">
      <formula>AQ119=CléCongés</formula>
    </cfRule>
  </conditionalFormatting>
  <conditionalFormatting sqref="C117:AG119">
    <cfRule type="expression" priority="296" stopIfTrue="1">
      <formula>C117=""</formula>
    </cfRule>
    <cfRule type="expression" dxfId="399" priority="297" stopIfTrue="1">
      <formula>C117=CléPersonnalisée2</formula>
    </cfRule>
    <cfRule type="expression" dxfId="398" priority="298" stopIfTrue="1">
      <formula>C117=CléPersonnalisée1</formula>
    </cfRule>
    <cfRule type="expression" dxfId="397" priority="299" stopIfTrue="1">
      <formula>C117=CléMaladie</formula>
    </cfRule>
    <cfRule type="expression" dxfId="396" priority="300" stopIfTrue="1">
      <formula>C117=CléPersonnelle</formula>
    </cfRule>
    <cfRule type="expression" dxfId="395" priority="301" stopIfTrue="1">
      <formula>C117=CléCongés</formula>
    </cfRule>
  </conditionalFormatting>
  <conditionalFormatting sqref="AH119">
    <cfRule type="dataBar" priority="302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{12743AE5-B82F-46A3-8A34-C8E0F4DFCF7D}</x14:id>
        </ext>
      </extLst>
    </cfRule>
  </conditionalFormatting>
  <conditionalFormatting sqref="AI119:AL119 AJ117:AL118">
    <cfRule type="expression" priority="290" stopIfTrue="1">
      <formula>AI117=""</formula>
    </cfRule>
    <cfRule type="expression" dxfId="394" priority="291" stopIfTrue="1">
      <formula>AI117=CléPersonnalisée2</formula>
    </cfRule>
    <cfRule type="expression" dxfId="393" priority="292" stopIfTrue="1">
      <formula>AI117=CléPersonnalisée1</formula>
    </cfRule>
    <cfRule type="expression" dxfId="392" priority="293" stopIfTrue="1">
      <formula>AI117=CléMaladie</formula>
    </cfRule>
    <cfRule type="expression" dxfId="391" priority="294" stopIfTrue="1">
      <formula>AI117=CléPersonnelle</formula>
    </cfRule>
    <cfRule type="expression" dxfId="390" priority="295" stopIfTrue="1">
      <formula>AI117=CléCongés</formula>
    </cfRule>
  </conditionalFormatting>
  <conditionalFormatting sqref="AM117:AP118">
    <cfRule type="expression" priority="284" stopIfTrue="1">
      <formula>AM117=""</formula>
    </cfRule>
    <cfRule type="expression" dxfId="389" priority="285" stopIfTrue="1">
      <formula>AM117=CléPersonnalisée2</formula>
    </cfRule>
    <cfRule type="expression" dxfId="388" priority="286" stopIfTrue="1">
      <formula>AM117=CléPersonnalisée1</formula>
    </cfRule>
    <cfRule type="expression" dxfId="387" priority="287" stopIfTrue="1">
      <formula>AM117=CléMaladie</formula>
    </cfRule>
    <cfRule type="expression" dxfId="386" priority="288" stopIfTrue="1">
      <formula>AM117=CléPersonnelle</formula>
    </cfRule>
    <cfRule type="expression" dxfId="385" priority="289" stopIfTrue="1">
      <formula>AM117=CléCongés</formula>
    </cfRule>
  </conditionalFormatting>
  <conditionalFormatting sqref="AQ117:AR118">
    <cfRule type="expression" priority="278" stopIfTrue="1">
      <formula>AQ117=""</formula>
    </cfRule>
    <cfRule type="expression" dxfId="384" priority="279" stopIfTrue="1">
      <formula>AQ117=CléPersonnalisée2</formula>
    </cfRule>
    <cfRule type="expression" dxfId="383" priority="280" stopIfTrue="1">
      <formula>AQ117=CléPersonnalisée1</formula>
    </cfRule>
    <cfRule type="expression" dxfId="382" priority="281" stopIfTrue="1">
      <formula>AQ117=CléMaladie</formula>
    </cfRule>
    <cfRule type="expression" dxfId="381" priority="282" stopIfTrue="1">
      <formula>AQ117=CléPersonnelle</formula>
    </cfRule>
    <cfRule type="expression" dxfId="380" priority="283" stopIfTrue="1">
      <formula>AQ117=CléCongés</formula>
    </cfRule>
  </conditionalFormatting>
  <conditionalFormatting sqref="AM119 AP119">
    <cfRule type="expression" priority="272" stopIfTrue="1">
      <formula>AM119=""</formula>
    </cfRule>
    <cfRule type="expression" dxfId="379" priority="273" stopIfTrue="1">
      <formula>AM119=CléPersonnalisée2</formula>
    </cfRule>
    <cfRule type="expression" dxfId="378" priority="274" stopIfTrue="1">
      <formula>AM119=CléPersonnalisée1</formula>
    </cfRule>
    <cfRule type="expression" dxfId="377" priority="275" stopIfTrue="1">
      <formula>AM119=CléMaladie</formula>
    </cfRule>
    <cfRule type="expression" dxfId="376" priority="276" stopIfTrue="1">
      <formula>AM119=CléPersonnelle</formula>
    </cfRule>
    <cfRule type="expression" dxfId="375" priority="277" stopIfTrue="1">
      <formula>AM119=CléCongés</formula>
    </cfRule>
  </conditionalFormatting>
  <conditionalFormatting sqref="AH117:AH118">
    <cfRule type="dataBar" priority="271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{6DDF0F59-6167-4842-ADBE-88FE98113A6D}</x14:id>
        </ext>
      </extLst>
    </cfRule>
  </conditionalFormatting>
  <conditionalFormatting sqref="AO119">
    <cfRule type="expression" priority="265" stopIfTrue="1">
      <formula>AO119=""</formula>
    </cfRule>
    <cfRule type="expression" dxfId="374" priority="266" stopIfTrue="1">
      <formula>AO119=CléPersonnalisée2</formula>
    </cfRule>
    <cfRule type="expression" dxfId="373" priority="267" stopIfTrue="1">
      <formula>AO119=CléPersonnalisée1</formula>
    </cfRule>
    <cfRule type="expression" dxfId="372" priority="268" stopIfTrue="1">
      <formula>AO119=CléMaladie</formula>
    </cfRule>
    <cfRule type="expression" dxfId="371" priority="269" stopIfTrue="1">
      <formula>AO119=CléPersonnelle</formula>
    </cfRule>
    <cfRule type="expression" dxfId="370" priority="270" stopIfTrue="1">
      <formula>AO119=CléCongés</formula>
    </cfRule>
  </conditionalFormatting>
  <conditionalFormatting sqref="AI117:AI118">
    <cfRule type="expression" priority="259" stopIfTrue="1">
      <formula>AI117=""</formula>
    </cfRule>
    <cfRule type="expression" dxfId="369" priority="260" stopIfTrue="1">
      <formula>AI117=CléPersonnalisée2</formula>
    </cfRule>
    <cfRule type="expression" dxfId="368" priority="261" stopIfTrue="1">
      <formula>AI117=CléPersonnalisée1</formula>
    </cfRule>
    <cfRule type="expression" dxfId="367" priority="262" stopIfTrue="1">
      <formula>AI117=CléMaladie</formula>
    </cfRule>
    <cfRule type="expression" dxfId="366" priority="263" stopIfTrue="1">
      <formula>AI117=CléPersonnelle</formula>
    </cfRule>
    <cfRule type="expression" dxfId="365" priority="264" stopIfTrue="1">
      <formula>AI117=CléCongés</formula>
    </cfRule>
  </conditionalFormatting>
  <conditionalFormatting sqref="AN119">
    <cfRule type="expression" priority="253" stopIfTrue="1">
      <formula>AN119=""</formula>
    </cfRule>
    <cfRule type="expression" dxfId="364" priority="254" stopIfTrue="1">
      <formula>AN119=CléPersonnalisée2</formula>
    </cfRule>
    <cfRule type="expression" dxfId="363" priority="255" stopIfTrue="1">
      <formula>AN119=CléPersonnalisée1</formula>
    </cfRule>
    <cfRule type="expression" dxfId="362" priority="256" stopIfTrue="1">
      <formula>AN119=CléMaladie</formula>
    </cfRule>
    <cfRule type="expression" dxfId="361" priority="257" stopIfTrue="1">
      <formula>AN119=CléPersonnelle</formula>
    </cfRule>
    <cfRule type="expression" dxfId="360" priority="258" stopIfTrue="1">
      <formula>AN119=CléCongés</formula>
    </cfRule>
  </conditionalFormatting>
  <conditionalFormatting sqref="AR119">
    <cfRule type="expression" priority="247" stopIfTrue="1">
      <formula>AR119=""</formula>
    </cfRule>
    <cfRule type="expression" dxfId="359" priority="248" stopIfTrue="1">
      <formula>AR119=CléPersonnalisée2</formula>
    </cfRule>
    <cfRule type="expression" dxfId="358" priority="249" stopIfTrue="1">
      <formula>AR119=CléPersonnalisée1</formula>
    </cfRule>
    <cfRule type="expression" dxfId="357" priority="250" stopIfTrue="1">
      <formula>AR119=CléMaladie</formula>
    </cfRule>
    <cfRule type="expression" dxfId="356" priority="251" stopIfTrue="1">
      <formula>AR119=CléPersonnelle</formula>
    </cfRule>
    <cfRule type="expression" dxfId="355" priority="252" stopIfTrue="1">
      <formula>AR119=CléCongés</formula>
    </cfRule>
  </conditionalFormatting>
  <conditionalFormatting sqref="AQ108:AR108">
    <cfRule type="expression" priority="235" stopIfTrue="1">
      <formula>AQ108=""</formula>
    </cfRule>
    <cfRule type="expression" dxfId="354" priority="236" stopIfTrue="1">
      <formula>AQ108=CléPersonnalisée2</formula>
    </cfRule>
    <cfRule type="expression" dxfId="353" priority="237" stopIfTrue="1">
      <formula>AQ108=CléPersonnalisée1</formula>
    </cfRule>
    <cfRule type="expression" dxfId="352" priority="238" stopIfTrue="1">
      <formula>AQ108=CléMaladie</formula>
    </cfRule>
    <cfRule type="expression" dxfId="351" priority="239" stopIfTrue="1">
      <formula>AQ108=CléPersonnelle</formula>
    </cfRule>
    <cfRule type="expression" dxfId="350" priority="240" stopIfTrue="1">
      <formula>AQ108=CléCongés</formula>
    </cfRule>
  </conditionalFormatting>
  <conditionalFormatting sqref="AQ107">
    <cfRule type="expression" priority="179" stopIfTrue="1">
      <formula>AQ107=""</formula>
    </cfRule>
    <cfRule type="expression" dxfId="349" priority="180" stopIfTrue="1">
      <formula>AQ107=CléPersonnalisée2</formula>
    </cfRule>
    <cfRule type="expression" dxfId="348" priority="181" stopIfTrue="1">
      <formula>AQ107=CléPersonnalisée1</formula>
    </cfRule>
    <cfRule type="expression" dxfId="347" priority="182" stopIfTrue="1">
      <formula>AQ107=CléMaladie</formula>
    </cfRule>
    <cfRule type="expression" dxfId="346" priority="183" stopIfTrue="1">
      <formula>AQ107=CléPersonnelle</formula>
    </cfRule>
    <cfRule type="expression" dxfId="345" priority="184" stopIfTrue="1">
      <formula>AQ107=CléCongés</formula>
    </cfRule>
  </conditionalFormatting>
  <conditionalFormatting sqref="C105:AG107">
    <cfRule type="expression" priority="228" stopIfTrue="1">
      <formula>C105=""</formula>
    </cfRule>
    <cfRule type="expression" dxfId="344" priority="229" stopIfTrue="1">
      <formula>C105=CléPersonnalisée2</formula>
    </cfRule>
    <cfRule type="expression" dxfId="343" priority="230" stopIfTrue="1">
      <formula>C105=CléPersonnalisée1</formula>
    </cfRule>
    <cfRule type="expression" dxfId="342" priority="231" stopIfTrue="1">
      <formula>C105=CléMaladie</formula>
    </cfRule>
    <cfRule type="expression" dxfId="341" priority="232" stopIfTrue="1">
      <formula>C105=CléPersonnelle</formula>
    </cfRule>
    <cfRule type="expression" dxfId="340" priority="233" stopIfTrue="1">
      <formula>C105=CléCongés</formula>
    </cfRule>
  </conditionalFormatting>
  <conditionalFormatting sqref="AH107">
    <cfRule type="dataBar" priority="234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{A88B77A2-0062-42B3-9B0A-A608ADCDDECC}</x14:id>
        </ext>
      </extLst>
    </cfRule>
  </conditionalFormatting>
  <conditionalFormatting sqref="AI107:AL107 AJ105:AL106">
    <cfRule type="expression" priority="222" stopIfTrue="1">
      <formula>AI105=""</formula>
    </cfRule>
    <cfRule type="expression" dxfId="339" priority="223" stopIfTrue="1">
      <formula>AI105=CléPersonnalisée2</formula>
    </cfRule>
    <cfRule type="expression" dxfId="338" priority="224" stopIfTrue="1">
      <formula>AI105=CléPersonnalisée1</formula>
    </cfRule>
    <cfRule type="expression" dxfId="337" priority="225" stopIfTrue="1">
      <formula>AI105=CléMaladie</formula>
    </cfRule>
    <cfRule type="expression" dxfId="336" priority="226" stopIfTrue="1">
      <formula>AI105=CléPersonnelle</formula>
    </cfRule>
    <cfRule type="expression" dxfId="335" priority="227" stopIfTrue="1">
      <formula>AI105=CléCongés</formula>
    </cfRule>
  </conditionalFormatting>
  <conditionalFormatting sqref="AM105:AP106">
    <cfRule type="expression" priority="216" stopIfTrue="1">
      <formula>AM105=""</formula>
    </cfRule>
    <cfRule type="expression" dxfId="334" priority="217" stopIfTrue="1">
      <formula>AM105=CléPersonnalisée2</formula>
    </cfRule>
    <cfRule type="expression" dxfId="333" priority="218" stopIfTrue="1">
      <formula>AM105=CléPersonnalisée1</formula>
    </cfRule>
    <cfRule type="expression" dxfId="332" priority="219" stopIfTrue="1">
      <formula>AM105=CléMaladie</formula>
    </cfRule>
    <cfRule type="expression" dxfId="331" priority="220" stopIfTrue="1">
      <formula>AM105=CléPersonnelle</formula>
    </cfRule>
    <cfRule type="expression" dxfId="330" priority="221" stopIfTrue="1">
      <formula>AM105=CléCongés</formula>
    </cfRule>
  </conditionalFormatting>
  <conditionalFormatting sqref="AQ105:AR106">
    <cfRule type="expression" priority="210" stopIfTrue="1">
      <formula>AQ105=""</formula>
    </cfRule>
    <cfRule type="expression" dxfId="329" priority="211" stopIfTrue="1">
      <formula>AQ105=CléPersonnalisée2</formula>
    </cfRule>
    <cfRule type="expression" dxfId="328" priority="212" stopIfTrue="1">
      <formula>AQ105=CléPersonnalisée1</formula>
    </cfRule>
    <cfRule type="expression" dxfId="327" priority="213" stopIfTrue="1">
      <formula>AQ105=CléMaladie</formula>
    </cfRule>
    <cfRule type="expression" dxfId="326" priority="214" stopIfTrue="1">
      <formula>AQ105=CléPersonnelle</formula>
    </cfRule>
    <cfRule type="expression" dxfId="325" priority="215" stopIfTrue="1">
      <formula>AQ105=CléCongés</formula>
    </cfRule>
  </conditionalFormatting>
  <conditionalFormatting sqref="AM107 AP107">
    <cfRule type="expression" priority="204" stopIfTrue="1">
      <formula>AM107=""</formula>
    </cfRule>
    <cfRule type="expression" dxfId="324" priority="205" stopIfTrue="1">
      <formula>AM107=CléPersonnalisée2</formula>
    </cfRule>
    <cfRule type="expression" dxfId="323" priority="206" stopIfTrue="1">
      <formula>AM107=CléPersonnalisée1</formula>
    </cfRule>
    <cfRule type="expression" dxfId="322" priority="207" stopIfTrue="1">
      <formula>AM107=CléMaladie</formula>
    </cfRule>
    <cfRule type="expression" dxfId="321" priority="208" stopIfTrue="1">
      <formula>AM107=CléPersonnelle</formula>
    </cfRule>
    <cfRule type="expression" dxfId="320" priority="209" stopIfTrue="1">
      <formula>AM107=CléCongés</formula>
    </cfRule>
  </conditionalFormatting>
  <conditionalFormatting sqref="AH105:AH106">
    <cfRule type="dataBar" priority="203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{EFB988CD-1A81-4AF2-BAA2-797608BA2962}</x14:id>
        </ext>
      </extLst>
    </cfRule>
  </conditionalFormatting>
  <conditionalFormatting sqref="AI105:AI106">
    <cfRule type="expression" priority="197" stopIfTrue="1">
      <formula>AI105=""</formula>
    </cfRule>
    <cfRule type="expression" dxfId="319" priority="198" stopIfTrue="1">
      <formula>AI105=CléPersonnalisée2</formula>
    </cfRule>
    <cfRule type="expression" dxfId="318" priority="199" stopIfTrue="1">
      <formula>AI105=CléPersonnalisée1</formula>
    </cfRule>
    <cfRule type="expression" dxfId="317" priority="200" stopIfTrue="1">
      <formula>AI105=CléMaladie</formula>
    </cfRule>
    <cfRule type="expression" dxfId="316" priority="201" stopIfTrue="1">
      <formula>AI105=CléPersonnelle</formula>
    </cfRule>
    <cfRule type="expression" dxfId="315" priority="202" stopIfTrue="1">
      <formula>AI105=CléCongés</formula>
    </cfRule>
  </conditionalFormatting>
  <conditionalFormatting sqref="AN107">
    <cfRule type="expression" priority="191" stopIfTrue="1">
      <formula>AN107=""</formula>
    </cfRule>
    <cfRule type="expression" dxfId="314" priority="192" stopIfTrue="1">
      <formula>AN107=CléPersonnalisée2</formula>
    </cfRule>
    <cfRule type="expression" dxfId="313" priority="193" stopIfTrue="1">
      <formula>AN107=CléPersonnalisée1</formula>
    </cfRule>
    <cfRule type="expression" dxfId="312" priority="194" stopIfTrue="1">
      <formula>AN107=CléMaladie</formula>
    </cfRule>
    <cfRule type="expression" dxfId="311" priority="195" stopIfTrue="1">
      <formula>AN107=CléPersonnelle</formula>
    </cfRule>
    <cfRule type="expression" dxfId="310" priority="196" stopIfTrue="1">
      <formula>AN107=CléCongés</formula>
    </cfRule>
  </conditionalFormatting>
  <conditionalFormatting sqref="AR107">
    <cfRule type="expression" priority="185" stopIfTrue="1">
      <formula>AR107=""</formula>
    </cfRule>
    <cfRule type="expression" dxfId="309" priority="186" stopIfTrue="1">
      <formula>AR107=CléPersonnalisée2</formula>
    </cfRule>
    <cfRule type="expression" dxfId="308" priority="187" stopIfTrue="1">
      <formula>AR107=CléPersonnalisée1</formula>
    </cfRule>
    <cfRule type="expression" dxfId="307" priority="188" stopIfTrue="1">
      <formula>AR107=CléMaladie</formula>
    </cfRule>
    <cfRule type="expression" dxfId="306" priority="189" stopIfTrue="1">
      <formula>AR107=CléPersonnelle</formula>
    </cfRule>
    <cfRule type="expression" dxfId="305" priority="190" stopIfTrue="1">
      <formula>AR107=CléCongés</formula>
    </cfRule>
  </conditionalFormatting>
  <conditionalFormatting sqref="AO107">
    <cfRule type="expression" priority="173" stopIfTrue="1">
      <formula>AO107=""</formula>
    </cfRule>
    <cfRule type="expression" dxfId="304" priority="174" stopIfTrue="1">
      <formula>AO107=CléPersonnalisée2</formula>
    </cfRule>
    <cfRule type="expression" dxfId="303" priority="175" stopIfTrue="1">
      <formula>AO107=CléPersonnalisée1</formula>
    </cfRule>
    <cfRule type="expression" dxfId="302" priority="176" stopIfTrue="1">
      <formula>AO107=CléMaladie</formula>
    </cfRule>
    <cfRule type="expression" dxfId="301" priority="177" stopIfTrue="1">
      <formula>AO107=CléPersonnelle</formula>
    </cfRule>
    <cfRule type="expression" dxfId="300" priority="178" stopIfTrue="1">
      <formula>AO107=CléCongés</formula>
    </cfRule>
  </conditionalFormatting>
  <conditionalFormatting sqref="C57:AG59">
    <cfRule type="expression" priority="166" stopIfTrue="1">
      <formula>C57=""</formula>
    </cfRule>
    <cfRule type="expression" dxfId="299" priority="167" stopIfTrue="1">
      <formula>C57=CléPersonnalisée2</formula>
    </cfRule>
    <cfRule type="expression" dxfId="298" priority="168" stopIfTrue="1">
      <formula>C57=CléPersonnalisée1</formula>
    </cfRule>
    <cfRule type="expression" dxfId="297" priority="169" stopIfTrue="1">
      <formula>C57=CléMaladie</formula>
    </cfRule>
    <cfRule type="expression" dxfId="296" priority="170" stopIfTrue="1">
      <formula>C57=CléPersonnelle</formula>
    </cfRule>
    <cfRule type="expression" dxfId="295" priority="171" stopIfTrue="1">
      <formula>C57=CléCongés</formula>
    </cfRule>
  </conditionalFormatting>
  <conditionalFormatting sqref="AH59">
    <cfRule type="dataBar" priority="172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{E4EE08AE-1DD7-4259-9DE8-EED666F47B69}</x14:id>
        </ext>
      </extLst>
    </cfRule>
  </conditionalFormatting>
  <conditionalFormatting sqref="AI59:AL59 AJ57:AL58">
    <cfRule type="expression" priority="160" stopIfTrue="1">
      <formula>AI57=""</formula>
    </cfRule>
    <cfRule type="expression" dxfId="294" priority="161" stopIfTrue="1">
      <formula>AI57=CléPersonnalisée2</formula>
    </cfRule>
    <cfRule type="expression" dxfId="293" priority="162" stopIfTrue="1">
      <formula>AI57=CléPersonnalisée1</formula>
    </cfRule>
    <cfRule type="expression" dxfId="292" priority="163" stopIfTrue="1">
      <formula>AI57=CléMaladie</formula>
    </cfRule>
    <cfRule type="expression" dxfId="291" priority="164" stopIfTrue="1">
      <formula>AI57=CléPersonnelle</formula>
    </cfRule>
    <cfRule type="expression" dxfId="290" priority="165" stopIfTrue="1">
      <formula>AI57=CléCongés</formula>
    </cfRule>
  </conditionalFormatting>
  <conditionalFormatting sqref="AM57:AP58">
    <cfRule type="expression" priority="154" stopIfTrue="1">
      <formula>AM57=""</formula>
    </cfRule>
    <cfRule type="expression" dxfId="289" priority="155" stopIfTrue="1">
      <formula>AM57=CléPersonnalisée2</formula>
    </cfRule>
    <cfRule type="expression" dxfId="288" priority="156" stopIfTrue="1">
      <formula>AM57=CléPersonnalisée1</formula>
    </cfRule>
    <cfRule type="expression" dxfId="287" priority="157" stopIfTrue="1">
      <formula>AM57=CléMaladie</formula>
    </cfRule>
    <cfRule type="expression" dxfId="286" priority="158" stopIfTrue="1">
      <formula>AM57=CléPersonnelle</formula>
    </cfRule>
    <cfRule type="expression" dxfId="285" priority="159" stopIfTrue="1">
      <formula>AM57=CléCongés</formula>
    </cfRule>
  </conditionalFormatting>
  <conditionalFormatting sqref="AQ57:AR58">
    <cfRule type="expression" priority="148" stopIfTrue="1">
      <formula>AQ57=""</formula>
    </cfRule>
    <cfRule type="expression" dxfId="284" priority="149" stopIfTrue="1">
      <formula>AQ57=CléPersonnalisée2</formula>
    </cfRule>
    <cfRule type="expression" dxfId="283" priority="150" stopIfTrue="1">
      <formula>AQ57=CléPersonnalisée1</formula>
    </cfRule>
    <cfRule type="expression" dxfId="282" priority="151" stopIfTrue="1">
      <formula>AQ57=CléMaladie</formula>
    </cfRule>
    <cfRule type="expression" dxfId="281" priority="152" stopIfTrue="1">
      <formula>AQ57=CléPersonnelle</formula>
    </cfRule>
    <cfRule type="expression" dxfId="280" priority="153" stopIfTrue="1">
      <formula>AQ57=CléCongés</formula>
    </cfRule>
  </conditionalFormatting>
  <conditionalFormatting sqref="AM59 AP59">
    <cfRule type="expression" priority="142" stopIfTrue="1">
      <formula>AM59=""</formula>
    </cfRule>
    <cfRule type="expression" dxfId="279" priority="143" stopIfTrue="1">
      <formula>AM59=CléPersonnalisée2</formula>
    </cfRule>
    <cfRule type="expression" dxfId="278" priority="144" stopIfTrue="1">
      <formula>AM59=CléPersonnalisée1</formula>
    </cfRule>
    <cfRule type="expression" dxfId="277" priority="145" stopIfTrue="1">
      <formula>AM59=CléMaladie</formula>
    </cfRule>
    <cfRule type="expression" dxfId="276" priority="146" stopIfTrue="1">
      <formula>AM59=CléPersonnelle</formula>
    </cfRule>
    <cfRule type="expression" dxfId="275" priority="147" stopIfTrue="1">
      <formula>AM59=CléCongés</formula>
    </cfRule>
  </conditionalFormatting>
  <conditionalFormatting sqref="AH57:AH58">
    <cfRule type="dataBar" priority="141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{DACBEADB-071E-4BD8-A4E9-DD3A1CBD2D71}</x14:id>
        </ext>
      </extLst>
    </cfRule>
  </conditionalFormatting>
  <conditionalFormatting sqref="AO59">
    <cfRule type="expression" priority="135" stopIfTrue="1">
      <formula>AO59=""</formula>
    </cfRule>
    <cfRule type="expression" dxfId="274" priority="136" stopIfTrue="1">
      <formula>AO59=CléPersonnalisée2</formula>
    </cfRule>
    <cfRule type="expression" dxfId="273" priority="137" stopIfTrue="1">
      <formula>AO59=CléPersonnalisée1</formula>
    </cfRule>
    <cfRule type="expression" dxfId="272" priority="138" stopIfTrue="1">
      <formula>AO59=CléMaladie</formula>
    </cfRule>
    <cfRule type="expression" dxfId="271" priority="139" stopIfTrue="1">
      <formula>AO59=CléPersonnelle</formula>
    </cfRule>
    <cfRule type="expression" dxfId="270" priority="140" stopIfTrue="1">
      <formula>AO59=CléCongés</formula>
    </cfRule>
  </conditionalFormatting>
  <conditionalFormatting sqref="AI57:AI58">
    <cfRule type="expression" priority="129" stopIfTrue="1">
      <formula>AI57=""</formula>
    </cfRule>
    <cfRule type="expression" dxfId="269" priority="130" stopIfTrue="1">
      <formula>AI57=CléPersonnalisée2</formula>
    </cfRule>
    <cfRule type="expression" dxfId="268" priority="131" stopIfTrue="1">
      <formula>AI57=CléPersonnalisée1</formula>
    </cfRule>
    <cfRule type="expression" dxfId="267" priority="132" stopIfTrue="1">
      <formula>AI57=CléMaladie</formula>
    </cfRule>
    <cfRule type="expression" dxfId="266" priority="133" stopIfTrue="1">
      <formula>AI57=CléPersonnelle</formula>
    </cfRule>
    <cfRule type="expression" dxfId="265" priority="134" stopIfTrue="1">
      <formula>AI57=CléCongés</formula>
    </cfRule>
  </conditionalFormatting>
  <conditionalFormatting sqref="AN59">
    <cfRule type="expression" priority="123" stopIfTrue="1">
      <formula>AN59=""</formula>
    </cfRule>
    <cfRule type="expression" dxfId="264" priority="124" stopIfTrue="1">
      <formula>AN59=CléPersonnalisée2</formula>
    </cfRule>
    <cfRule type="expression" dxfId="263" priority="125" stopIfTrue="1">
      <formula>AN59=CléPersonnalisée1</formula>
    </cfRule>
    <cfRule type="expression" dxfId="262" priority="126" stopIfTrue="1">
      <formula>AN59=CléMaladie</formula>
    </cfRule>
    <cfRule type="expression" dxfId="261" priority="127" stopIfTrue="1">
      <formula>AN59=CléPersonnelle</formula>
    </cfRule>
    <cfRule type="expression" dxfId="260" priority="128" stopIfTrue="1">
      <formula>AN59=CléCongés</formula>
    </cfRule>
  </conditionalFormatting>
  <conditionalFormatting sqref="AR59">
    <cfRule type="expression" priority="117" stopIfTrue="1">
      <formula>AR59=""</formula>
    </cfRule>
    <cfRule type="expression" dxfId="259" priority="118" stopIfTrue="1">
      <formula>AR59=CléPersonnalisée2</formula>
    </cfRule>
    <cfRule type="expression" dxfId="258" priority="119" stopIfTrue="1">
      <formula>AR59=CléPersonnalisée1</formula>
    </cfRule>
    <cfRule type="expression" dxfId="257" priority="120" stopIfTrue="1">
      <formula>AR59=CléMaladie</formula>
    </cfRule>
    <cfRule type="expression" dxfId="256" priority="121" stopIfTrue="1">
      <formula>AR59=CléPersonnelle</formula>
    </cfRule>
    <cfRule type="expression" dxfId="255" priority="122" stopIfTrue="1">
      <formula>AR59=CléCongés</formula>
    </cfRule>
  </conditionalFormatting>
  <conditionalFormatting sqref="AQ59">
    <cfRule type="expression" priority="111" stopIfTrue="1">
      <formula>AQ59=""</formula>
    </cfRule>
    <cfRule type="expression" dxfId="254" priority="112" stopIfTrue="1">
      <formula>AQ59=CléPersonnalisée2</formula>
    </cfRule>
    <cfRule type="expression" dxfId="253" priority="113" stopIfTrue="1">
      <formula>AQ59=CléPersonnalisée1</formula>
    </cfRule>
    <cfRule type="expression" dxfId="252" priority="114" stopIfTrue="1">
      <formula>AQ59=CléMaladie</formula>
    </cfRule>
    <cfRule type="expression" dxfId="251" priority="115" stopIfTrue="1">
      <formula>AQ59=CléPersonnelle</formula>
    </cfRule>
    <cfRule type="expression" dxfId="250" priority="116" stopIfTrue="1">
      <formula>AQ59=CléCongés</formula>
    </cfRule>
  </conditionalFormatting>
  <conditionalFormatting sqref="AQ79">
    <cfRule type="expression" priority="61" stopIfTrue="1">
      <formula>AQ79=""</formula>
    </cfRule>
    <cfRule type="expression" dxfId="249" priority="62" stopIfTrue="1">
      <formula>AQ79=CléPersonnalisée2</formula>
    </cfRule>
    <cfRule type="expression" dxfId="248" priority="63" stopIfTrue="1">
      <formula>AQ79=CléPersonnalisée1</formula>
    </cfRule>
    <cfRule type="expression" dxfId="247" priority="64" stopIfTrue="1">
      <formula>AQ79=CléMaladie</formula>
    </cfRule>
    <cfRule type="expression" dxfId="246" priority="65" stopIfTrue="1">
      <formula>AQ79=CléPersonnelle</formula>
    </cfRule>
    <cfRule type="expression" dxfId="245" priority="66" stopIfTrue="1">
      <formula>AQ79=CléCongés</formula>
    </cfRule>
  </conditionalFormatting>
  <conditionalFormatting sqref="C77:AG79">
    <cfRule type="expression" priority="104" stopIfTrue="1">
      <formula>C77=""</formula>
    </cfRule>
    <cfRule type="expression" dxfId="244" priority="105" stopIfTrue="1">
      <formula>C77=CléPersonnalisée2</formula>
    </cfRule>
    <cfRule type="expression" dxfId="243" priority="106" stopIfTrue="1">
      <formula>C77=CléPersonnalisée1</formula>
    </cfRule>
    <cfRule type="expression" dxfId="242" priority="107" stopIfTrue="1">
      <formula>C77=CléMaladie</formula>
    </cfRule>
    <cfRule type="expression" dxfId="241" priority="108" stopIfTrue="1">
      <formula>C77=CléPersonnelle</formula>
    </cfRule>
    <cfRule type="expression" dxfId="240" priority="109" stopIfTrue="1">
      <formula>C77=CléCongés</formula>
    </cfRule>
  </conditionalFormatting>
  <conditionalFormatting sqref="AH79">
    <cfRule type="dataBar" priority="110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{392CE6CE-CB38-4ECF-9DD5-91B54AA024B1}</x14:id>
        </ext>
      </extLst>
    </cfRule>
  </conditionalFormatting>
  <conditionalFormatting sqref="AI79:AL79 AJ77:AL78">
    <cfRule type="expression" priority="98" stopIfTrue="1">
      <formula>AI77=""</formula>
    </cfRule>
    <cfRule type="expression" dxfId="239" priority="99" stopIfTrue="1">
      <formula>AI77=CléPersonnalisée2</formula>
    </cfRule>
    <cfRule type="expression" dxfId="238" priority="100" stopIfTrue="1">
      <formula>AI77=CléPersonnalisée1</formula>
    </cfRule>
    <cfRule type="expression" dxfId="237" priority="101" stopIfTrue="1">
      <formula>AI77=CléMaladie</formula>
    </cfRule>
    <cfRule type="expression" dxfId="236" priority="102" stopIfTrue="1">
      <formula>AI77=CléPersonnelle</formula>
    </cfRule>
    <cfRule type="expression" dxfId="235" priority="103" stopIfTrue="1">
      <formula>AI77=CléCongés</formula>
    </cfRule>
  </conditionalFormatting>
  <conditionalFormatting sqref="AM77:AP78">
    <cfRule type="expression" priority="92" stopIfTrue="1">
      <formula>AM77=""</formula>
    </cfRule>
    <cfRule type="expression" dxfId="234" priority="93" stopIfTrue="1">
      <formula>AM77=CléPersonnalisée2</formula>
    </cfRule>
    <cfRule type="expression" dxfId="233" priority="94" stopIfTrue="1">
      <formula>AM77=CléPersonnalisée1</formula>
    </cfRule>
    <cfRule type="expression" dxfId="232" priority="95" stopIfTrue="1">
      <formula>AM77=CléMaladie</formula>
    </cfRule>
    <cfRule type="expression" dxfId="231" priority="96" stopIfTrue="1">
      <formula>AM77=CléPersonnelle</formula>
    </cfRule>
    <cfRule type="expression" dxfId="230" priority="97" stopIfTrue="1">
      <formula>AM77=CléCongés</formula>
    </cfRule>
  </conditionalFormatting>
  <conditionalFormatting sqref="AQ77:AR78">
    <cfRule type="expression" priority="86" stopIfTrue="1">
      <formula>AQ77=""</formula>
    </cfRule>
    <cfRule type="expression" dxfId="229" priority="87" stopIfTrue="1">
      <formula>AQ77=CléPersonnalisée2</formula>
    </cfRule>
    <cfRule type="expression" dxfId="228" priority="88" stopIfTrue="1">
      <formula>AQ77=CléPersonnalisée1</formula>
    </cfRule>
    <cfRule type="expression" dxfId="227" priority="89" stopIfTrue="1">
      <formula>AQ77=CléMaladie</formula>
    </cfRule>
    <cfRule type="expression" dxfId="226" priority="90" stopIfTrue="1">
      <formula>AQ77=CléPersonnelle</formula>
    </cfRule>
    <cfRule type="expression" dxfId="225" priority="91" stopIfTrue="1">
      <formula>AQ77=CléCongés</formula>
    </cfRule>
  </conditionalFormatting>
  <conditionalFormatting sqref="AM79 AP79">
    <cfRule type="expression" priority="80" stopIfTrue="1">
      <formula>AM79=""</formula>
    </cfRule>
    <cfRule type="expression" dxfId="224" priority="81" stopIfTrue="1">
      <formula>AM79=CléPersonnalisée2</formula>
    </cfRule>
    <cfRule type="expression" dxfId="223" priority="82" stopIfTrue="1">
      <formula>AM79=CléPersonnalisée1</formula>
    </cfRule>
    <cfRule type="expression" dxfId="222" priority="83" stopIfTrue="1">
      <formula>AM79=CléMaladie</formula>
    </cfRule>
    <cfRule type="expression" dxfId="221" priority="84" stopIfTrue="1">
      <formula>AM79=CléPersonnelle</formula>
    </cfRule>
    <cfRule type="expression" dxfId="220" priority="85" stopIfTrue="1">
      <formula>AM79=CléCongés</formula>
    </cfRule>
  </conditionalFormatting>
  <conditionalFormatting sqref="AH77:AH78">
    <cfRule type="dataBar" priority="79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{E7DB5777-780B-47DF-8686-A4751EB9F277}</x14:id>
        </ext>
      </extLst>
    </cfRule>
  </conditionalFormatting>
  <conditionalFormatting sqref="AI77:AI78">
    <cfRule type="expression" priority="73" stopIfTrue="1">
      <formula>AI77=""</formula>
    </cfRule>
    <cfRule type="expression" dxfId="219" priority="74" stopIfTrue="1">
      <formula>AI77=CléPersonnalisée2</formula>
    </cfRule>
    <cfRule type="expression" dxfId="218" priority="75" stopIfTrue="1">
      <formula>AI77=CléPersonnalisée1</formula>
    </cfRule>
    <cfRule type="expression" dxfId="217" priority="76" stopIfTrue="1">
      <formula>AI77=CléMaladie</formula>
    </cfRule>
    <cfRule type="expression" dxfId="216" priority="77" stopIfTrue="1">
      <formula>AI77=CléPersonnelle</formula>
    </cfRule>
    <cfRule type="expression" dxfId="215" priority="78" stopIfTrue="1">
      <formula>AI77=CléCongés</formula>
    </cfRule>
  </conditionalFormatting>
  <conditionalFormatting sqref="AR79">
    <cfRule type="expression" priority="67" stopIfTrue="1">
      <formula>AR79=""</formula>
    </cfRule>
    <cfRule type="expression" dxfId="214" priority="68" stopIfTrue="1">
      <formula>AR79=CléPersonnalisée2</formula>
    </cfRule>
    <cfRule type="expression" dxfId="213" priority="69" stopIfTrue="1">
      <formula>AR79=CléPersonnalisée1</formula>
    </cfRule>
    <cfRule type="expression" dxfId="212" priority="70" stopIfTrue="1">
      <formula>AR79=CléMaladie</formula>
    </cfRule>
    <cfRule type="expression" dxfId="211" priority="71" stopIfTrue="1">
      <formula>AR79=CléPersonnelle</formula>
    </cfRule>
    <cfRule type="expression" dxfId="210" priority="72" stopIfTrue="1">
      <formula>AR79=CléCongés</formula>
    </cfRule>
  </conditionalFormatting>
  <conditionalFormatting sqref="AO79">
    <cfRule type="expression" priority="55" stopIfTrue="1">
      <formula>AO79=""</formula>
    </cfRule>
    <cfRule type="expression" dxfId="209" priority="56" stopIfTrue="1">
      <formula>AO79=CléPersonnalisée2</formula>
    </cfRule>
    <cfRule type="expression" dxfId="208" priority="57" stopIfTrue="1">
      <formula>AO79=CléPersonnalisée1</formula>
    </cfRule>
    <cfRule type="expression" dxfId="207" priority="58" stopIfTrue="1">
      <formula>AO79=CléMaladie</formula>
    </cfRule>
    <cfRule type="expression" dxfId="206" priority="59" stopIfTrue="1">
      <formula>AO79=CléPersonnelle</formula>
    </cfRule>
    <cfRule type="expression" dxfId="205" priority="60" stopIfTrue="1">
      <formula>AO79=CléCongés</formula>
    </cfRule>
  </conditionalFormatting>
  <conditionalFormatting sqref="AN79">
    <cfRule type="expression" priority="49" stopIfTrue="1">
      <formula>AN79=""</formula>
    </cfRule>
    <cfRule type="expression" dxfId="204" priority="50" stopIfTrue="1">
      <formula>AN79=CléPersonnalisée2</formula>
    </cfRule>
    <cfRule type="expression" dxfId="203" priority="51" stopIfTrue="1">
      <formula>AN79=CléPersonnalisée1</formula>
    </cfRule>
    <cfRule type="expression" dxfId="202" priority="52" stopIfTrue="1">
      <formula>AN79=CléMaladie</formula>
    </cfRule>
    <cfRule type="expression" dxfId="201" priority="53" stopIfTrue="1">
      <formula>AN79=CléPersonnelle</formula>
    </cfRule>
    <cfRule type="expression" dxfId="200" priority="54" stopIfTrue="1">
      <formula>AN79=CléCongés</formula>
    </cfRule>
  </conditionalFormatting>
  <conditionalFormatting sqref="AM95">
    <cfRule type="expression" priority="43" stopIfTrue="1">
      <formula>AM95=""</formula>
    </cfRule>
    <cfRule type="expression" dxfId="199" priority="44" stopIfTrue="1">
      <formula>AM95=CléPersonnalisée2</formula>
    </cfRule>
    <cfRule type="expression" dxfId="198" priority="45" stopIfTrue="1">
      <formula>AM95=CléPersonnalisée1</formula>
    </cfRule>
    <cfRule type="expression" dxfId="197" priority="46" stopIfTrue="1">
      <formula>AM95=CléMaladie</formula>
    </cfRule>
    <cfRule type="expression" dxfId="196" priority="47" stopIfTrue="1">
      <formula>AM95=CléPersonnelle</formula>
    </cfRule>
    <cfRule type="expression" dxfId="195" priority="48" stopIfTrue="1">
      <formula>AM95=CléCongés</formula>
    </cfRule>
  </conditionalFormatting>
  <conditionalFormatting sqref="AM97:AP98">
    <cfRule type="expression" priority="37" stopIfTrue="1">
      <formula>AM97=""</formula>
    </cfRule>
    <cfRule type="expression" dxfId="194" priority="38" stopIfTrue="1">
      <formula>AM97=CléPersonnalisée2</formula>
    </cfRule>
    <cfRule type="expression" dxfId="193" priority="39" stopIfTrue="1">
      <formula>AM97=CléPersonnalisée1</formula>
    </cfRule>
    <cfRule type="expression" dxfId="192" priority="40" stopIfTrue="1">
      <formula>AM97=CléMaladie</formula>
    </cfRule>
    <cfRule type="expression" dxfId="191" priority="41" stopIfTrue="1">
      <formula>AM97=CléPersonnelle</formula>
    </cfRule>
    <cfRule type="expression" dxfId="190" priority="42" stopIfTrue="1">
      <formula>AM97=CléCongés</formula>
    </cfRule>
  </conditionalFormatting>
  <conditionalFormatting sqref="AQ97:AR98">
    <cfRule type="expression" priority="31" stopIfTrue="1">
      <formula>AQ97=""</formula>
    </cfRule>
    <cfRule type="expression" dxfId="189" priority="32" stopIfTrue="1">
      <formula>AQ97=CléPersonnalisée2</formula>
    </cfRule>
    <cfRule type="expression" dxfId="188" priority="33" stopIfTrue="1">
      <formula>AQ97=CléPersonnalisée1</formula>
    </cfRule>
    <cfRule type="expression" dxfId="187" priority="34" stopIfTrue="1">
      <formula>AQ97=CléMaladie</formula>
    </cfRule>
    <cfRule type="expression" dxfId="186" priority="35" stopIfTrue="1">
      <formula>AQ97=CléPersonnelle</formula>
    </cfRule>
    <cfRule type="expression" dxfId="185" priority="36" stopIfTrue="1">
      <formula>AQ97=CléCongés</formula>
    </cfRule>
  </conditionalFormatting>
  <conditionalFormatting sqref="AM101:AP102">
    <cfRule type="expression" priority="25" stopIfTrue="1">
      <formula>AM101=""</formula>
    </cfRule>
    <cfRule type="expression" dxfId="184" priority="26" stopIfTrue="1">
      <formula>AM101=CléPersonnalisée2</formula>
    </cfRule>
    <cfRule type="expression" dxfId="183" priority="27" stopIfTrue="1">
      <formula>AM101=CléPersonnalisée1</formula>
    </cfRule>
    <cfRule type="expression" dxfId="182" priority="28" stopIfTrue="1">
      <formula>AM101=CléMaladie</formula>
    </cfRule>
    <cfRule type="expression" dxfId="181" priority="29" stopIfTrue="1">
      <formula>AM101=CléPersonnelle</formula>
    </cfRule>
    <cfRule type="expression" dxfId="180" priority="30" stopIfTrue="1">
      <formula>AM101=CléCongés</formula>
    </cfRule>
  </conditionalFormatting>
  <conditionalFormatting sqref="AQ101:AR102">
    <cfRule type="expression" priority="19" stopIfTrue="1">
      <formula>AQ101=""</formula>
    </cfRule>
    <cfRule type="expression" dxfId="179" priority="20" stopIfTrue="1">
      <formula>AQ101=CléPersonnalisée2</formula>
    </cfRule>
    <cfRule type="expression" dxfId="178" priority="21" stopIfTrue="1">
      <formula>AQ101=CléPersonnalisée1</formula>
    </cfRule>
    <cfRule type="expression" dxfId="177" priority="22" stopIfTrue="1">
      <formula>AQ101=CléMaladie</formula>
    </cfRule>
    <cfRule type="expression" dxfId="176" priority="23" stopIfTrue="1">
      <formula>AQ101=CléPersonnelle</formula>
    </cfRule>
    <cfRule type="expression" dxfId="175" priority="24" stopIfTrue="1">
      <formula>AQ101=CléCongés</formula>
    </cfRule>
  </conditionalFormatting>
  <conditionalFormatting sqref="AS13 AS17 AS21 AS25 AS29 AS33 AS37 AS41 AS45 AS49 AS53 AS57 AS61 AS65 AS69 AS73 AS77 AS81 AS85 AS89 AS93 AS97 AS101 AS105 AS109 AS113 AS117 AS121">
    <cfRule type="expression" priority="13" stopIfTrue="1">
      <formula>AS13=""</formula>
    </cfRule>
    <cfRule type="expression" dxfId="144" priority="14" stopIfTrue="1">
      <formula>AS13=CléPersonnalisée2</formula>
    </cfRule>
    <cfRule type="expression" dxfId="143" priority="15" stopIfTrue="1">
      <formula>AS13=CléPersonnalisée1</formula>
    </cfRule>
    <cfRule type="expression" dxfId="142" priority="16" stopIfTrue="1">
      <formula>AS13=CléMaladie</formula>
    </cfRule>
    <cfRule type="expression" dxfId="141" priority="17" stopIfTrue="1">
      <formula>AS13=CléPersonnelle</formula>
    </cfRule>
    <cfRule type="expression" dxfId="140" priority="18" stopIfTrue="1">
      <formula>AS13=CléCongés</formula>
    </cfRule>
  </conditionalFormatting>
  <conditionalFormatting sqref="AS9">
    <cfRule type="expression" priority="7" stopIfTrue="1">
      <formula>AS9=""</formula>
    </cfRule>
    <cfRule type="expression" dxfId="139" priority="8" stopIfTrue="1">
      <formula>AS9=CléPersonnalisée2</formula>
    </cfRule>
    <cfRule type="expression" dxfId="138" priority="9" stopIfTrue="1">
      <formula>AS9=CléPersonnalisée1</formula>
    </cfRule>
    <cfRule type="expression" dxfId="137" priority="10" stopIfTrue="1">
      <formula>AS9=CléMaladie</formula>
    </cfRule>
    <cfRule type="expression" dxfId="136" priority="11" stopIfTrue="1">
      <formula>AS9=CléPersonnelle</formula>
    </cfRule>
    <cfRule type="expression" dxfId="135" priority="12" stopIfTrue="1">
      <formula>AS9=CléCongés</formula>
    </cfRule>
  </conditionalFormatting>
  <conditionalFormatting sqref="AS5">
    <cfRule type="expression" priority="1" stopIfTrue="1">
      <formula>AS5=""</formula>
    </cfRule>
    <cfRule type="expression" dxfId="134" priority="2" stopIfTrue="1">
      <formula>AS5=CléPersonnalisée2</formula>
    </cfRule>
    <cfRule type="expression" dxfId="133" priority="3" stopIfTrue="1">
      <formula>AS5=CléPersonnalisée1</formula>
    </cfRule>
    <cfRule type="expression" dxfId="132" priority="4" stopIfTrue="1">
      <formula>AS5=CléMaladie</formula>
    </cfRule>
    <cfRule type="expression" dxfId="131" priority="5" stopIfTrue="1">
      <formula>AS5=CléPersonnelle</formula>
    </cfRule>
    <cfRule type="expression" dxfId="130" priority="6" stopIfTrue="1">
      <formula>AS5=CléCongés</formula>
    </cfRule>
  </conditionalFormatting>
  <printOptions horizontalCentered="1"/>
  <pageMargins left="0.25" right="0.25" top="0.75" bottom="0.75" header="0.3" footer="0.3"/>
  <pageSetup scale="67" fitToHeight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0C2CEAE-7509-4DB6-B3FB-5B985943CAEB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AH5:AH6 AH9:AH11</xm:sqref>
        </x14:conditionalFormatting>
        <x14:conditionalFormatting xmlns:xm="http://schemas.microsoft.com/office/excel/2006/main">
          <x14:cfRule type="dataBar" id="{6EDC341D-B8DF-4FC2-9733-7EB5AA91D803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AH27</xm:sqref>
        </x14:conditionalFormatting>
        <x14:conditionalFormatting xmlns:xm="http://schemas.microsoft.com/office/excel/2006/main">
          <x14:cfRule type="dataBar" id="{D3D7810B-64A8-4906-BEBA-7B102A5FD257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AH31</xm:sqref>
        </x14:conditionalFormatting>
        <x14:conditionalFormatting xmlns:xm="http://schemas.microsoft.com/office/excel/2006/main">
          <x14:cfRule type="dataBar" id="{CFABD9B7-B0F0-4E11-A707-42F968BA821D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AH35</xm:sqref>
        </x14:conditionalFormatting>
        <x14:conditionalFormatting xmlns:xm="http://schemas.microsoft.com/office/excel/2006/main">
          <x14:cfRule type="dataBar" id="{4F069BE9-51BF-4A60-A506-D5AE16A9A5AA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AH39</xm:sqref>
        </x14:conditionalFormatting>
        <x14:conditionalFormatting xmlns:xm="http://schemas.microsoft.com/office/excel/2006/main">
          <x14:cfRule type="dataBar" id="{7E002875-9017-4804-AAE0-66E50CAB3E36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AH43</xm:sqref>
        </x14:conditionalFormatting>
        <x14:conditionalFormatting xmlns:xm="http://schemas.microsoft.com/office/excel/2006/main">
          <x14:cfRule type="dataBar" id="{95449779-6A98-4269-988B-5730DF5991F5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AH47</xm:sqref>
        </x14:conditionalFormatting>
        <x14:conditionalFormatting xmlns:xm="http://schemas.microsoft.com/office/excel/2006/main">
          <x14:cfRule type="dataBar" id="{480B2ED8-62AB-4127-8C1D-8EBD8EAA1B92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AH51</xm:sqref>
        </x14:conditionalFormatting>
        <x14:conditionalFormatting xmlns:xm="http://schemas.microsoft.com/office/excel/2006/main">
          <x14:cfRule type="dataBar" id="{7EA0F0EC-2940-4356-9A84-E4E358A6B432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AH55</xm:sqref>
        </x14:conditionalFormatting>
        <x14:conditionalFormatting xmlns:xm="http://schemas.microsoft.com/office/excel/2006/main">
          <x14:cfRule type="dataBar" id="{EFDBFF1A-A307-4F68-877E-1D172A7C8048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AH63</xm:sqref>
        </x14:conditionalFormatting>
        <x14:conditionalFormatting xmlns:xm="http://schemas.microsoft.com/office/excel/2006/main">
          <x14:cfRule type="dataBar" id="{D20526C9-FDEB-43D0-BB4A-E27CD31FB1E4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AH71</xm:sqref>
        </x14:conditionalFormatting>
        <x14:conditionalFormatting xmlns:xm="http://schemas.microsoft.com/office/excel/2006/main">
          <x14:cfRule type="dataBar" id="{E088E68C-AE00-4CA7-BA27-06EC0CB7283F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AH19</xm:sqref>
        </x14:conditionalFormatting>
        <x14:conditionalFormatting xmlns:xm="http://schemas.microsoft.com/office/excel/2006/main">
          <x14:cfRule type="dataBar" id="{37BE2CE8-578E-41F8-8F57-08BB1F621E57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AH23</xm:sqref>
        </x14:conditionalFormatting>
        <x14:conditionalFormatting xmlns:xm="http://schemas.microsoft.com/office/excel/2006/main">
          <x14:cfRule type="dataBar" id="{E5C1D422-2A45-4A2F-8E6D-7D1EED6108EA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AH17:AH18</xm:sqref>
        </x14:conditionalFormatting>
        <x14:conditionalFormatting xmlns:xm="http://schemas.microsoft.com/office/excel/2006/main">
          <x14:cfRule type="dataBar" id="{B98DA973-BD69-4C66-BCBF-38F5FE998DFE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AH21:AH22</xm:sqref>
        </x14:conditionalFormatting>
        <x14:conditionalFormatting xmlns:xm="http://schemas.microsoft.com/office/excel/2006/main">
          <x14:cfRule type="dataBar" id="{1EE21B50-5F79-4584-AFF8-AB07523926A8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AH25:AH26</xm:sqref>
        </x14:conditionalFormatting>
        <x14:conditionalFormatting xmlns:xm="http://schemas.microsoft.com/office/excel/2006/main">
          <x14:cfRule type="dataBar" id="{4F7B36C5-8CF1-4F41-8C86-2AEFA6C17A7B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AH29:AH30</xm:sqref>
        </x14:conditionalFormatting>
        <x14:conditionalFormatting xmlns:xm="http://schemas.microsoft.com/office/excel/2006/main">
          <x14:cfRule type="dataBar" id="{68BA539A-09E7-407B-B6D2-FD69A961FBBC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AH33:AH34</xm:sqref>
        </x14:conditionalFormatting>
        <x14:conditionalFormatting xmlns:xm="http://schemas.microsoft.com/office/excel/2006/main">
          <x14:cfRule type="dataBar" id="{CA2B5961-29ED-4928-B2EA-755E43CCCB41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AH37:AH38</xm:sqref>
        </x14:conditionalFormatting>
        <x14:conditionalFormatting xmlns:xm="http://schemas.microsoft.com/office/excel/2006/main">
          <x14:cfRule type="dataBar" id="{D40D4EF7-F3D2-4592-9337-3823FECCBA3A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AH41:AH42</xm:sqref>
        </x14:conditionalFormatting>
        <x14:conditionalFormatting xmlns:xm="http://schemas.microsoft.com/office/excel/2006/main">
          <x14:cfRule type="dataBar" id="{C0833EF0-8CB3-44CB-ADDF-7272FF14F6C6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AH45:AH46</xm:sqref>
        </x14:conditionalFormatting>
        <x14:conditionalFormatting xmlns:xm="http://schemas.microsoft.com/office/excel/2006/main">
          <x14:cfRule type="dataBar" id="{68B01886-A7FD-4087-819A-8CD33E3ADA00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AH49:AH50</xm:sqref>
        </x14:conditionalFormatting>
        <x14:conditionalFormatting xmlns:xm="http://schemas.microsoft.com/office/excel/2006/main">
          <x14:cfRule type="dataBar" id="{CA6967C7-8BB5-4040-B81B-A59EBC363086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AH53:AH54</xm:sqref>
        </x14:conditionalFormatting>
        <x14:conditionalFormatting xmlns:xm="http://schemas.microsoft.com/office/excel/2006/main">
          <x14:cfRule type="dataBar" id="{577B30BF-9D63-47A0-A129-54575227F864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AH61:AH62</xm:sqref>
        </x14:conditionalFormatting>
        <x14:conditionalFormatting xmlns:xm="http://schemas.microsoft.com/office/excel/2006/main">
          <x14:cfRule type="dataBar" id="{44DAB104-F5D7-4957-B406-2F5EF50C6092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AH69:AH70</xm:sqref>
        </x14:conditionalFormatting>
        <x14:conditionalFormatting xmlns:xm="http://schemas.microsoft.com/office/excel/2006/main">
          <x14:cfRule type="dataBar" id="{4F82DDE1-5E4D-4BF3-8810-D1D042912920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AH7</xm:sqref>
        </x14:conditionalFormatting>
        <x14:conditionalFormatting xmlns:xm="http://schemas.microsoft.com/office/excel/2006/main">
          <x14:cfRule type="dataBar" id="{CA6804DF-72E4-4923-9DC8-6331658F507D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AH67</xm:sqref>
        </x14:conditionalFormatting>
        <x14:conditionalFormatting xmlns:xm="http://schemas.microsoft.com/office/excel/2006/main">
          <x14:cfRule type="dataBar" id="{5E6F1CBB-4B83-4BFE-B77E-6449FFDC4B10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AH65:AH66</xm:sqref>
        </x14:conditionalFormatting>
        <x14:conditionalFormatting xmlns:xm="http://schemas.microsoft.com/office/excel/2006/main">
          <x14:cfRule type="dataBar" id="{B894547F-8FC6-4EEF-8857-DDD95941C793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AH75</xm:sqref>
        </x14:conditionalFormatting>
        <x14:conditionalFormatting xmlns:xm="http://schemas.microsoft.com/office/excel/2006/main">
          <x14:cfRule type="dataBar" id="{DBA96280-3D3C-4BF9-A83B-8A86E2F65231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AH73:AH74</xm:sqref>
        </x14:conditionalFormatting>
        <x14:conditionalFormatting xmlns:xm="http://schemas.microsoft.com/office/excel/2006/main">
          <x14:cfRule type="dataBar" id="{6D381200-BB63-4358-AF87-51A9A20FE506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AH83</xm:sqref>
        </x14:conditionalFormatting>
        <x14:conditionalFormatting xmlns:xm="http://schemas.microsoft.com/office/excel/2006/main">
          <x14:cfRule type="dataBar" id="{65D02C1E-F5BC-44B5-8995-0526C1F3B859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AH81:AH82</xm:sqref>
        </x14:conditionalFormatting>
        <x14:conditionalFormatting xmlns:xm="http://schemas.microsoft.com/office/excel/2006/main">
          <x14:cfRule type="dataBar" id="{F92054CC-EA0C-4E3F-BA9E-E29BABB5545F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AH87</xm:sqref>
        </x14:conditionalFormatting>
        <x14:conditionalFormatting xmlns:xm="http://schemas.microsoft.com/office/excel/2006/main">
          <x14:cfRule type="dataBar" id="{EB237DCD-1F9B-4266-BED7-AEF957BA30D7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AH85:AH86</xm:sqref>
        </x14:conditionalFormatting>
        <x14:conditionalFormatting xmlns:xm="http://schemas.microsoft.com/office/excel/2006/main">
          <x14:cfRule type="dataBar" id="{8A106AE6-3638-4C8E-BD25-756D407C211B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AH91</xm:sqref>
        </x14:conditionalFormatting>
        <x14:conditionalFormatting xmlns:xm="http://schemas.microsoft.com/office/excel/2006/main">
          <x14:cfRule type="dataBar" id="{87640213-529B-4F1C-9368-D8DC7F4E1DAC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AH89:AH90</xm:sqref>
        </x14:conditionalFormatting>
        <x14:conditionalFormatting xmlns:xm="http://schemas.microsoft.com/office/excel/2006/main">
          <x14:cfRule type="dataBar" id="{4DC6F847-D396-4577-AD39-C1E1023EA8D7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AH101:AH103 AH95 AH97:AH99</xm:sqref>
        </x14:conditionalFormatting>
        <x14:conditionalFormatting xmlns:xm="http://schemas.microsoft.com/office/excel/2006/main">
          <x14:cfRule type="dataBar" id="{45A1587C-2AF1-4CE2-A60F-AAD7AE89CB08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AH93:AH94</xm:sqref>
        </x14:conditionalFormatting>
        <x14:conditionalFormatting xmlns:xm="http://schemas.microsoft.com/office/excel/2006/main">
          <x14:cfRule type="dataBar" id="{E30365B5-9E69-476B-B04A-81A180A31A4E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AH111</xm:sqref>
        </x14:conditionalFormatting>
        <x14:conditionalFormatting xmlns:xm="http://schemas.microsoft.com/office/excel/2006/main">
          <x14:cfRule type="dataBar" id="{E97E9A76-79B1-420F-9276-FD1C63DFE128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AH109:AH110</xm:sqref>
        </x14:conditionalFormatting>
        <x14:conditionalFormatting xmlns:xm="http://schemas.microsoft.com/office/excel/2006/main">
          <x14:cfRule type="dataBar" id="{0DC05CB6-1E2C-4425-A307-F7100A8F00AF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AH123</xm:sqref>
        </x14:conditionalFormatting>
        <x14:conditionalFormatting xmlns:xm="http://schemas.microsoft.com/office/excel/2006/main">
          <x14:cfRule type="dataBar" id="{629E41AD-7561-4EDD-907B-E2A2892E8F53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AH121:AH122</xm:sqref>
        </x14:conditionalFormatting>
        <x14:conditionalFormatting xmlns:xm="http://schemas.microsoft.com/office/excel/2006/main">
          <x14:cfRule type="dataBar" id="{0A3F60B8-C2DC-4053-ABB0-8F378ACB91B8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AH115</xm:sqref>
        </x14:conditionalFormatting>
        <x14:conditionalFormatting xmlns:xm="http://schemas.microsoft.com/office/excel/2006/main">
          <x14:cfRule type="dataBar" id="{0ED8EF98-DAEA-42C8-9864-9F53CA526582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AH113:AH114</xm:sqref>
        </x14:conditionalFormatting>
        <x14:conditionalFormatting xmlns:xm="http://schemas.microsoft.com/office/excel/2006/main">
          <x14:cfRule type="dataBar" id="{52669DB3-C9E6-4CEA-8D78-5CE15ABD62D2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AH15</xm:sqref>
        </x14:conditionalFormatting>
        <x14:conditionalFormatting xmlns:xm="http://schemas.microsoft.com/office/excel/2006/main">
          <x14:cfRule type="dataBar" id="{DDF5CFFB-FEE4-499E-866C-9D80DF5B179D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AH13:AH14</xm:sqref>
        </x14:conditionalFormatting>
        <x14:conditionalFormatting xmlns:xm="http://schemas.microsoft.com/office/excel/2006/main">
          <x14:cfRule type="dataBar" id="{12743AE5-B82F-46A3-8A34-C8E0F4DFCF7D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AH119</xm:sqref>
        </x14:conditionalFormatting>
        <x14:conditionalFormatting xmlns:xm="http://schemas.microsoft.com/office/excel/2006/main">
          <x14:cfRule type="dataBar" id="{6DDF0F59-6167-4842-ADBE-88FE98113A6D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AH117:AH118</xm:sqref>
        </x14:conditionalFormatting>
        <x14:conditionalFormatting xmlns:xm="http://schemas.microsoft.com/office/excel/2006/main">
          <x14:cfRule type="dataBar" id="{A88B77A2-0062-42B3-9B0A-A608ADCDDECC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AH107</xm:sqref>
        </x14:conditionalFormatting>
        <x14:conditionalFormatting xmlns:xm="http://schemas.microsoft.com/office/excel/2006/main">
          <x14:cfRule type="dataBar" id="{EFB988CD-1A81-4AF2-BAA2-797608BA2962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AH105:AH106</xm:sqref>
        </x14:conditionalFormatting>
        <x14:conditionalFormatting xmlns:xm="http://schemas.microsoft.com/office/excel/2006/main">
          <x14:cfRule type="dataBar" id="{E4EE08AE-1DD7-4259-9DE8-EED666F47B69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AH59</xm:sqref>
        </x14:conditionalFormatting>
        <x14:conditionalFormatting xmlns:xm="http://schemas.microsoft.com/office/excel/2006/main">
          <x14:cfRule type="dataBar" id="{DACBEADB-071E-4BD8-A4E9-DD3A1CBD2D71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AH57:AH58</xm:sqref>
        </x14:conditionalFormatting>
        <x14:conditionalFormatting xmlns:xm="http://schemas.microsoft.com/office/excel/2006/main">
          <x14:cfRule type="dataBar" id="{392CE6CE-CB38-4ECF-9DD5-91B54AA024B1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AH79</xm:sqref>
        </x14:conditionalFormatting>
        <x14:conditionalFormatting xmlns:xm="http://schemas.microsoft.com/office/excel/2006/main">
          <x14:cfRule type="dataBar" id="{E7DB5777-780B-47DF-8686-A4751EB9F277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AH77:AH78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134</vt:i4>
      </vt:variant>
    </vt:vector>
  </HeadingPairs>
  <TitlesOfParts>
    <vt:vector size="146" baseType="lpstr">
      <vt:lpstr>Juin</vt:lpstr>
      <vt:lpstr>Juillet</vt:lpstr>
      <vt:lpstr>Août</vt:lpstr>
      <vt:lpstr>Septembre</vt:lpstr>
      <vt:lpstr>Octobre</vt:lpstr>
      <vt:lpstr>Novembre</vt:lpstr>
      <vt:lpstr>Décembre</vt:lpstr>
      <vt:lpstr>Janvier</vt:lpstr>
      <vt:lpstr>Février</vt:lpstr>
      <vt:lpstr>Mars</vt:lpstr>
      <vt:lpstr>Avril</vt:lpstr>
      <vt:lpstr>Mai</vt:lpstr>
      <vt:lpstr>AnnéeCalendrier</vt:lpstr>
      <vt:lpstr>Août!CalendrierAnnée</vt:lpstr>
      <vt:lpstr>Avril!CalendrierAnnée</vt:lpstr>
      <vt:lpstr>Décembre!CalendrierAnnée</vt:lpstr>
      <vt:lpstr>Février!CalendrierAnnée</vt:lpstr>
      <vt:lpstr>Juillet!CalendrierAnnée</vt:lpstr>
      <vt:lpstr>Juin!CalendrierAnnée</vt:lpstr>
      <vt:lpstr>Mai!CalendrierAnnée</vt:lpstr>
      <vt:lpstr>Mars!CalendrierAnnée</vt:lpstr>
      <vt:lpstr>Novembre!CalendrierAnnée</vt:lpstr>
      <vt:lpstr>Octobre!CalendrierAnnée</vt:lpstr>
      <vt:lpstr>Septembre!CalendrierAnnée</vt:lpstr>
      <vt:lpstr>Août!CléCongés</vt:lpstr>
      <vt:lpstr>Avril!CléCongés</vt:lpstr>
      <vt:lpstr>Décembre!CléCongés</vt:lpstr>
      <vt:lpstr>Février!CléCongés</vt:lpstr>
      <vt:lpstr>Juillet!CléCongés</vt:lpstr>
      <vt:lpstr>Juin!CléCongés</vt:lpstr>
      <vt:lpstr>Mai!CléCongés</vt:lpstr>
      <vt:lpstr>Mars!CléCongés</vt:lpstr>
      <vt:lpstr>Novembre!CléCongés</vt:lpstr>
      <vt:lpstr>Octobre!CléCongés</vt:lpstr>
      <vt:lpstr>Septembre!CléCongés</vt:lpstr>
      <vt:lpstr>Août!CléMaladie</vt:lpstr>
      <vt:lpstr>Avril!CléMaladie</vt:lpstr>
      <vt:lpstr>Décembre!CléMaladie</vt:lpstr>
      <vt:lpstr>Février!CléMaladie</vt:lpstr>
      <vt:lpstr>Juillet!CléMaladie</vt:lpstr>
      <vt:lpstr>Juin!CléMaladie</vt:lpstr>
      <vt:lpstr>Mai!CléMaladie</vt:lpstr>
      <vt:lpstr>Mars!CléMaladie</vt:lpstr>
      <vt:lpstr>Novembre!CléMaladie</vt:lpstr>
      <vt:lpstr>Octobre!CléMaladie</vt:lpstr>
      <vt:lpstr>Septembre!CléMaladie</vt:lpstr>
      <vt:lpstr>Août!CléPersonnalisée1</vt:lpstr>
      <vt:lpstr>Avril!CléPersonnalisée1</vt:lpstr>
      <vt:lpstr>Décembre!CléPersonnalisée1</vt:lpstr>
      <vt:lpstr>Février!CléPersonnalisée1</vt:lpstr>
      <vt:lpstr>Juillet!CléPersonnalisée1</vt:lpstr>
      <vt:lpstr>Juin!CléPersonnalisée1</vt:lpstr>
      <vt:lpstr>Mai!CléPersonnalisée1</vt:lpstr>
      <vt:lpstr>Mars!CléPersonnalisée1</vt:lpstr>
      <vt:lpstr>Novembre!CléPersonnalisée1</vt:lpstr>
      <vt:lpstr>Octobre!CléPersonnalisée1</vt:lpstr>
      <vt:lpstr>Septembre!CléPersonnalisée1</vt:lpstr>
      <vt:lpstr>Août!CléPersonnalisée2</vt:lpstr>
      <vt:lpstr>Avril!CléPersonnalisée2</vt:lpstr>
      <vt:lpstr>Décembre!CléPersonnalisée2</vt:lpstr>
      <vt:lpstr>Février!CléPersonnalisée2</vt:lpstr>
      <vt:lpstr>Juillet!CléPersonnalisée2</vt:lpstr>
      <vt:lpstr>Juin!CléPersonnalisée2</vt:lpstr>
      <vt:lpstr>Mai!CléPersonnalisée2</vt:lpstr>
      <vt:lpstr>Mars!CléPersonnalisée2</vt:lpstr>
      <vt:lpstr>Novembre!CléPersonnalisée2</vt:lpstr>
      <vt:lpstr>Octobre!CléPersonnalisée2</vt:lpstr>
      <vt:lpstr>Septembre!CléPersonnalisée2</vt:lpstr>
      <vt:lpstr>Août!CléPersonnelle</vt:lpstr>
      <vt:lpstr>Avril!CléPersonnelle</vt:lpstr>
      <vt:lpstr>Décembre!CléPersonnelle</vt:lpstr>
      <vt:lpstr>Février!CléPersonnelle</vt:lpstr>
      <vt:lpstr>Juillet!CléPersonnelle</vt:lpstr>
      <vt:lpstr>Juin!CléPersonnelle</vt:lpstr>
      <vt:lpstr>Mai!CléPersonnelle</vt:lpstr>
      <vt:lpstr>Mars!CléPersonnelle</vt:lpstr>
      <vt:lpstr>Novembre!CléPersonnelle</vt:lpstr>
      <vt:lpstr>Octobre!CléPersonnelle</vt:lpstr>
      <vt:lpstr>Septembre!CléPersonnelle</vt:lpstr>
      <vt:lpstr>Août!ÉtiquetteCléCongés</vt:lpstr>
      <vt:lpstr>Avril!ÉtiquetteCléCongés</vt:lpstr>
      <vt:lpstr>Décembre!ÉtiquetteCléCongés</vt:lpstr>
      <vt:lpstr>Février!ÉtiquetteCléCongés</vt:lpstr>
      <vt:lpstr>Juillet!ÉtiquetteCléCongés</vt:lpstr>
      <vt:lpstr>Juin!ÉtiquetteCléCongés</vt:lpstr>
      <vt:lpstr>Mai!ÉtiquetteCléCongés</vt:lpstr>
      <vt:lpstr>Mars!ÉtiquetteCléCongés</vt:lpstr>
      <vt:lpstr>Novembre!ÉtiquetteCléCongés</vt:lpstr>
      <vt:lpstr>Octobre!ÉtiquetteCléCongés</vt:lpstr>
      <vt:lpstr>Septembre!ÉtiquetteCléCongés</vt:lpstr>
      <vt:lpstr>Août!ÉtiquetteCléMaladie</vt:lpstr>
      <vt:lpstr>Avril!ÉtiquetteCléMaladie</vt:lpstr>
      <vt:lpstr>Décembre!ÉtiquetteCléMaladie</vt:lpstr>
      <vt:lpstr>Février!ÉtiquetteCléMaladie</vt:lpstr>
      <vt:lpstr>Juillet!ÉtiquetteCléMaladie</vt:lpstr>
      <vt:lpstr>Juin!ÉtiquetteCléMaladie</vt:lpstr>
      <vt:lpstr>Mai!ÉtiquetteCléMaladie</vt:lpstr>
      <vt:lpstr>Mars!ÉtiquetteCléMaladie</vt:lpstr>
      <vt:lpstr>Novembre!ÉtiquetteCléMaladie</vt:lpstr>
      <vt:lpstr>Octobre!ÉtiquetteCléMaladie</vt:lpstr>
      <vt:lpstr>Septembre!ÉtiquetteCléMaladie</vt:lpstr>
      <vt:lpstr>Août!ÉtiquetteCléPersonnalisée1</vt:lpstr>
      <vt:lpstr>Avril!ÉtiquetteCléPersonnalisée1</vt:lpstr>
      <vt:lpstr>Décembre!ÉtiquetteCléPersonnalisée1</vt:lpstr>
      <vt:lpstr>Février!ÉtiquetteCléPersonnalisée1</vt:lpstr>
      <vt:lpstr>Juillet!ÉtiquetteCléPersonnalisée1</vt:lpstr>
      <vt:lpstr>Juin!ÉtiquetteCléPersonnalisée1</vt:lpstr>
      <vt:lpstr>Mai!ÉtiquetteCléPersonnalisée1</vt:lpstr>
      <vt:lpstr>Mars!ÉtiquetteCléPersonnalisée1</vt:lpstr>
      <vt:lpstr>Novembre!ÉtiquetteCléPersonnalisée1</vt:lpstr>
      <vt:lpstr>Octobre!ÉtiquetteCléPersonnalisée1</vt:lpstr>
      <vt:lpstr>Septembre!ÉtiquetteCléPersonnalisée1</vt:lpstr>
      <vt:lpstr>Août!ÉtiquetteCléPersonnalisée2</vt:lpstr>
      <vt:lpstr>Avril!ÉtiquetteCléPersonnalisée2</vt:lpstr>
      <vt:lpstr>Décembre!ÉtiquetteCléPersonnalisée2</vt:lpstr>
      <vt:lpstr>Février!ÉtiquetteCléPersonnalisée2</vt:lpstr>
      <vt:lpstr>Juillet!ÉtiquetteCléPersonnalisée2</vt:lpstr>
      <vt:lpstr>Juin!ÉtiquetteCléPersonnalisée2</vt:lpstr>
      <vt:lpstr>Mai!ÉtiquetteCléPersonnalisée2</vt:lpstr>
      <vt:lpstr>Mars!ÉtiquetteCléPersonnalisée2</vt:lpstr>
      <vt:lpstr>Novembre!ÉtiquetteCléPersonnalisée2</vt:lpstr>
      <vt:lpstr>Octobre!ÉtiquetteCléPersonnalisée2</vt:lpstr>
      <vt:lpstr>Septembre!ÉtiquetteCléPersonnalisée2</vt:lpstr>
      <vt:lpstr>Août!ÉtiquetteCléPersonnelle</vt:lpstr>
      <vt:lpstr>Avril!ÉtiquetteCléPersonnelle</vt:lpstr>
      <vt:lpstr>Décembre!ÉtiquetteCléPersonnelle</vt:lpstr>
      <vt:lpstr>Février!ÉtiquetteCléPersonnelle</vt:lpstr>
      <vt:lpstr>Juillet!ÉtiquetteCléPersonnelle</vt:lpstr>
      <vt:lpstr>Juin!ÉtiquetteCléPersonnelle</vt:lpstr>
      <vt:lpstr>Mai!ÉtiquetteCléPersonnelle</vt:lpstr>
      <vt:lpstr>Mars!ÉtiquetteCléPersonnelle</vt:lpstr>
      <vt:lpstr>Novembre!ÉtiquetteCléPersonnelle</vt:lpstr>
      <vt:lpstr>Octobre!ÉtiquetteCléPersonnelle</vt:lpstr>
      <vt:lpstr>Septembre!ÉtiquetteCléPersonnelle</vt:lpstr>
      <vt:lpstr>Août!NomMois</vt:lpstr>
      <vt:lpstr>Avril!NomMois</vt:lpstr>
      <vt:lpstr>Décembre!NomMois</vt:lpstr>
      <vt:lpstr>Février!NomMois</vt:lpstr>
      <vt:lpstr>Janvier!NomMois</vt:lpstr>
      <vt:lpstr>Juillet!NomMois</vt:lpstr>
      <vt:lpstr>Juin!NomMois</vt:lpstr>
      <vt:lpstr>Mai!NomMois</vt:lpstr>
      <vt:lpstr>Mars!NomMois</vt:lpstr>
      <vt:lpstr>Novembre!NomMois</vt:lpstr>
      <vt:lpstr>Octobre!NomMois</vt:lpstr>
      <vt:lpstr>Septembre!NomMois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FredericMorana</dc:creator>
  <cp:lastModifiedBy>FredericMorana</cp:lastModifiedBy>
  <dcterms:created xsi:type="dcterms:W3CDTF">2018-01-11T09:38:31Z</dcterms:created>
  <dcterms:modified xsi:type="dcterms:W3CDTF">2018-01-11T09:45:10Z</dcterms:modified>
</cp:coreProperties>
</file>