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Fabien travail\Fichiers\Essai 06\"/>
    </mc:Choice>
  </mc:AlternateContent>
  <xr:revisionPtr revIDLastSave="0" documentId="13_ncr:1_{072EEE6D-EFC2-4DE0-81E1-52E825F9DF55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STAT" sheetId="4" r:id="rId1"/>
    <sheet name="Class" sheetId="6" state="hidden" r:id="rId2"/>
  </sheets>
  <definedNames>
    <definedName name="club">#REF!</definedName>
    <definedName name="Clubs">#REF!</definedName>
    <definedName name="Nom_Rech">#REF!</definedName>
    <definedName name="Noms_Club">#REF!</definedName>
    <definedName name="Noms_Prenoms">#REF!</definedName>
    <definedName name="NumLic_Rech">#REF!</definedName>
    <definedName name="_xlnm.Print_Area" localSheetId="0">STAT!$A$1:$M$35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0" i="4" l="1"/>
  <c r="D54" i="4"/>
  <c r="D19" i="4"/>
  <c r="D35" i="4" l="1"/>
  <c r="D17" i="4"/>
  <c r="D16" i="4"/>
  <c r="D15" i="4"/>
  <c r="D14" i="4"/>
  <c r="D13" i="4"/>
  <c r="D12" i="4"/>
  <c r="D11" i="4"/>
  <c r="D10" i="4"/>
  <c r="D9" i="4"/>
  <c r="H4" i="4" l="1"/>
  <c r="H49" i="4"/>
  <c r="H60" i="4"/>
  <c r="H31" i="4"/>
  <c r="D18" i="4"/>
  <c r="D60" i="4"/>
  <c r="H5" i="4"/>
  <c r="H41" i="4"/>
  <c r="H15" i="4"/>
  <c r="D46" i="4"/>
  <c r="D8" i="4"/>
  <c r="D7" i="4"/>
  <c r="D6" i="4"/>
  <c r="D5" i="4" l="1"/>
  <c r="D4" i="4"/>
  <c r="H36" i="4"/>
  <c r="H37" i="4"/>
  <c r="H38" i="4"/>
  <c r="H39" i="4"/>
  <c r="H40" i="4"/>
  <c r="H42" i="4"/>
  <c r="H43" i="4"/>
  <c r="H44" i="4"/>
  <c r="H45" i="4"/>
  <c r="H46" i="4"/>
  <c r="H47" i="4"/>
  <c r="H48" i="4"/>
  <c r="H50" i="4"/>
  <c r="H51" i="4"/>
  <c r="H52" i="4"/>
  <c r="H53" i="4"/>
  <c r="H54" i="4"/>
  <c r="H55" i="4"/>
  <c r="H56" i="4"/>
  <c r="H57" i="4"/>
  <c r="H58" i="4"/>
  <c r="H59" i="4"/>
  <c r="D37" i="4"/>
  <c r="D38" i="4"/>
  <c r="D39" i="4"/>
  <c r="D40" i="4"/>
  <c r="D41" i="4"/>
  <c r="D42" i="4"/>
  <c r="D43" i="4"/>
  <c r="D44" i="4"/>
  <c r="D45" i="4"/>
  <c r="D47" i="4"/>
  <c r="D48" i="4"/>
  <c r="D49" i="4"/>
  <c r="D50" i="4"/>
  <c r="D51" i="4"/>
  <c r="D52" i="4"/>
  <c r="D53" i="4"/>
  <c r="D55" i="4"/>
  <c r="D56" i="4"/>
  <c r="D57" i="4"/>
  <c r="D58" i="4"/>
  <c r="D59" i="4"/>
  <c r="O4" i="4"/>
  <c r="H35" i="4" l="1"/>
  <c r="D36" i="4"/>
  <c r="D34" i="4" l="1"/>
  <c r="H34" i="4"/>
  <c r="O9" i="4" l="1"/>
  <c r="O19" i="4" l="1"/>
  <c r="O14" i="4"/>
  <c r="L7" i="4"/>
  <c r="H16" i="6" l="1"/>
  <c r="H15" i="6"/>
  <c r="H14" i="6"/>
  <c r="H13" i="6"/>
  <c r="H12" i="6"/>
  <c r="H11" i="6"/>
  <c r="H10" i="6"/>
  <c r="H9" i="6"/>
  <c r="J8" i="6"/>
  <c r="J9" i="6" s="1"/>
  <c r="H8" i="6"/>
  <c r="H7" i="6"/>
  <c r="H6" i="6"/>
  <c r="H5" i="6"/>
  <c r="H4" i="6"/>
  <c r="H3" i="6"/>
  <c r="J2" i="6"/>
  <c r="J3" i="6" s="1"/>
  <c r="J4" i="6" s="1"/>
  <c r="J5" i="6" s="1"/>
  <c r="J6" i="6" s="1"/>
  <c r="J7" i="6" s="1"/>
  <c r="G13" i="6" l="1"/>
  <c r="G9" i="6"/>
  <c r="G4" i="6"/>
  <c r="G14" i="6"/>
  <c r="G10" i="6"/>
  <c r="G6" i="6"/>
  <c r="G15" i="6"/>
  <c r="G11" i="6"/>
  <c r="G7" i="6"/>
  <c r="G3" i="6"/>
  <c r="G12" i="6"/>
  <c r="J10" i="6"/>
  <c r="J11" i="6" s="1"/>
  <c r="J12" i="6" s="1"/>
  <c r="J13" i="6" s="1"/>
  <c r="J14" i="6" s="1"/>
  <c r="J15" i="6" s="1"/>
  <c r="J16" i="6" s="1"/>
  <c r="J17" i="6" s="1"/>
  <c r="G16" i="6" l="1"/>
  <c r="G8" i="6"/>
  <c r="G5" i="6"/>
  <c r="D27" i="4" l="1"/>
  <c r="L25" i="4" l="1"/>
  <c r="L13" i="4"/>
  <c r="L28" i="4"/>
  <c r="L22" i="4"/>
  <c r="L16" i="4"/>
  <c r="L31" i="4"/>
  <c r="L19" i="4"/>
  <c r="L10" i="4" l="1"/>
  <c r="H25" i="4" l="1"/>
  <c r="H33" i="4"/>
  <c r="H32" i="4"/>
  <c r="H30" i="4"/>
  <c r="H29" i="4"/>
  <c r="H28" i="4"/>
  <c r="H27" i="4"/>
  <c r="H26" i="4"/>
  <c r="H24" i="4"/>
  <c r="H23" i="4"/>
  <c r="H22" i="4"/>
  <c r="H21" i="4"/>
  <c r="H20" i="4"/>
  <c r="H19" i="4"/>
  <c r="H18" i="4"/>
  <c r="H17" i="4"/>
  <c r="H16" i="4"/>
  <c r="H14" i="4"/>
  <c r="H13" i="4"/>
  <c r="H12" i="4"/>
  <c r="H11" i="4"/>
  <c r="H10" i="4"/>
  <c r="H9" i="4"/>
  <c r="H8" i="4"/>
  <c r="H7" i="4"/>
  <c r="H6" i="4"/>
  <c r="D33" i="4"/>
  <c r="D32" i="4"/>
  <c r="D31" i="4"/>
  <c r="D30" i="4"/>
  <c r="D29" i="4"/>
  <c r="D28" i="4"/>
  <c r="D26" i="4"/>
  <c r="D25" i="4"/>
  <c r="D24" i="4"/>
  <c r="D23" i="4"/>
  <c r="D22" i="4"/>
  <c r="D21" i="4"/>
  <c r="J3" i="4" l="1"/>
  <c r="J4" i="4"/>
</calcChain>
</file>

<file path=xl/sharedStrings.xml><?xml version="1.0" encoding="utf-8"?>
<sst xmlns="http://schemas.openxmlformats.org/spreadsheetml/2006/main" count="166" uniqueCount="160">
  <si>
    <t>NOMBRE DE JOUEURS</t>
  </si>
  <si>
    <t>FEMMES</t>
  </si>
  <si>
    <t>HOMMES</t>
  </si>
  <si>
    <t>SENIORS</t>
  </si>
  <si>
    <t>VETERANS</t>
  </si>
  <si>
    <t>JUNIORS</t>
  </si>
  <si>
    <t>BENJAMINS</t>
  </si>
  <si>
    <t>CADETS</t>
  </si>
  <si>
    <t>MINIMES</t>
  </si>
  <si>
    <t>PROMOTION</t>
  </si>
  <si>
    <t>HONNEUR</t>
  </si>
  <si>
    <t>ELITE</t>
  </si>
  <si>
    <t>POUSSINS</t>
  </si>
  <si>
    <t>rang</t>
  </si>
  <si>
    <t>nom</t>
  </si>
  <si>
    <t>prénom</t>
  </si>
  <si>
    <t>date de naissance</t>
  </si>
  <si>
    <t>licence complète</t>
  </si>
  <si>
    <t>participation surinam</t>
  </si>
  <si>
    <t>catégories</t>
  </si>
  <si>
    <t>BENJAMIN 1</t>
  </si>
  <si>
    <t>tartampion</t>
  </si>
  <si>
    <t>yoyo</t>
  </si>
  <si>
    <t>BENJAMIN 2</t>
  </si>
  <si>
    <t>basile</t>
  </si>
  <si>
    <t>MINIMES 1</t>
  </si>
  <si>
    <t>josée</t>
  </si>
  <si>
    <t>MINIMES 2</t>
  </si>
  <si>
    <t>CADETS 1</t>
  </si>
  <si>
    <t>CADETS 2</t>
  </si>
  <si>
    <t>JUNIORS 1</t>
  </si>
  <si>
    <t>JUNIORS 2</t>
  </si>
  <si>
    <t>JUNIORS 3</t>
  </si>
  <si>
    <t>VETERANS 1</t>
  </si>
  <si>
    <t>VETERANS 2</t>
  </si>
  <si>
    <t>VETERANS 3</t>
  </si>
  <si>
    <t>VETERANS 4</t>
  </si>
  <si>
    <t>VETERANS 5</t>
  </si>
  <si>
    <t>Date Naissance</t>
  </si>
  <si>
    <t>Catégorie</t>
  </si>
  <si>
    <t>saison 2012/2013 minimes cadets juniors CSVB Matoury</t>
  </si>
  <si>
    <t>age au 1er janvier</t>
  </si>
  <si>
    <t>En gras rouge les formules qui diffèent dans la colonne</t>
  </si>
  <si>
    <t>CLUBS</t>
  </si>
  <si>
    <t>TOTAL LICENCIES</t>
  </si>
  <si>
    <t>CLUBS:</t>
  </si>
  <si>
    <t>A S T A M</t>
  </si>
  <si>
    <t>BOULE SOSPELLOISE</t>
  </si>
  <si>
    <t>GRASSE PETANQUE</t>
  </si>
  <si>
    <t>BOULE PUGETOISE</t>
  </si>
  <si>
    <t>O C BAUS ROUX</t>
  </si>
  <si>
    <t>PETANQUE ANTIBOISE</t>
  </si>
  <si>
    <t>I P N N</t>
  </si>
  <si>
    <t>PETANQUE NAPOULOISE</t>
  </si>
  <si>
    <t>A S C MOUANS SARTOUX</t>
  </si>
  <si>
    <t>A.B. CAPITOULANE</t>
  </si>
  <si>
    <t>ESSOR  MADELEINE</t>
  </si>
  <si>
    <t>CANNES AERO SPORTS</t>
  </si>
  <si>
    <t>ABC SAINTE MARGUERITE</t>
  </si>
  <si>
    <t>BEACH CLUB</t>
  </si>
  <si>
    <t>NCA OMNISPORTS</t>
  </si>
  <si>
    <t>D U C  NICE</t>
  </si>
  <si>
    <t>E S MIRANDOLAISE</t>
  </si>
  <si>
    <t>C B MUNICIPAL PEGOMAS</t>
  </si>
  <si>
    <t>A B VALBONNE S A</t>
  </si>
  <si>
    <t>A O ESCARENOISE</t>
  </si>
  <si>
    <t>NICE METROPOLE PETANQUE</t>
  </si>
  <si>
    <t>EZE  PETANQUE</t>
  </si>
  <si>
    <t>MONTET BORNALA CLUB</t>
  </si>
  <si>
    <t>C.B. MANDELIEU</t>
  </si>
  <si>
    <t>BOUCHES DU LOUP</t>
  </si>
  <si>
    <t>GATTIERES PETANQUE</t>
  </si>
  <si>
    <t>E S O M</t>
  </si>
  <si>
    <t>AB SOPHIA-ANTIPOLIS</t>
  </si>
  <si>
    <t>A.B. CANTARON</t>
  </si>
  <si>
    <t>BAS - GOLFE JUAN</t>
  </si>
  <si>
    <t>USCCA LOISIRS</t>
  </si>
  <si>
    <t>SAINT JEANNET PETANQUE</t>
  </si>
  <si>
    <t>A S A C R M</t>
  </si>
  <si>
    <t>A B BLAUSASC</t>
  </si>
  <si>
    <t>A.P.C.V.F. NICE</t>
  </si>
  <si>
    <t>C B MONTALEIGNOIS</t>
  </si>
  <si>
    <t>TINEE PETANQUE</t>
  </si>
  <si>
    <t>C B ROCHEVILLOIS</t>
  </si>
  <si>
    <t>A S FALICON</t>
  </si>
  <si>
    <t>CLOS PETANQUE PARC IMPERIAL</t>
  </si>
  <si>
    <t>COLOMARS O C</t>
  </si>
  <si>
    <t>C B ROQUEBILLIERE</t>
  </si>
  <si>
    <t>A B  PLANS DE CARROS</t>
  </si>
  <si>
    <t>FANNY CLUB - VALLAURIS</t>
  </si>
  <si>
    <t>E S V  L</t>
  </si>
  <si>
    <t>A B SQUARE KIRCHNER</t>
  </si>
  <si>
    <t>MENTON PETANQUE</t>
  </si>
  <si>
    <t>AB COMMERCANTS CESSOLE</t>
  </si>
  <si>
    <t>BOULE DU CHATEAU</t>
  </si>
  <si>
    <t>GAZELEC SPORTS C A</t>
  </si>
  <si>
    <t>A B RIOU</t>
  </si>
  <si>
    <t>E S S N N</t>
  </si>
  <si>
    <t>EVENTS 06</t>
  </si>
  <si>
    <t>A B SPERACEDOISE</t>
  </si>
  <si>
    <t>Les Aiglons Artisans de la Pétanque Niçoise A.A.P.N.</t>
  </si>
  <si>
    <t>U B CONTOISE</t>
  </si>
  <si>
    <t>MINI BOULE</t>
  </si>
  <si>
    <t>C B ST JEANNOIS</t>
  </si>
  <si>
    <t>C B  DE L ABADIE</t>
  </si>
  <si>
    <t>GAIS PETANQUIERS</t>
  </si>
  <si>
    <t>P P A  ANTIBES</t>
  </si>
  <si>
    <t>VILLEFRANCHE PETANQUE</t>
  </si>
  <si>
    <t>A B V B NICE</t>
  </si>
  <si>
    <t>BOULE BARONNAISE</t>
  </si>
  <si>
    <t>U S CAGNES</t>
  </si>
  <si>
    <t>BOULE D ARGENT</t>
  </si>
  <si>
    <t>B A BIOTOISE</t>
  </si>
  <si>
    <t>BOULE MOUGINOISE</t>
  </si>
  <si>
    <t>A B CARRAS AEROPORT</t>
  </si>
  <si>
    <t>TRINITE SPORTS</t>
  </si>
  <si>
    <t>ROQUEBRUNE C M P</t>
  </si>
  <si>
    <t>B  RENAISSANTE</t>
  </si>
  <si>
    <t>PET BERLUGANE</t>
  </si>
  <si>
    <t>CLUB BOULISTE DE MENTON</t>
  </si>
  <si>
    <t>A B ST CEZAIRE</t>
  </si>
  <si>
    <t>GARAVAN PETANQUE</t>
  </si>
  <si>
    <t>S O E</t>
  </si>
  <si>
    <t>A S   SAPEURS POMPIERS</t>
  </si>
  <si>
    <t>ENT  SOCIETES NICOISES</t>
  </si>
  <si>
    <t>BOULE JEAN JAURES</t>
  </si>
  <si>
    <t>A S TURBIASQUE</t>
  </si>
  <si>
    <t>JOYEUX PETANQUIERS</t>
  </si>
  <si>
    <t>A S C A T</t>
  </si>
  <si>
    <t>A B THIERS CLUVIER</t>
  </si>
  <si>
    <t>AB de MICHEL ANGE</t>
  </si>
  <si>
    <t>A.S. DU RAY</t>
  </si>
  <si>
    <t>ST JOSEPH  GRASSE</t>
  </si>
  <si>
    <t>C P S CASTAGNIERS</t>
  </si>
  <si>
    <t>GARDENIA CLUB NICOIS</t>
  </si>
  <si>
    <t>BOULE NEUVE CARROS</t>
  </si>
  <si>
    <t>C B DE LA VIEILLE VILLE</t>
  </si>
  <si>
    <t>LU PESCAIRES DE SAN ROCH</t>
  </si>
  <si>
    <t>LU AMIC DAU CASTEU</t>
  </si>
  <si>
    <t>C B BAR SUR LOUP</t>
  </si>
  <si>
    <t>C A S E   NICE</t>
  </si>
  <si>
    <t>U S A C A R</t>
  </si>
  <si>
    <t>C S TOURRETTAN</t>
  </si>
  <si>
    <t>C B XV CORPS</t>
  </si>
  <si>
    <t>A B ALLEES FORVILLE</t>
  </si>
  <si>
    <t>S P C O C</t>
  </si>
  <si>
    <t>AS PAULIANI</t>
  </si>
  <si>
    <t>PET CROIX  ROUGE</t>
  </si>
  <si>
    <t>E B BEAUSOLEIL</t>
  </si>
  <si>
    <t>AMICALE INTERCOMMUNALE</t>
  </si>
  <si>
    <t>VENCE PETANQUE</t>
  </si>
  <si>
    <t>SP COMMERCANTS RIQUIER</t>
  </si>
  <si>
    <t>U S ST ANDRE</t>
  </si>
  <si>
    <t>LOU BOUCIN DOU CASTEU</t>
  </si>
  <si>
    <t>UNION BOULISTE DU VIGNAL</t>
  </si>
  <si>
    <t>A.S. LE LIGOUBAN</t>
  </si>
  <si>
    <t>SECURITE SOCIALE</t>
  </si>
  <si>
    <t>BOULE FLORES</t>
  </si>
  <si>
    <t>S.C. MAGAGNOSC</t>
  </si>
  <si>
    <t>A.S. LA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</si>
</sst>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9" tint="0.79998168889431442"/>
        <bgColor theme="5" tint="0.59999389629810485"/>
      </patternFill>
    </fill>
    <fill>
      <patternFill patternType="solid">
        <fgColor theme="9" tint="0.79998168889431442"/>
        <bgColor theme="5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/>
    <xf numFmtId="0" fontId="3" fillId="14" borderId="10" xfId="0" applyFont="1" applyFill="1" applyBorder="1"/>
    <xf numFmtId="0" fontId="3" fillId="14" borderId="10" xfId="0" applyFont="1" applyFill="1" applyBorder="1" applyAlignment="1">
      <alignment horizontal="center"/>
    </xf>
    <xf numFmtId="0" fontId="3" fillId="14" borderId="1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10" fillId="15" borderId="0" xfId="0" applyNumberFormat="1" applyFont="1" applyFill="1"/>
    <xf numFmtId="0" fontId="0" fillId="15" borderId="12" xfId="0" applyFill="1" applyBorder="1"/>
    <xf numFmtId="0" fontId="0" fillId="15" borderId="13" xfId="0" applyFill="1" applyBorder="1"/>
    <xf numFmtId="14" fontId="0" fillId="15" borderId="0" xfId="0" applyNumberFormat="1" applyFill="1"/>
    <xf numFmtId="14" fontId="10" fillId="4" borderId="0" xfId="0" applyNumberFormat="1" applyFont="1" applyFill="1"/>
    <xf numFmtId="0" fontId="0" fillId="4" borderId="13" xfId="0" applyFill="1" applyBorder="1"/>
    <xf numFmtId="14" fontId="0" fillId="4" borderId="0" xfId="0" applyNumberFormat="1" applyFill="1"/>
    <xf numFmtId="0" fontId="0" fillId="4" borderId="14" xfId="0" applyFill="1" applyBorder="1"/>
    <xf numFmtId="0" fontId="9" fillId="0" borderId="0" xfId="0" applyFont="1"/>
    <xf numFmtId="0" fontId="1" fillId="5" borderId="0" xfId="0" applyFont="1" applyFill="1" applyAlignment="1">
      <alignment horizontal="center" vertical="center"/>
    </xf>
    <xf numFmtId="0" fontId="9" fillId="12" borderId="0" xfId="0" applyFont="1" applyFill="1" applyAlignment="1">
      <alignment horizontal="left" vertical="center"/>
    </xf>
    <xf numFmtId="0" fontId="9" fillId="11" borderId="0" xfId="0" applyFont="1" applyFill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5" fillId="0" borderId="8" xfId="0" applyFont="1" applyBorder="1"/>
    <xf numFmtId="0" fontId="0" fillId="0" borderId="9" xfId="0" applyBorder="1"/>
    <xf numFmtId="0" fontId="9" fillId="12" borderId="0" xfId="0" applyFont="1" applyFill="1"/>
    <xf numFmtId="0" fontId="9" fillId="2" borderId="0" xfId="0" applyFont="1" applyFill="1" applyAlignment="1">
      <alignment horizontal="left" vertical="center"/>
    </xf>
    <xf numFmtId="0" fontId="0" fillId="19" borderId="0" xfId="0" applyFill="1" applyAlignment="1">
      <alignment horizontal="left" vertical="center"/>
    </xf>
    <xf numFmtId="0" fontId="0" fillId="19" borderId="0" xfId="0" applyFill="1"/>
    <xf numFmtId="0" fontId="0" fillId="19" borderId="0" xfId="0" applyFill="1" applyAlignment="1">
      <alignment horizontal="center" vertical="center"/>
    </xf>
    <xf numFmtId="0" fontId="2" fillId="19" borderId="0" xfId="0" applyFont="1" applyFill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8" fillId="16" borderId="2" xfId="0" applyFont="1" applyFill="1" applyBorder="1" applyAlignment="1">
      <alignment horizontal="center" vertical="center"/>
    </xf>
    <xf numFmtId="0" fontId="8" fillId="16" borderId="3" xfId="0" applyFont="1" applyFill="1" applyBorder="1" applyAlignment="1">
      <alignment horizontal="center" vertical="center"/>
    </xf>
    <xf numFmtId="0" fontId="8" fillId="16" borderId="4" xfId="0" applyFont="1" applyFill="1" applyBorder="1" applyAlignment="1">
      <alignment horizontal="center" vertical="center"/>
    </xf>
    <xf numFmtId="0" fontId="8" fillId="16" borderId="5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6" fillId="18" borderId="2" xfId="0" applyFont="1" applyFill="1" applyBorder="1" applyAlignment="1">
      <alignment horizontal="center" vertical="center"/>
    </xf>
    <xf numFmtId="0" fontId="6" fillId="18" borderId="3" xfId="0" applyFont="1" applyFill="1" applyBorder="1" applyAlignment="1">
      <alignment horizontal="center" vertical="center"/>
    </xf>
    <xf numFmtId="0" fontId="6" fillId="18" borderId="4" xfId="0" applyFont="1" applyFill="1" applyBorder="1" applyAlignment="1">
      <alignment horizontal="center" vertical="center"/>
    </xf>
    <xf numFmtId="0" fontId="6" fillId="18" borderId="5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8" fillId="17" borderId="2" xfId="0" applyFont="1" applyFill="1" applyBorder="1" applyAlignment="1">
      <alignment horizontal="center" vertical="center"/>
    </xf>
    <xf numFmtId="0" fontId="8" fillId="17" borderId="3" xfId="0" applyFont="1" applyFill="1" applyBorder="1" applyAlignment="1">
      <alignment horizontal="center" vertical="center"/>
    </xf>
    <xf numFmtId="0" fontId="8" fillId="17" borderId="4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color rgb="FF002060"/>
      </font>
      <fill>
        <patternFill>
          <bgColor theme="8" tint="0.79998168889431442"/>
        </patternFill>
      </fill>
    </dxf>
    <dxf>
      <font>
        <b/>
        <i/>
        <color rgb="FFC00000"/>
      </font>
    </dxf>
    <dxf>
      <font>
        <b/>
        <i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296333</xdr:colOff>
      <xdr:row>21</xdr:row>
      <xdr:rowOff>63501</xdr:rowOff>
    </xdr:from>
    <xdr:to>
      <xdr:col>16</xdr:col>
      <xdr:colOff>114300</xdr:colOff>
      <xdr:row>23</xdr:row>
      <xdr:rowOff>98425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5155333" y="5185834"/>
          <a:ext cx="1733550" cy="447674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P60"/>
  <sheetViews>
    <sheetView tabSelected="1" zoomScale="90" zoomScaleNormal="90" workbookViewId="0">
      <selection activeCell="F8" sqref="F8"/>
    </sheetView>
  </sheetViews>
  <sheetFormatPr baseColWidth="10" defaultRowHeight="15" x14ac:dyDescent="0.25"/>
  <cols>
    <col min="1" max="1" width="3.28515625" customWidth="1"/>
    <col min="2" max="2" width="48.28515625" style="2" bestFit="1" customWidth="1"/>
    <col min="3" max="3" width="3.140625" customWidth="1"/>
    <col min="4" max="4" width="25.7109375" style="1" customWidth="1"/>
    <col min="5" max="5" width="3.42578125" customWidth="1"/>
    <col min="6" max="6" width="66.140625" style="2" customWidth="1"/>
    <col min="7" max="7" width="4.85546875" customWidth="1"/>
    <col min="8" max="8" width="25.7109375" style="1" customWidth="1"/>
    <col min="9" max="9" width="4.140625" customWidth="1"/>
    <col min="14" max="14" width="4.42578125" customWidth="1"/>
  </cols>
  <sheetData>
    <row r="1" spans="2:16" ht="15.75" thickBot="1" x14ac:dyDescent="0.3">
      <c r="B1" s="26"/>
      <c r="C1" s="27"/>
      <c r="D1" s="28"/>
      <c r="E1" s="27"/>
      <c r="F1" s="26"/>
      <c r="G1" s="27"/>
      <c r="H1" s="28"/>
    </row>
    <row r="2" spans="2:16" ht="30" customHeight="1" thickBot="1" x14ac:dyDescent="0.3">
      <c r="B2" s="29" t="s">
        <v>43</v>
      </c>
      <c r="C2" s="27"/>
      <c r="D2" s="30" t="s">
        <v>0</v>
      </c>
      <c r="E2" s="27"/>
      <c r="F2" s="29" t="s">
        <v>43</v>
      </c>
      <c r="G2" s="27"/>
      <c r="H2" s="30" t="s">
        <v>0</v>
      </c>
      <c r="J2" s="39" t="s">
        <v>44</v>
      </c>
      <c r="K2" s="40"/>
      <c r="L2" s="40"/>
      <c r="M2" s="41"/>
      <c r="O2" s="64" t="s">
        <v>45</v>
      </c>
      <c r="P2" s="65"/>
    </row>
    <row r="3" spans="2:16" ht="15.75" thickBot="1" x14ac:dyDescent="0.3">
      <c r="B3" s="26"/>
      <c r="C3" s="27"/>
      <c r="D3" s="28"/>
      <c r="E3" s="27"/>
      <c r="F3" s="26"/>
      <c r="G3" s="27"/>
      <c r="H3" s="28"/>
      <c r="J3" s="22" t="e">
        <f>SUM(D4:D33)</f>
        <v>#REF!</v>
      </c>
      <c r="K3" s="3"/>
      <c r="M3" s="23"/>
      <c r="O3" s="66"/>
      <c r="P3" s="67"/>
    </row>
    <row r="4" spans="2:16" ht="18" customHeight="1" x14ac:dyDescent="0.35">
      <c r="B4" s="20" t="s">
        <v>88</v>
      </c>
      <c r="C4" s="17"/>
      <c r="D4" s="18" t="e">
        <f>COUNTIF(#REF!,"A B  PLANS DE CARROS")</f>
        <v>#REF!</v>
      </c>
      <c r="E4" s="17"/>
      <c r="F4" s="20" t="s">
        <v>84</v>
      </c>
      <c r="G4" s="17"/>
      <c r="H4" s="18" t="e">
        <f>COUNTIF(#REF!,"A S FALICON")</f>
        <v>#REF!</v>
      </c>
      <c r="J4" s="42" t="e">
        <f>SUM(D4:D100,H4:H100)</f>
        <v>#REF!</v>
      </c>
      <c r="K4" s="43"/>
      <c r="L4" s="43"/>
      <c r="M4" s="44"/>
      <c r="O4" s="60">
        <f>COUNTA(#REF!)</f>
        <v>1</v>
      </c>
      <c r="P4" s="61"/>
    </row>
    <row r="5" spans="2:16" ht="18" customHeight="1" thickBot="1" x14ac:dyDescent="0.4">
      <c r="B5" s="19" t="s">
        <v>144</v>
      </c>
      <c r="C5" s="17"/>
      <c r="D5" s="18" t="e">
        <f>COUNTIF(#REF!,"A B ALLEES FORVILLE")</f>
        <v>#REF!</v>
      </c>
      <c r="E5" s="17"/>
      <c r="F5" s="19" t="s">
        <v>46</v>
      </c>
      <c r="G5" s="17"/>
      <c r="H5" s="18" t="e">
        <f>COUNTIF(#REF!,"A S T A M")</f>
        <v>#REF!</v>
      </c>
      <c r="J5" s="45"/>
      <c r="K5" s="46"/>
      <c r="L5" s="46"/>
      <c r="M5" s="47"/>
      <c r="O5" s="62"/>
      <c r="P5" s="63"/>
    </row>
    <row r="6" spans="2:16" ht="18" customHeight="1" thickBot="1" x14ac:dyDescent="0.4">
      <c r="B6" s="20" t="s">
        <v>79</v>
      </c>
      <c r="C6" s="17"/>
      <c r="D6" s="18" t="e">
        <f>COUNTIF(#REF!,"A B BLAUSASC")</f>
        <v>#REF!</v>
      </c>
      <c r="E6" s="17"/>
      <c r="F6" s="20" t="s">
        <v>126</v>
      </c>
      <c r="G6" s="17"/>
      <c r="H6" s="18" t="e">
        <f>COUNTIF(#REF!,"PC GERSTHEIM")</f>
        <v>#REF!</v>
      </c>
    </row>
    <row r="7" spans="2:16" ht="18" customHeight="1" x14ac:dyDescent="0.35">
      <c r="B7" s="19" t="s">
        <v>114</v>
      </c>
      <c r="C7" s="17"/>
      <c r="D7" s="18" t="e">
        <f>COUNTIF(#REF!,"A B CARRAS AEROPORT")</f>
        <v>#REF!</v>
      </c>
      <c r="E7" s="17"/>
      <c r="F7" s="19" t="s">
        <v>74</v>
      </c>
      <c r="G7" s="17"/>
      <c r="H7" s="18" t="e">
        <f>COUNTIF(#REF!,"PC INNENHEIM")</f>
        <v>#REF!</v>
      </c>
      <c r="J7" s="56" t="s">
        <v>1</v>
      </c>
      <c r="K7" s="57"/>
      <c r="L7" s="52" t="e">
        <f>COUNTIF(#REF!,"F")</f>
        <v>#REF!</v>
      </c>
      <c r="M7" s="53"/>
      <c r="O7" s="72" t="s">
        <v>9</v>
      </c>
      <c r="P7" s="73"/>
    </row>
    <row r="8" spans="2:16" ht="18" customHeight="1" thickBot="1" x14ac:dyDescent="0.4">
      <c r="B8" s="20" t="s">
        <v>96</v>
      </c>
      <c r="C8" s="17"/>
      <c r="D8" s="18" t="e">
        <f>COUNTIF(#REF!,"A B RIOU")</f>
        <v>#REF!</v>
      </c>
      <c r="E8" s="17"/>
      <c r="F8" s="20" t="s">
        <v>55</v>
      </c>
      <c r="G8" s="17"/>
      <c r="H8" s="18" t="e">
        <f>COUNTIF(#REF!,"PC KALTENHOUSE")</f>
        <v>#REF!</v>
      </c>
      <c r="J8" s="58"/>
      <c r="K8" s="59"/>
      <c r="L8" s="54"/>
      <c r="M8" s="55"/>
      <c r="O8" s="74"/>
      <c r="P8" s="75"/>
    </row>
    <row r="9" spans="2:16" ht="18" customHeight="1" thickBot="1" x14ac:dyDescent="0.4">
      <c r="B9" s="19" t="s">
        <v>99</v>
      </c>
      <c r="C9" s="17"/>
      <c r="D9" s="18" t="e">
        <f>COUNTIF(#REF!,"A B SPERACEDOISE")</f>
        <v>#REF!</v>
      </c>
      <c r="E9" s="17"/>
      <c r="F9" s="19" t="s">
        <v>80</v>
      </c>
      <c r="G9" s="17"/>
      <c r="H9" s="18" t="e">
        <f>COUNTIF(#REF!,"PC KRONENBOURG")</f>
        <v>#REF!</v>
      </c>
      <c r="O9" s="68" t="e">
        <f>COUNTIF(#REF!,"PROMOTION")</f>
        <v>#REF!</v>
      </c>
      <c r="P9" s="69"/>
    </row>
    <row r="10" spans="2:16" ht="18" customHeight="1" thickBot="1" x14ac:dyDescent="0.4">
      <c r="B10" s="20" t="s">
        <v>91</v>
      </c>
      <c r="C10" s="17"/>
      <c r="D10" s="18" t="e">
        <f>COUNTIF(#REF!,"A B SQUARE KIRCHNER")</f>
        <v>#REF!</v>
      </c>
      <c r="E10" s="17"/>
      <c r="F10" s="20" t="s">
        <v>131</v>
      </c>
      <c r="G10" s="17"/>
      <c r="H10" s="18" t="e">
        <f>COUNTIF(#REF!,"PC LA WANTZENAU")</f>
        <v>#REF!</v>
      </c>
      <c r="J10" s="48" t="s">
        <v>2</v>
      </c>
      <c r="K10" s="49"/>
      <c r="L10" s="52" t="e">
        <f>COUNTIF(#REF!,"M")</f>
        <v>#REF!</v>
      </c>
      <c r="M10" s="53"/>
      <c r="O10" s="70"/>
      <c r="P10" s="71"/>
    </row>
    <row r="11" spans="2:16" ht="18" customHeight="1" thickBot="1" x14ac:dyDescent="0.4">
      <c r="B11" s="19" t="s">
        <v>120</v>
      </c>
      <c r="C11" s="17"/>
      <c r="D11" s="18" t="e">
        <f>COUNTIF(#REF!,"A B ST CEZAIRE")</f>
        <v>#REF!</v>
      </c>
      <c r="E11" s="17"/>
      <c r="F11" s="19" t="s">
        <v>159</v>
      </c>
      <c r="G11" s="17"/>
      <c r="H11" s="18" t="e">
        <f>COUNTIF(#REF!,"PC LA ZORN")</f>
        <v>#REF!</v>
      </c>
      <c r="J11" s="50"/>
      <c r="K11" s="51"/>
      <c r="L11" s="54"/>
      <c r="M11" s="55"/>
    </row>
    <row r="12" spans="2:16" ht="18" customHeight="1" thickBot="1" x14ac:dyDescent="0.4">
      <c r="B12" s="20" t="s">
        <v>129</v>
      </c>
      <c r="C12" s="17"/>
      <c r="D12" s="18" t="e">
        <f>COUNTIF(#REF!,"A B THIERS CLUVIER")</f>
        <v>#REF!</v>
      </c>
      <c r="E12" s="17"/>
      <c r="F12" s="20" t="s">
        <v>155</v>
      </c>
      <c r="G12" s="17"/>
      <c r="H12" s="18" t="e">
        <f>COUNTIF(#REF!,"PC MOLSHEIM")</f>
        <v>#REF!</v>
      </c>
      <c r="O12" s="72" t="s">
        <v>10</v>
      </c>
      <c r="P12" s="73"/>
    </row>
    <row r="13" spans="2:16" ht="18" customHeight="1" thickBot="1" x14ac:dyDescent="0.4">
      <c r="B13" s="19" t="s">
        <v>108</v>
      </c>
      <c r="C13" s="17"/>
      <c r="D13" s="18" t="e">
        <f>COUNTIF(#REF!,"A B V B NICE")</f>
        <v>#REF!</v>
      </c>
      <c r="E13" s="17"/>
      <c r="F13" s="19" t="s">
        <v>93</v>
      </c>
      <c r="G13" s="17"/>
      <c r="H13" s="18" t="e">
        <f>COUNTIF(#REF!,"PC MUNDOLSHEIM")</f>
        <v>#REF!</v>
      </c>
      <c r="J13" s="31" t="s">
        <v>3</v>
      </c>
      <c r="K13" s="32"/>
      <c r="L13" s="35" t="e">
        <f>COUNTIF(#REF!,"SENIORS")</f>
        <v>#REF!</v>
      </c>
      <c r="M13" s="36"/>
      <c r="O13" s="74"/>
      <c r="P13" s="75"/>
    </row>
    <row r="14" spans="2:16" ht="18" customHeight="1" thickBot="1" x14ac:dyDescent="0.4">
      <c r="B14" s="20" t="s">
        <v>64</v>
      </c>
      <c r="C14" s="17"/>
      <c r="D14" s="18" t="e">
        <f>COUNTIF(#REF!,"A B VALBONNE S A")</f>
        <v>#REF!</v>
      </c>
      <c r="E14" s="17"/>
      <c r="F14" s="20" t="s">
        <v>130</v>
      </c>
      <c r="G14" s="17"/>
      <c r="H14" s="18" t="e">
        <f>COUNTIF(#REF!,"PC MUTZIG")</f>
        <v>#REF!</v>
      </c>
      <c r="J14" s="33"/>
      <c r="K14" s="34"/>
      <c r="L14" s="37"/>
      <c r="M14" s="38"/>
      <c r="O14" s="68" t="e">
        <f>COUNTIF(#REF!,"HONNEUR")</f>
        <v>#REF!</v>
      </c>
      <c r="P14" s="69"/>
    </row>
    <row r="15" spans="2:16" ht="18" customHeight="1" thickBot="1" x14ac:dyDescent="0.4">
      <c r="B15" s="19" t="s">
        <v>65</v>
      </c>
      <c r="C15" s="17"/>
      <c r="D15" s="18" t="e">
        <f>COUNTIF(#REF!,"A O ESCARENOISE")</f>
        <v>#REF!</v>
      </c>
      <c r="E15" s="17"/>
      <c r="F15" s="19" t="s">
        <v>73</v>
      </c>
      <c r="G15" s="17"/>
      <c r="H15" s="18" t="e">
        <f>COUNTIF(#REF!,"AB SOPHIA-ANTIPOLIS")</f>
        <v>#REF!</v>
      </c>
      <c r="O15" s="70"/>
      <c r="P15" s="71"/>
    </row>
    <row r="16" spans="2:16" ht="18" customHeight="1" thickBot="1" x14ac:dyDescent="0.4">
      <c r="B16" s="20" t="s">
        <v>78</v>
      </c>
      <c r="C16" s="17"/>
      <c r="D16" s="18" t="e">
        <f>COUNTIF(#REF!,"A S A C R M")</f>
        <v>#REF!</v>
      </c>
      <c r="E16" s="17"/>
      <c r="F16" s="20" t="s">
        <v>58</v>
      </c>
      <c r="G16" s="17"/>
      <c r="H16" s="18" t="e">
        <f>COUNTIF(#REF!,"PC OBERHOFFEN")</f>
        <v>#REF!</v>
      </c>
      <c r="J16" s="31" t="s">
        <v>4</v>
      </c>
      <c r="K16" s="32"/>
      <c r="L16" s="35" t="e">
        <f>COUNTIF(#REF!,"VETERANS")</f>
        <v>#REF!</v>
      </c>
      <c r="M16" s="36"/>
    </row>
    <row r="17" spans="2:16" ht="18" customHeight="1" thickBot="1" x14ac:dyDescent="0.4">
      <c r="B17" s="19" t="s">
        <v>128</v>
      </c>
      <c r="C17" s="17"/>
      <c r="D17" s="18" t="e">
        <f>COUNTIF(#REF!,"A S C A T")</f>
        <v>#REF!</v>
      </c>
      <c r="E17" s="17"/>
      <c r="F17" s="19" t="s">
        <v>146</v>
      </c>
      <c r="G17" s="17"/>
      <c r="H17" s="18" t="e">
        <f>COUNTIF(#REF!,"PC OTTERSTHAL STE BARBE")</f>
        <v>#REF!</v>
      </c>
      <c r="J17" s="33"/>
      <c r="K17" s="34"/>
      <c r="L17" s="37"/>
      <c r="M17" s="38"/>
      <c r="O17" s="72" t="s">
        <v>11</v>
      </c>
      <c r="P17" s="73"/>
    </row>
    <row r="18" spans="2:16" ht="18" customHeight="1" thickBot="1" x14ac:dyDescent="0.4">
      <c r="B18" s="20" t="s">
        <v>54</v>
      </c>
      <c r="C18" s="17"/>
      <c r="D18" s="18" t="e">
        <f>COUNTIF(#REF!,"A S C MOUANS SARTOUX")</f>
        <v>#REF!</v>
      </c>
      <c r="E18" s="17"/>
      <c r="F18" s="20" t="s">
        <v>117</v>
      </c>
      <c r="G18" s="17"/>
      <c r="H18" s="18" t="e">
        <f>COUNTIF(#REF!,"PC POLYGONE STRASBOURG")</f>
        <v>#REF!</v>
      </c>
      <c r="O18" s="74"/>
      <c r="P18" s="75"/>
    </row>
    <row r="19" spans="2:16" ht="18" customHeight="1" x14ac:dyDescent="0.35">
      <c r="B19" s="19" t="s">
        <v>59</v>
      </c>
      <c r="C19" s="17"/>
      <c r="D19" s="18" t="e">
        <f>COUNTIF(#REF!,"BEACH CLUB")</f>
        <v>#REF!</v>
      </c>
      <c r="E19" s="17"/>
      <c r="F19" s="19" t="s">
        <v>112</v>
      </c>
      <c r="G19" s="17"/>
      <c r="H19" s="18" t="e">
        <f>COUNTIF(#REF!,"PC REICHSTETT")</f>
        <v>#REF!</v>
      </c>
      <c r="J19" s="31" t="s">
        <v>5</v>
      </c>
      <c r="K19" s="32"/>
      <c r="L19" s="35" t="e">
        <f>COUNTIF(#REF!,"JUNIORS")</f>
        <v>#REF!</v>
      </c>
      <c r="M19" s="36"/>
      <c r="O19" s="68" t="e">
        <f>COUNTIF(#REF!,"ELITE")</f>
        <v>#REF!</v>
      </c>
      <c r="P19" s="69"/>
    </row>
    <row r="20" spans="2:16" ht="18" customHeight="1" thickBot="1" x14ac:dyDescent="0.4">
      <c r="B20" s="20" t="s">
        <v>70</v>
      </c>
      <c r="C20" s="17"/>
      <c r="D20" s="18" t="e">
        <f>COUNTIF(#REF!,"BOUCHES DU LOUP")</f>
        <v>#REF!</v>
      </c>
      <c r="E20" s="17"/>
      <c r="F20" s="20" t="s">
        <v>75</v>
      </c>
      <c r="G20" s="17"/>
      <c r="H20" s="18" t="e">
        <f>COUNTIF(#REF!,"PC ROBERTSAU CONTADES")</f>
        <v>#REF!</v>
      </c>
      <c r="J20" s="33"/>
      <c r="K20" s="34"/>
      <c r="L20" s="37"/>
      <c r="M20" s="38"/>
      <c r="O20" s="70"/>
      <c r="P20" s="71"/>
    </row>
    <row r="21" spans="2:16" ht="18" customHeight="1" thickBot="1" x14ac:dyDescent="0.4">
      <c r="B21" s="19" t="s">
        <v>109</v>
      </c>
      <c r="C21" s="17"/>
      <c r="D21" s="18" t="e">
        <f>COUNTIF(#REF!,"CB STRASBOURGEOIS")</f>
        <v>#REF!</v>
      </c>
      <c r="E21" s="17"/>
      <c r="F21" s="19" t="s">
        <v>83</v>
      </c>
      <c r="G21" s="17"/>
      <c r="H21" s="18" t="e">
        <f>COUNTIF(#REF!,"PC ROMANSWILLER")</f>
        <v>#REF!</v>
      </c>
    </row>
    <row r="22" spans="2:16" ht="18" customHeight="1" x14ac:dyDescent="0.35">
      <c r="B22" s="20" t="s">
        <v>111</v>
      </c>
      <c r="C22" s="17"/>
      <c r="D22" s="18" t="e">
        <f>COUNTIF(#REF!,"CLUB BOULISTE BARROIS")</f>
        <v>#REF!</v>
      </c>
      <c r="E22" s="17"/>
      <c r="F22" s="20" t="s">
        <v>87</v>
      </c>
      <c r="G22" s="17"/>
      <c r="H22" s="18" t="e">
        <f>COUNTIF(#REF!,"PC SAVERNE * LA LICORNE")</f>
        <v>#REF!</v>
      </c>
      <c r="J22" s="31" t="s">
        <v>6</v>
      </c>
      <c r="K22" s="32"/>
      <c r="L22" s="35" t="e">
        <f>COUNTIF(#REF!,"BENJAMIN")</f>
        <v>#REF!</v>
      </c>
      <c r="M22" s="36"/>
    </row>
    <row r="23" spans="2:16" ht="18" customHeight="1" thickBot="1" x14ac:dyDescent="0.4">
      <c r="B23" s="19" t="s">
        <v>94</v>
      </c>
      <c r="C23" s="17"/>
      <c r="D23" s="18" t="e">
        <f>COUNTIF(#REF!,"CP PFAFFENHOFFEN")</f>
        <v>#REF!</v>
      </c>
      <c r="E23" s="17"/>
      <c r="F23" s="19" t="s">
        <v>103</v>
      </c>
      <c r="G23" s="17"/>
      <c r="H23" s="18" t="e">
        <f>COUNTIF(#REF!,"PC SELTZ LES PEUPLIERS")</f>
        <v>#REF!</v>
      </c>
      <c r="J23" s="33"/>
      <c r="K23" s="34"/>
      <c r="L23" s="37"/>
      <c r="M23" s="38"/>
    </row>
    <row r="24" spans="2:16" ht="18" customHeight="1" thickBot="1" x14ac:dyDescent="0.4">
      <c r="B24" s="20" t="s">
        <v>157</v>
      </c>
      <c r="C24" s="17"/>
      <c r="D24" s="18" t="e">
        <f>COUNTIF(#REF!,"CTT ESCHAU")</f>
        <v>#REF!</v>
      </c>
      <c r="E24" s="17"/>
      <c r="F24" s="20" t="s">
        <v>143</v>
      </c>
      <c r="G24" s="17"/>
      <c r="H24" s="18" t="e">
        <f>COUNTIF(#REF!,"PC SOULTZ SOUS FORETS")</f>
        <v>#REF!</v>
      </c>
    </row>
    <row r="25" spans="2:16" ht="18" customHeight="1" x14ac:dyDescent="0.35">
      <c r="B25" s="19" t="s">
        <v>125</v>
      </c>
      <c r="C25" s="17"/>
      <c r="D25" s="18" t="e">
        <f>COUNTIF(#REF!,"CUIRASSIERS REICHSHOFFEN")</f>
        <v>#REF!</v>
      </c>
      <c r="E25" s="17"/>
      <c r="F25" s="19" t="s">
        <v>133</v>
      </c>
      <c r="G25" s="17"/>
      <c r="H25" s="18" t="e">
        <f>COUNTIF(#REF!,"PC VIGNOBLE D'EPFIG")</f>
        <v>#REF!</v>
      </c>
      <c r="J25" s="31" t="s">
        <v>7</v>
      </c>
      <c r="K25" s="32"/>
      <c r="L25" s="35" t="e">
        <f>COUNTIF(#REF!,"CADETS")</f>
        <v>#REF!</v>
      </c>
      <c r="M25" s="36"/>
    </row>
    <row r="26" spans="2:16" ht="18" customHeight="1" thickBot="1" x14ac:dyDescent="0.4">
      <c r="B26" s="20" t="s">
        <v>113</v>
      </c>
      <c r="C26" s="17"/>
      <c r="D26" s="18" t="e">
        <f>COUNTIF(#REF!,"EUROPEENNE PETANQUE ESPLANADE")</f>
        <v>#REF!</v>
      </c>
      <c r="E26" s="17"/>
      <c r="F26" s="20" t="s">
        <v>142</v>
      </c>
      <c r="G26" s="17"/>
      <c r="H26" s="18" t="e">
        <f>COUNTIF(#REF!,"PC WISCHES")</f>
        <v>#REF!</v>
      </c>
      <c r="J26" s="33"/>
      <c r="K26" s="34"/>
      <c r="L26" s="37"/>
      <c r="M26" s="38"/>
    </row>
    <row r="27" spans="2:16" ht="18" customHeight="1" thickBot="1" x14ac:dyDescent="0.4">
      <c r="B27" s="24" t="s">
        <v>135</v>
      </c>
      <c r="C27" s="21"/>
      <c r="D27" s="18" t="e">
        <f>COUNTIF(#REF!,"LA BOULE BRUCHOISE")</f>
        <v>#REF!</v>
      </c>
      <c r="E27" s="17"/>
      <c r="F27" s="19" t="s">
        <v>69</v>
      </c>
      <c r="G27" s="17"/>
      <c r="H27" s="18" t="e">
        <f>COUNTIF(#REF!,"PC WISSEMBOURG")</f>
        <v>#REF!</v>
      </c>
    </row>
    <row r="28" spans="2:16" ht="18" customHeight="1" x14ac:dyDescent="0.35">
      <c r="B28" s="19" t="s">
        <v>49</v>
      </c>
      <c r="C28" s="17"/>
      <c r="D28" s="18" t="e">
        <f>COUNTIF(#REF!,"LE PETIT D'OSTWALD")</f>
        <v>#REF!</v>
      </c>
      <c r="E28" s="17"/>
      <c r="F28" s="20" t="s">
        <v>57</v>
      </c>
      <c r="G28" s="17"/>
      <c r="H28" s="18" t="e">
        <f>COUNTIF(#REF!,"PC WOLFISHEIM")</f>
        <v>#REF!</v>
      </c>
      <c r="J28" s="31" t="s">
        <v>8</v>
      </c>
      <c r="K28" s="32"/>
      <c r="L28" s="35" t="e">
        <f>COUNTIF(#REF!,"MINIMES")</f>
        <v>#REF!</v>
      </c>
      <c r="M28" s="36"/>
    </row>
    <row r="29" spans="2:16" ht="18" customHeight="1" thickBot="1" x14ac:dyDescent="0.4">
      <c r="B29" s="20" t="s">
        <v>47</v>
      </c>
      <c r="C29" s="17"/>
      <c r="D29" s="18" t="e">
        <f>COUNTIF(#REF!,"MONSWILLER SPORT PETANQUE")</f>
        <v>#REF!</v>
      </c>
      <c r="E29" s="17"/>
      <c r="F29" s="19" t="s">
        <v>85</v>
      </c>
      <c r="G29" s="17"/>
      <c r="H29" s="18" t="e">
        <f>COUNTIF(#REF!,"PETANCAIR'S DE NEUDORF")</f>
        <v>#REF!</v>
      </c>
      <c r="J29" s="33"/>
      <c r="K29" s="34"/>
      <c r="L29" s="37"/>
      <c r="M29" s="38"/>
    </row>
    <row r="30" spans="2:16" ht="18" customHeight="1" thickBot="1" x14ac:dyDescent="0.4">
      <c r="B30" s="19" t="s">
        <v>140</v>
      </c>
      <c r="C30" s="17"/>
      <c r="D30" s="18" t="e">
        <f>COUNTIF(#REF!,"OC PLOBSHEIM")</f>
        <v>#REF!</v>
      </c>
      <c r="E30" s="17"/>
      <c r="F30" s="20" t="s">
        <v>119</v>
      </c>
      <c r="G30" s="17"/>
      <c r="H30" s="18" t="e">
        <f>COUNTIF(#REF!,"PETANQUE CLUB ALTORF")</f>
        <v>#REF!</v>
      </c>
    </row>
    <row r="31" spans="2:16" ht="18" customHeight="1" x14ac:dyDescent="0.35">
      <c r="B31" s="20" t="s">
        <v>104</v>
      </c>
      <c r="C31" s="17"/>
      <c r="D31" s="18" t="e">
        <f>COUNTIF(#REF!,"PC DALHUNDEN")</f>
        <v>#REF!</v>
      </c>
      <c r="E31" s="17"/>
      <c r="F31" s="19" t="s">
        <v>86</v>
      </c>
      <c r="G31" s="17"/>
      <c r="H31" s="18" t="e">
        <f>COUNTIF(#REF!,"COLOMARS O C")</f>
        <v>#REF!</v>
      </c>
      <c r="J31" s="31" t="s">
        <v>12</v>
      </c>
      <c r="K31" s="32"/>
      <c r="L31" s="35" t="e">
        <f>COUNTIF(#REF!,"POUSSINS")</f>
        <v>#REF!</v>
      </c>
      <c r="M31" s="36"/>
    </row>
    <row r="32" spans="2:16" ht="18" customHeight="1" thickBot="1" x14ac:dyDescent="0.4">
      <c r="B32" s="19" t="s">
        <v>139</v>
      </c>
      <c r="C32" s="17"/>
      <c r="D32" s="18" t="e">
        <f>COUNTIF(#REF!,"PC DE LA SCHEER")</f>
        <v>#REF!</v>
      </c>
      <c r="E32" s="17"/>
      <c r="F32" s="20" t="s">
        <v>61</v>
      </c>
      <c r="G32" s="17"/>
      <c r="H32" s="18" t="e">
        <f>COUNTIF(#REF!,"PL GEISPOLSHEIM")</f>
        <v>#REF!</v>
      </c>
      <c r="J32" s="33"/>
      <c r="K32" s="34"/>
      <c r="L32" s="37"/>
      <c r="M32" s="38"/>
    </row>
    <row r="33" spans="2:8" ht="18" customHeight="1" x14ac:dyDescent="0.35">
      <c r="B33" s="20" t="s">
        <v>136</v>
      </c>
      <c r="C33" s="17"/>
      <c r="D33" s="18" t="e">
        <f>COUNTIF(#REF!,"PC DINSHEIM")</f>
        <v>#REF!</v>
      </c>
      <c r="E33" s="17"/>
      <c r="F33" s="19" t="s">
        <v>148</v>
      </c>
      <c r="G33" s="17"/>
      <c r="H33" s="18" t="e">
        <f>COUNTIF(#REF!,"US SCHWEIGHOUSE")</f>
        <v>#REF!</v>
      </c>
    </row>
    <row r="34" spans="2:8" ht="18" customHeight="1" x14ac:dyDescent="0.35">
      <c r="B34" s="19" t="s">
        <v>81</v>
      </c>
      <c r="C34" s="17"/>
      <c r="D34" s="18" t="e">
        <f>COUNTIF(#REF!,"PC ERNOLSHEIM BRUCHE")</f>
        <v>#REF!</v>
      </c>
      <c r="E34" s="17"/>
      <c r="F34" s="19" t="s">
        <v>63</v>
      </c>
      <c r="G34" s="17"/>
      <c r="H34" s="18" t="e">
        <f>COUNTIF(#REF!,"AS EUROMETROPOLE")</f>
        <v>#REF!</v>
      </c>
    </row>
    <row r="35" spans="2:8" ht="18" customHeight="1" x14ac:dyDescent="0.25">
      <c r="B35" s="25" t="s">
        <v>123</v>
      </c>
      <c r="D35" s="18" t="e">
        <f>COUNTIF(#REF!,"A S   SAPEURS POMPIERS")</f>
        <v>#REF!</v>
      </c>
      <c r="F35" s="25" t="s">
        <v>62</v>
      </c>
      <c r="H35" s="18" t="e">
        <f>COUNTIF(#REF!,"SNCF * CORPO")</f>
        <v>#REF!</v>
      </c>
    </row>
    <row r="36" spans="2:8" ht="18" customHeight="1" x14ac:dyDescent="0.25">
      <c r="B36" s="25" t="s">
        <v>149</v>
      </c>
      <c r="D36" s="18" t="e">
        <f>COUNTIF(#REF!,"CUS HABITAT")</f>
        <v>#REF!</v>
      </c>
      <c r="F36" s="25" t="s">
        <v>72</v>
      </c>
      <c r="H36" s="18" t="e">
        <f>COUNTIF(#REF!,"SNCF * CORPO")</f>
        <v>#REF!</v>
      </c>
    </row>
    <row r="37" spans="2:8" ht="21" x14ac:dyDescent="0.25">
      <c r="B37" s="25" t="s">
        <v>97</v>
      </c>
      <c r="D37" s="18" t="e">
        <f>COUNTIF(#REF!,"CUS HABITAT")</f>
        <v>#REF!</v>
      </c>
      <c r="F37" s="25" t="s">
        <v>95</v>
      </c>
      <c r="H37" s="18" t="e">
        <f>COUNTIF(#REF!,"SNCF * CORPO")</f>
        <v>#REF!</v>
      </c>
    </row>
    <row r="38" spans="2:8" ht="21" x14ac:dyDescent="0.25">
      <c r="B38" s="25" t="s">
        <v>90</v>
      </c>
      <c r="D38" s="18" t="e">
        <f>COUNTIF(#REF!,"CUS HABITAT")</f>
        <v>#REF!</v>
      </c>
      <c r="F38" s="25" t="s">
        <v>48</v>
      </c>
      <c r="H38" s="18" t="e">
        <f>COUNTIF(#REF!,"SNCF * CORPO")</f>
        <v>#REF!</v>
      </c>
    </row>
    <row r="39" spans="2:8" ht="21" x14ac:dyDescent="0.25">
      <c r="B39" s="25" t="s">
        <v>124</v>
      </c>
      <c r="D39" s="18" t="e">
        <f>COUNTIF(#REF!,"CUS HABITAT")</f>
        <v>#REF!</v>
      </c>
      <c r="F39" s="25" t="s">
        <v>52</v>
      </c>
      <c r="H39" s="18" t="e">
        <f>COUNTIF(#REF!,"SNCF * CORPO")</f>
        <v>#REF!</v>
      </c>
    </row>
    <row r="40" spans="2:8" ht="21" x14ac:dyDescent="0.25">
      <c r="B40" s="25" t="s">
        <v>56</v>
      </c>
      <c r="D40" s="18" t="e">
        <f>COUNTIF(#REF!,"CUS HABITAT")</f>
        <v>#REF!</v>
      </c>
      <c r="F40" s="25" t="s">
        <v>127</v>
      </c>
      <c r="H40" s="18" t="e">
        <f>COUNTIF(#REF!,"SNCF * CORPO")</f>
        <v>#REF!</v>
      </c>
    </row>
    <row r="41" spans="2:8" ht="21" x14ac:dyDescent="0.25">
      <c r="B41" s="25" t="s">
        <v>67</v>
      </c>
      <c r="D41" s="18" t="e">
        <f>COUNTIF(#REF!,"CUS HABITAT")</f>
        <v>#REF!</v>
      </c>
      <c r="F41" s="25" t="s">
        <v>100</v>
      </c>
      <c r="H41" s="18" t="e">
        <f>COUNTIF(#REF!,"Les Aiglons Artisans de la Pétanque Niçoise A.A.P.N.")</f>
        <v>#REF!</v>
      </c>
    </row>
    <row r="42" spans="2:8" ht="21" x14ac:dyDescent="0.25">
      <c r="B42" s="25" t="s">
        <v>89</v>
      </c>
      <c r="D42" s="18" t="e">
        <f>COUNTIF(#REF!,"CUS HABITAT")</f>
        <v>#REF!</v>
      </c>
      <c r="F42" s="25" t="s">
        <v>153</v>
      </c>
      <c r="H42" s="18" t="e">
        <f>COUNTIF(#REF!,"SNCF * CORPO")</f>
        <v>#REF!</v>
      </c>
    </row>
    <row r="43" spans="2:8" ht="21" x14ac:dyDescent="0.25">
      <c r="B43" s="25" t="s">
        <v>105</v>
      </c>
      <c r="D43" s="18" t="e">
        <f>COUNTIF(#REF!,"CUS HABITAT")</f>
        <v>#REF!</v>
      </c>
      <c r="F43" s="25" t="s">
        <v>138</v>
      </c>
      <c r="H43" s="18" t="e">
        <f>COUNTIF(#REF!,"SNCF * CORPO")</f>
        <v>#REF!</v>
      </c>
    </row>
    <row r="44" spans="2:8" ht="21" x14ac:dyDescent="0.25">
      <c r="B44" s="25" t="s">
        <v>121</v>
      </c>
      <c r="D44" s="18" t="e">
        <f>COUNTIF(#REF!,"CUS HABITAT")</f>
        <v>#REF!</v>
      </c>
      <c r="F44" s="25" t="s">
        <v>137</v>
      </c>
      <c r="H44" s="18" t="e">
        <f>COUNTIF(#REF!,"SNCF * CORPO")</f>
        <v>#REF!</v>
      </c>
    </row>
    <row r="45" spans="2:8" ht="21" x14ac:dyDescent="0.25">
      <c r="B45" s="25" t="s">
        <v>134</v>
      </c>
      <c r="D45" s="18" t="e">
        <f>COUNTIF(#REF!,"CUS HABITAT")</f>
        <v>#REF!</v>
      </c>
      <c r="F45" s="25" t="s">
        <v>92</v>
      </c>
      <c r="H45" s="18" t="e">
        <f>COUNTIF(#REF!,"SNCF * CORPO")</f>
        <v>#REF!</v>
      </c>
    </row>
    <row r="46" spans="2:8" ht="21" x14ac:dyDescent="0.25">
      <c r="B46" s="25" t="s">
        <v>71</v>
      </c>
      <c r="D46" s="18" t="e">
        <f>COUNTIF(#REF!,"GATTIERES PETANQUE")</f>
        <v>#REF!</v>
      </c>
      <c r="F46" s="25" t="s">
        <v>102</v>
      </c>
      <c r="H46" s="18" t="e">
        <f>COUNTIF(#REF!,"SNCF * CORPO")</f>
        <v>#REF!</v>
      </c>
    </row>
    <row r="47" spans="2:8" ht="21" x14ac:dyDescent="0.25">
      <c r="B47" s="25" t="s">
        <v>68</v>
      </c>
      <c r="D47" s="18" t="e">
        <f>COUNTIF(#REF!,"CUS HABITAT")</f>
        <v>#REF!</v>
      </c>
      <c r="F47" s="25" t="s">
        <v>53</v>
      </c>
      <c r="H47" s="18" t="e">
        <f>COUNTIF(#REF!,"SNCF * CORPO")</f>
        <v>#REF!</v>
      </c>
    </row>
    <row r="48" spans="2:8" ht="21" x14ac:dyDescent="0.25">
      <c r="B48" s="25" t="s">
        <v>60</v>
      </c>
      <c r="D48" s="18" t="e">
        <f>COUNTIF(#REF!,"CUS HABITAT")</f>
        <v>#REF!</v>
      </c>
      <c r="F48" s="25" t="s">
        <v>116</v>
      </c>
      <c r="H48" s="18" t="e">
        <f>COUNTIF(#REF!,"SNCF * CORPO")</f>
        <v>#REF!</v>
      </c>
    </row>
    <row r="49" spans="2:8" ht="21" x14ac:dyDescent="0.25">
      <c r="B49" s="25" t="s">
        <v>66</v>
      </c>
      <c r="D49" s="18" t="e">
        <f>COUNTIF(#REF!,"CUS HABITAT")</f>
        <v>#REF!</v>
      </c>
      <c r="F49" s="25" t="s">
        <v>122</v>
      </c>
      <c r="H49" s="18" t="e">
        <f>COUNTIF(#REF!,"S O E")</f>
        <v>#REF!</v>
      </c>
    </row>
    <row r="50" spans="2:8" ht="21" x14ac:dyDescent="0.25">
      <c r="B50" s="25" t="s">
        <v>50</v>
      </c>
      <c r="D50" s="18" t="e">
        <f>COUNTIF(#REF!,"CUS HABITAT")</f>
        <v>#REF!</v>
      </c>
      <c r="F50" s="25" t="s">
        <v>145</v>
      </c>
      <c r="H50" s="18" t="e">
        <f>COUNTIF(#REF!,"SNCF * CORPO")</f>
        <v>#REF!</v>
      </c>
    </row>
    <row r="51" spans="2:8" ht="21" x14ac:dyDescent="0.25">
      <c r="B51" s="25" t="s">
        <v>106</v>
      </c>
      <c r="D51" s="18" t="e">
        <f>COUNTIF(#REF!,"CUS HABITAT")</f>
        <v>#REF!</v>
      </c>
      <c r="F51" s="25" t="s">
        <v>158</v>
      </c>
      <c r="H51" s="18" t="e">
        <f>COUNTIF(#REF!,"SNCF * CORPO")</f>
        <v>#REF!</v>
      </c>
    </row>
    <row r="52" spans="2:8" ht="21" x14ac:dyDescent="0.25">
      <c r="B52" s="25" t="s">
        <v>118</v>
      </c>
      <c r="D52" s="18" t="e">
        <f>COUNTIF(#REF!,"CUS HABITAT")</f>
        <v>#REF!</v>
      </c>
      <c r="F52" s="25" t="s">
        <v>77</v>
      </c>
      <c r="H52" s="18" t="e">
        <f>COUNTIF(#REF!,"SNCF * CORPO")</f>
        <v>#REF!</v>
      </c>
    </row>
    <row r="53" spans="2:8" ht="21" x14ac:dyDescent="0.25">
      <c r="B53" s="25" t="s">
        <v>147</v>
      </c>
      <c r="D53" s="18" t="e">
        <f>COUNTIF(#REF!,"CUS HABITAT")</f>
        <v>#REF!</v>
      </c>
      <c r="F53" s="25" t="s">
        <v>156</v>
      </c>
      <c r="H53" s="18" t="e">
        <f>COUNTIF(#REF!,"SNCF * CORPO")</f>
        <v>#REF!</v>
      </c>
    </row>
    <row r="54" spans="2:8" ht="21" x14ac:dyDescent="0.25">
      <c r="B54" s="25" t="s">
        <v>51</v>
      </c>
      <c r="D54" s="18" t="e">
        <f>COUNTIF(#REF!,"PETANQUE ANTIBOISE")</f>
        <v>#REF!</v>
      </c>
      <c r="F54" s="25" t="s">
        <v>151</v>
      </c>
      <c r="H54" s="18" t="e">
        <f>COUNTIF(#REF!,"SNCF * CORPO")</f>
        <v>#REF!</v>
      </c>
    </row>
    <row r="55" spans="2:8" ht="21" x14ac:dyDescent="0.25">
      <c r="B55" s="25" t="s">
        <v>132</v>
      </c>
      <c r="D55" s="18" t="e">
        <f>COUNTIF(#REF!,"CUS HABITAT")</f>
        <v>#REF!</v>
      </c>
      <c r="F55" s="25" t="s">
        <v>152</v>
      </c>
      <c r="H55" s="18" t="e">
        <f>COUNTIF(#REF!,"SNCF * CORPO")</f>
        <v>#REF!</v>
      </c>
    </row>
    <row r="56" spans="2:8" ht="21" x14ac:dyDescent="0.25">
      <c r="B56" s="25" t="s">
        <v>82</v>
      </c>
      <c r="D56" s="18" t="e">
        <f>COUNTIF(#REF!,"CUS HABITAT")</f>
        <v>#REF!</v>
      </c>
      <c r="F56" s="25" t="s">
        <v>154</v>
      </c>
      <c r="H56" s="18" t="e">
        <f>COUNTIF(#REF!,"SNCF * CORPO")</f>
        <v>#REF!</v>
      </c>
    </row>
    <row r="57" spans="2:8" ht="21" x14ac:dyDescent="0.25">
      <c r="B57" s="25" t="s">
        <v>115</v>
      </c>
      <c r="D57" s="18" t="e">
        <f>COUNTIF(#REF!,"CUS HABITAT")</f>
        <v>#REF!</v>
      </c>
      <c r="F57" s="25" t="s">
        <v>76</v>
      </c>
      <c r="H57" s="18" t="e">
        <f>COUNTIF(#REF!,"SNCF * CORPO")</f>
        <v>#REF!</v>
      </c>
    </row>
    <row r="58" spans="2:8" ht="21" x14ac:dyDescent="0.25">
      <c r="B58" s="25" t="s">
        <v>101</v>
      </c>
      <c r="D58" s="18" t="e">
        <f>COUNTIF(#REF!,"CUS HABITAT")</f>
        <v>#REF!</v>
      </c>
      <c r="F58" s="25" t="s">
        <v>150</v>
      </c>
      <c r="H58" s="18" t="e">
        <f>COUNTIF(#REF!,"SNCF * CORPO")</f>
        <v>#REF!</v>
      </c>
    </row>
    <row r="59" spans="2:8" ht="21" x14ac:dyDescent="0.25">
      <c r="B59" s="25" t="s">
        <v>141</v>
      </c>
      <c r="D59" s="18" t="e">
        <f>COUNTIF(#REF!,"CUS HABITAT")</f>
        <v>#REF!</v>
      </c>
      <c r="F59" s="25" t="s">
        <v>107</v>
      </c>
      <c r="H59" s="18" t="e">
        <f>COUNTIF(#REF!,"SNCF * CORPO")</f>
        <v>#REF!</v>
      </c>
    </row>
    <row r="60" spans="2:8" ht="21" x14ac:dyDescent="0.25">
      <c r="B60" s="25" t="s">
        <v>110</v>
      </c>
      <c r="D60" s="18" t="e">
        <f>COUNTIF(#REF!,"U S CAGNES")</f>
        <v>#REF!</v>
      </c>
      <c r="F60" s="25" t="s">
        <v>98</v>
      </c>
      <c r="H60" s="18" t="e">
        <f>COUNTIF(#REF!,"EVENTS 06")</f>
        <v>#REF!</v>
      </c>
    </row>
  </sheetData>
  <sortState ref="F5:F32">
    <sortCondition ref="F4"/>
  </sortState>
  <mergeCells count="28">
    <mergeCell ref="O4:P5"/>
    <mergeCell ref="O2:P3"/>
    <mergeCell ref="O19:P20"/>
    <mergeCell ref="O7:P8"/>
    <mergeCell ref="O9:P10"/>
    <mergeCell ref="O12:P13"/>
    <mergeCell ref="O14:P15"/>
    <mergeCell ref="O17:P18"/>
    <mergeCell ref="J2:M2"/>
    <mergeCell ref="J4:M5"/>
    <mergeCell ref="J19:K20"/>
    <mergeCell ref="L19:M20"/>
    <mergeCell ref="J22:K23"/>
    <mergeCell ref="L22:M23"/>
    <mergeCell ref="J10:K11"/>
    <mergeCell ref="L10:M11"/>
    <mergeCell ref="J13:K14"/>
    <mergeCell ref="J16:K17"/>
    <mergeCell ref="L13:M14"/>
    <mergeCell ref="L16:M17"/>
    <mergeCell ref="J7:K8"/>
    <mergeCell ref="L7:M8"/>
    <mergeCell ref="J28:K29"/>
    <mergeCell ref="L28:M29"/>
    <mergeCell ref="J25:K26"/>
    <mergeCell ref="L25:M26"/>
    <mergeCell ref="J31:K32"/>
    <mergeCell ref="L31:M32"/>
  </mergeCells>
  <conditionalFormatting sqref="D4:D22 H4:H10 D24:D60 H12:H60">
    <cfRule type="cellIs" dxfId="5" priority="6" operator="lessThan">
      <formula>1</formula>
    </cfRule>
  </conditionalFormatting>
  <conditionalFormatting sqref="B4:B34 D4:D22 D24:D60">
    <cfRule type="cellIs" dxfId="4" priority="5" operator="lessThan">
      <formula>1</formula>
    </cfRule>
  </conditionalFormatting>
  <conditionalFormatting sqref="D4:D60 H4:H60">
    <cfRule type="cellIs" dxfId="3" priority="4" operator="lessThan">
      <formula>1</formula>
    </cfRule>
  </conditionalFormatting>
  <conditionalFormatting sqref="B1:B1048576">
    <cfRule type="expression" dxfId="2" priority="3">
      <formula>$D1=0</formula>
    </cfRule>
  </conditionalFormatting>
  <conditionalFormatting sqref="F1:F1048576">
    <cfRule type="expression" dxfId="1" priority="2">
      <formula>$H1=0</formula>
    </cfRule>
  </conditionalFormatting>
  <conditionalFormatting sqref="B4:B36 F4:F36">
    <cfRule type="containsText" dxfId="0" priority="1" operator="containsText" text="CORPO">
      <formula>NOT(ISERROR(SEARCH("CORPO",B4)))</formula>
    </cfRule>
  </conditionalFormatting>
  <printOptions horizontalCentered="1" verticalCentered="1"/>
  <pageMargins left="0" right="0" top="0" bottom="0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M22"/>
  <sheetViews>
    <sheetView workbookViewId="0">
      <selection activeCell="J33" sqref="J33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  <col min="7" max="7" width="12.7109375" customWidth="1"/>
    <col min="8" max="8" width="18.5703125" bestFit="1" customWidth="1"/>
    <col min="10" max="10" width="14.42578125" bestFit="1" customWidth="1"/>
  </cols>
  <sheetData>
    <row r="1" spans="1:13" ht="15.75" x14ac:dyDescent="0.25">
      <c r="A1" s="76" t="s">
        <v>40</v>
      </c>
      <c r="B1" s="76"/>
      <c r="C1" s="76"/>
      <c r="D1" s="76"/>
      <c r="E1" s="76"/>
      <c r="F1" s="76"/>
      <c r="G1" s="76"/>
      <c r="J1" t="s">
        <v>38</v>
      </c>
      <c r="K1" t="s">
        <v>39</v>
      </c>
    </row>
    <row r="2" spans="1:13" ht="16.5" thickBot="1" x14ac:dyDescent="0.3">
      <c r="A2" s="4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4" t="s">
        <v>19</v>
      </c>
      <c r="H2" s="6" t="s">
        <v>41</v>
      </c>
      <c r="J2" s="9">
        <f ca="1">EDATE(DATE(YEAR(TODAY()),1,1),-12*100)</f>
        <v>6941</v>
      </c>
      <c r="K2" s="10" t="s">
        <v>37</v>
      </c>
      <c r="M2" t="s">
        <v>42</v>
      </c>
    </row>
    <row r="3" spans="1:13" x14ac:dyDescent="0.25">
      <c r="A3" s="7">
        <v>1</v>
      </c>
      <c r="B3" s="7" t="s">
        <v>21</v>
      </c>
      <c r="C3" s="7" t="s">
        <v>22</v>
      </c>
      <c r="D3" s="8">
        <v>13886</v>
      </c>
      <c r="E3" s="7"/>
      <c r="F3" s="7"/>
      <c r="G3" s="7" t="str">
        <f ca="1">VLOOKUP(D3,$J$1:$K$17,2,1)</f>
        <v>VETERANS 5</v>
      </c>
      <c r="H3">
        <f ca="1">DATEDIF(D3,DATE(YEAR(TODAY()),1,1),"y")</f>
        <v>80</v>
      </c>
      <c r="J3" s="9">
        <f ca="1">EDATE(J2,12*20)</f>
        <v>14246</v>
      </c>
      <c r="K3" s="11" t="s">
        <v>36</v>
      </c>
    </row>
    <row r="4" spans="1:13" x14ac:dyDescent="0.25">
      <c r="A4" s="7">
        <v>2</v>
      </c>
      <c r="B4" s="7" t="s">
        <v>21</v>
      </c>
      <c r="C4" s="7" t="s">
        <v>24</v>
      </c>
      <c r="D4" s="8">
        <v>35097</v>
      </c>
      <c r="E4" s="7"/>
      <c r="F4" s="7"/>
      <c r="G4" s="7" t="str">
        <f t="shared" ref="G4:G16" ca="1" si="0">VLOOKUP(D4,$J$1:$K$17,2,1)</f>
        <v>SENIORS</v>
      </c>
      <c r="H4">
        <f ca="1">DATEDIF(D4,DATE(YEAR(TODAY()),1,1),"y")</f>
        <v>22</v>
      </c>
      <c r="J4" s="12">
        <f ca="1">EDATE(J3,120)</f>
        <v>17899</v>
      </c>
      <c r="K4" s="11" t="s">
        <v>35</v>
      </c>
    </row>
    <row r="5" spans="1:13" x14ac:dyDescent="0.25">
      <c r="A5" s="7">
        <v>3</v>
      </c>
      <c r="B5" s="7" t="s">
        <v>21</v>
      </c>
      <c r="C5" s="7" t="s">
        <v>26</v>
      </c>
      <c r="D5" s="8">
        <v>37289</v>
      </c>
      <c r="E5" s="7"/>
      <c r="F5" s="7"/>
      <c r="G5" s="7" t="str">
        <f t="shared" ca="1" si="0"/>
        <v>JUNIORS 2</v>
      </c>
      <c r="H5">
        <f t="shared" ref="H5:H16" ca="1" si="1">DATEDIF(D5,DATE(YEAR(TODAY()),1,1),"y")</f>
        <v>16</v>
      </c>
      <c r="J5" s="12">
        <f t="shared" ref="J5:J7" ca="1" si="2">EDATE(J4,120)</f>
        <v>21551</v>
      </c>
      <c r="K5" s="11" t="s">
        <v>34</v>
      </c>
    </row>
    <row r="6" spans="1:13" x14ac:dyDescent="0.25">
      <c r="A6" s="7">
        <v>4</v>
      </c>
      <c r="B6" s="7"/>
      <c r="C6" s="7"/>
      <c r="D6" s="8">
        <v>25982</v>
      </c>
      <c r="E6" s="7"/>
      <c r="F6" s="7"/>
      <c r="G6" s="7" t="str">
        <f t="shared" ca="1" si="0"/>
        <v>VETERANS 1</v>
      </c>
      <c r="H6">
        <f t="shared" ca="1" si="1"/>
        <v>47</v>
      </c>
      <c r="J6" s="12">
        <f t="shared" ca="1" si="2"/>
        <v>25204</v>
      </c>
      <c r="K6" s="11" t="s">
        <v>33</v>
      </c>
    </row>
    <row r="7" spans="1:13" x14ac:dyDescent="0.25">
      <c r="A7" s="7">
        <v>5</v>
      </c>
      <c r="B7" s="7"/>
      <c r="C7" s="7"/>
      <c r="D7" s="8">
        <v>31626</v>
      </c>
      <c r="E7" s="7"/>
      <c r="F7" s="7"/>
      <c r="G7" s="7" t="str">
        <f t="shared" ca="1" si="0"/>
        <v>SENIORS</v>
      </c>
      <c r="H7">
        <f t="shared" ca="1" si="1"/>
        <v>32</v>
      </c>
      <c r="J7" s="12">
        <f t="shared" ca="1" si="2"/>
        <v>28856</v>
      </c>
      <c r="K7" s="11" t="s">
        <v>3</v>
      </c>
    </row>
    <row r="8" spans="1:13" x14ac:dyDescent="0.25">
      <c r="A8" s="7">
        <v>6</v>
      </c>
      <c r="B8" s="7"/>
      <c r="C8" s="7"/>
      <c r="D8" s="8">
        <v>37515</v>
      </c>
      <c r="E8" s="7"/>
      <c r="F8" s="7"/>
      <c r="G8" s="7" t="str">
        <f t="shared" ca="1" si="0"/>
        <v>JUNIORS 2</v>
      </c>
      <c r="H8">
        <f t="shared" ca="1" si="1"/>
        <v>16</v>
      </c>
      <c r="J8" s="13">
        <f ca="1">EDATE(DATE(YEAR(TODAY()),1,1),-12*18)</f>
        <v>36892</v>
      </c>
      <c r="K8" s="14" t="s">
        <v>32</v>
      </c>
    </row>
    <row r="9" spans="1:13" x14ac:dyDescent="0.25">
      <c r="A9" s="7">
        <v>7</v>
      </c>
      <c r="B9" s="7"/>
      <c r="C9" s="7"/>
      <c r="D9" s="8">
        <v>20673</v>
      </c>
      <c r="E9" s="7"/>
      <c r="F9" s="7"/>
      <c r="G9" s="7" t="str">
        <f t="shared" ca="1" si="0"/>
        <v>VETERANS 3</v>
      </c>
      <c r="H9">
        <f t="shared" ca="1" si="1"/>
        <v>62</v>
      </c>
      <c r="J9" s="15">
        <f ca="1">EDATE(J8,12)</f>
        <v>37257</v>
      </c>
      <c r="K9" s="14" t="s">
        <v>31</v>
      </c>
    </row>
    <row r="10" spans="1:13" x14ac:dyDescent="0.25">
      <c r="A10" s="7">
        <v>8</v>
      </c>
      <c r="B10" s="7"/>
      <c r="C10" s="7"/>
      <c r="D10" s="8">
        <v>34371</v>
      </c>
      <c r="E10" s="7"/>
      <c r="F10" s="7"/>
      <c r="G10" s="7" t="str">
        <f t="shared" ca="1" si="0"/>
        <v>SENIORS</v>
      </c>
      <c r="H10">
        <f t="shared" ca="1" si="1"/>
        <v>24</v>
      </c>
      <c r="J10" s="15">
        <f t="shared" ref="J10:J17" ca="1" si="3">EDATE(J9,12)</f>
        <v>37622</v>
      </c>
      <c r="K10" s="14" t="s">
        <v>30</v>
      </c>
    </row>
    <row r="11" spans="1:13" x14ac:dyDescent="0.25">
      <c r="A11" s="7">
        <v>9</v>
      </c>
      <c r="B11" s="7"/>
      <c r="C11" s="7"/>
      <c r="D11" s="8">
        <v>24571</v>
      </c>
      <c r="E11" s="7"/>
      <c r="F11" s="7"/>
      <c r="G11" s="7" t="str">
        <f t="shared" ca="1" si="0"/>
        <v>VETERANS 2</v>
      </c>
      <c r="H11">
        <f t="shared" ca="1" si="1"/>
        <v>51</v>
      </c>
      <c r="J11" s="15">
        <f t="shared" ca="1" si="3"/>
        <v>37987</v>
      </c>
      <c r="K11" s="14" t="s">
        <v>29</v>
      </c>
    </row>
    <row r="12" spans="1:13" x14ac:dyDescent="0.25">
      <c r="A12" s="7">
        <v>10</v>
      </c>
      <c r="B12" s="7"/>
      <c r="C12" s="7"/>
      <c r="D12" s="8">
        <v>28191</v>
      </c>
      <c r="E12" s="7"/>
      <c r="F12" s="7"/>
      <c r="G12" s="7" t="str">
        <f t="shared" ca="1" si="0"/>
        <v>VETERANS 1</v>
      </c>
      <c r="H12">
        <f t="shared" ca="1" si="1"/>
        <v>41</v>
      </c>
      <c r="J12" s="15">
        <f t="shared" ca="1" si="3"/>
        <v>38353</v>
      </c>
      <c r="K12" s="14" t="s">
        <v>28</v>
      </c>
    </row>
    <row r="13" spans="1:13" x14ac:dyDescent="0.25">
      <c r="A13" s="7">
        <v>11</v>
      </c>
      <c r="B13" s="7"/>
      <c r="C13" s="7"/>
      <c r="D13" s="8">
        <v>34967</v>
      </c>
      <c r="E13" s="7"/>
      <c r="F13" s="7"/>
      <c r="G13" s="7" t="str">
        <f t="shared" ca="1" si="0"/>
        <v>SENIORS</v>
      </c>
      <c r="H13">
        <f t="shared" ca="1" si="1"/>
        <v>23</v>
      </c>
      <c r="J13" s="15">
        <f t="shared" ca="1" si="3"/>
        <v>38718</v>
      </c>
      <c r="K13" s="14" t="s">
        <v>27</v>
      </c>
    </row>
    <row r="14" spans="1:13" x14ac:dyDescent="0.25">
      <c r="A14" s="7">
        <v>12</v>
      </c>
      <c r="B14" s="7"/>
      <c r="C14" s="7"/>
      <c r="D14" s="8">
        <v>31067</v>
      </c>
      <c r="E14" s="7"/>
      <c r="F14" s="7"/>
      <c r="G14" s="7" t="str">
        <f t="shared" ca="1" si="0"/>
        <v>SENIORS</v>
      </c>
      <c r="H14">
        <f t="shared" ca="1" si="1"/>
        <v>33</v>
      </c>
      <c r="J14" s="15">
        <f t="shared" ca="1" si="3"/>
        <v>39083</v>
      </c>
      <c r="K14" s="14" t="s">
        <v>25</v>
      </c>
    </row>
    <row r="15" spans="1:13" x14ac:dyDescent="0.25">
      <c r="A15" s="7">
        <v>13</v>
      </c>
      <c r="B15" s="7"/>
      <c r="C15" s="7"/>
      <c r="D15" s="8">
        <v>23703</v>
      </c>
      <c r="E15" s="7"/>
      <c r="F15" s="7"/>
      <c r="G15" s="7" t="str">
        <f t="shared" ca="1" si="0"/>
        <v>VETERANS 2</v>
      </c>
      <c r="H15">
        <f t="shared" ca="1" si="1"/>
        <v>54</v>
      </c>
      <c r="J15" s="15">
        <f t="shared" ca="1" si="3"/>
        <v>39448</v>
      </c>
      <c r="K15" s="14" t="s">
        <v>23</v>
      </c>
    </row>
    <row r="16" spans="1:13" ht="15.75" thickBot="1" x14ac:dyDescent="0.3">
      <c r="A16" s="7">
        <v>14</v>
      </c>
      <c r="B16" s="7"/>
      <c r="C16" s="7"/>
      <c r="D16" s="8">
        <v>41087</v>
      </c>
      <c r="E16" s="7"/>
      <c r="F16" s="7"/>
      <c r="G16" s="7" t="str">
        <f t="shared" ca="1" si="0"/>
        <v>POUSSINS</v>
      </c>
      <c r="H16">
        <f t="shared" ca="1" si="1"/>
        <v>6</v>
      </c>
      <c r="J16" s="15">
        <f t="shared" ca="1" si="3"/>
        <v>39814</v>
      </c>
      <c r="K16" s="14" t="s">
        <v>20</v>
      </c>
    </row>
    <row r="17" spans="1:11" x14ac:dyDescent="0.25">
      <c r="A17" s="7">
        <v>15</v>
      </c>
      <c r="B17" s="7"/>
      <c r="C17" s="7"/>
      <c r="D17" s="8"/>
      <c r="E17" s="7"/>
      <c r="F17" s="7"/>
      <c r="G17" s="7"/>
      <c r="J17" s="15">
        <f t="shared" ca="1" si="3"/>
        <v>40179</v>
      </c>
      <c r="K17" s="16" t="s">
        <v>12</v>
      </c>
    </row>
    <row r="18" spans="1:11" x14ac:dyDescent="0.25">
      <c r="A18" s="7">
        <v>16</v>
      </c>
      <c r="B18" s="7"/>
      <c r="C18" s="7"/>
      <c r="D18" s="8"/>
      <c r="E18" s="7"/>
      <c r="F18" s="7"/>
      <c r="G18" s="7"/>
    </row>
    <row r="19" spans="1:11" x14ac:dyDescent="0.25">
      <c r="A19" s="7">
        <v>17</v>
      </c>
      <c r="B19" s="7"/>
      <c r="C19" s="7"/>
      <c r="D19" s="8"/>
      <c r="E19" s="7"/>
      <c r="F19" s="7"/>
      <c r="G19" s="7"/>
    </row>
    <row r="20" spans="1:11" x14ac:dyDescent="0.25">
      <c r="A20" s="7">
        <v>18</v>
      </c>
      <c r="B20" s="7"/>
      <c r="C20" s="7"/>
      <c r="D20" s="8"/>
      <c r="E20" s="7"/>
      <c r="F20" s="7"/>
      <c r="G20" s="7"/>
    </row>
    <row r="21" spans="1:11" x14ac:dyDescent="0.25">
      <c r="A21" s="7">
        <v>19</v>
      </c>
      <c r="B21" s="7"/>
      <c r="C21" s="7"/>
      <c r="D21" s="8"/>
      <c r="E21" s="7"/>
      <c r="F21" s="7"/>
      <c r="G21" s="7"/>
    </row>
    <row r="22" spans="1:11" x14ac:dyDescent="0.25">
      <c r="A22" s="7">
        <v>20</v>
      </c>
      <c r="B22" s="7"/>
      <c r="C22" s="7"/>
      <c r="D22" s="8"/>
      <c r="E22" s="7"/>
      <c r="F22" s="7"/>
      <c r="G22" s="7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STAT</vt:lpstr>
      <vt:lpstr>Class</vt:lpstr>
      <vt:lpstr>STAT!Zone_d_impression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ROYER</dc:creator>
  <cp:lastModifiedBy>STAUB</cp:lastModifiedBy>
  <cp:lastPrinted>2019-02-21T16:53:21Z</cp:lastPrinted>
  <dcterms:created xsi:type="dcterms:W3CDTF">2018-03-05T18:33:19Z</dcterms:created>
  <dcterms:modified xsi:type="dcterms:W3CDTF">2019-08-16T09:00:43Z</dcterms:modified>
</cp:coreProperties>
</file>